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6.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1.xml" ContentType="application/vnd.openxmlformats-officedocument.spreadsheetml.comment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comments2.xml" ContentType="application/vnd.openxmlformats-officedocument.spreadsheetml.comment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comments3.xml" ContentType="application/vnd.openxmlformats-officedocument.spreadsheetml.comments+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4.xml" ContentType="application/vnd.openxmlformats-officedocument.spreadsheetml.comments+xml"/>
  <Override PartName="/xl/drawings/drawing12.xml" ContentType="application/vnd.openxmlformats-officedocument.drawing+xml"/>
  <Override PartName="/xl/ctrlProps/ctrlProp17.xml" ContentType="application/vnd.ms-excel.controlproperties+xml"/>
  <Override PartName="/xl/ctrlProps/ctrlProp18.xml" ContentType="application/vnd.ms-excel.controlproperties+xml"/>
  <Override PartName="/xl/comments5.xml" ContentType="application/vnd.openxmlformats-officedocument.spreadsheetml.comments+xml"/>
  <Override PartName="/xl/drawings/drawing13.xml" ContentType="application/vnd.openxmlformats-officedocument.drawing+xml"/>
  <Override PartName="/xl/ctrlProps/ctrlProp19.xml" ContentType="application/vnd.ms-excel.controlproperties+xml"/>
  <Override PartName="/xl/drawings/drawing14.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omments6.xml" ContentType="application/vnd.openxmlformats-officedocument.spreadsheetml.comments+xml"/>
  <Override PartName="/xl/drawings/drawing15.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16.xml" ContentType="application/vnd.openxmlformats-officedocument.drawing+xml"/>
  <Override PartName="/xl/ctrlProps/ctrlProp25.xml" ContentType="application/vnd.ms-excel.controlproperties+xml"/>
  <Override PartName="/xl/ctrlProps/ctrlProp26.xml" ContentType="application/vnd.ms-excel.controlproperties+xml"/>
  <Override PartName="/xl/comments7.xml" ContentType="application/vnd.openxmlformats-officedocument.spreadsheetml.comments+xml"/>
  <Override PartName="/xl/drawings/drawing17.xml" ContentType="application/vnd.openxmlformats-officedocument.drawing+xml"/>
  <Override PartName="/xl/comments8.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ctrlProps/ctrlProp27.xml" ContentType="application/vnd.ms-excel.controlproperties+xml"/>
  <Override PartName="/xl/comments9.xml" ContentType="application/vnd.openxmlformats-officedocument.spreadsheetml.comments+xml"/>
  <Override PartName="/xl/drawings/drawing20.xml" ContentType="application/vnd.openxmlformats-officedocument.drawing+xml"/>
  <Override PartName="/xl/activeX/activeX1.xml" ContentType="application/vnd.ms-office.activeX+xml"/>
  <Override PartName="/xl/activeX/activeX1.bin" ContentType="application/vnd.ms-office.activeX"/>
  <Override PartName="/xl/ctrlProps/ctrlProp28.xml" ContentType="application/vnd.ms-excel.controlproperties+xml"/>
  <Override PartName="/xl/ctrlProps/ctrlProp29.xml" ContentType="application/vnd.ms-excel.controlproperties+xml"/>
  <Override PartName="/xl/comments10.xml" ContentType="application/vnd.openxmlformats-officedocument.spreadsheetml.comments+xml"/>
  <Override PartName="/xl/drawings/drawing21.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omments11.xml" ContentType="application/vnd.openxmlformats-officedocument.spreadsheetml.comments+xml"/>
  <Override PartName="/xl/drawings/drawing22.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omments12.xml" ContentType="application/vnd.openxmlformats-officedocument.spreadsheetml.comments+xml"/>
  <Override PartName="/xl/drawings/drawing23.xml" ContentType="application/vnd.openxmlformats-officedocument.drawing+xml"/>
  <Override PartName="/xl/ctrlProps/ctrlProp37.xml" ContentType="application/vnd.ms-excel.controlproperties+xml"/>
  <Override PartName="/xl/comments13.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drawings/drawing24.xml" ContentType="application/vnd.openxmlformats-officedocument.drawing+xml"/>
  <Override PartName="/xl/ctrlProps/ctrlProp38.xml" ContentType="application/vnd.ms-excel.controlproperties+xml"/>
  <Override PartName="/xl/comments14.xml" ContentType="application/vnd.openxmlformats-officedocument.spreadsheetml.comments+xml"/>
  <Override PartName="/xl/drawings/drawing25.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15.xml" ContentType="application/vnd.openxmlformats-officedocument.spreadsheetml.comments+xml"/>
  <Override PartName="/xl/drawings/drawing2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27.xml" ContentType="application/vnd.openxmlformats-officedocument.drawingml.chartshapes+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C:\Users\JoA\Desktop\"/>
    </mc:Choice>
  </mc:AlternateContent>
  <workbookProtection workbookAlgorithmName="SHA-512" workbookHashValue="2OEQLa5IK83ryVnqzAa1NgyqSijbazYoYKzu0Dpj1l/eos/bEGTqXds3Hron9lJ82LWRSqR0Ws6z3O3N4vsuwg==" workbookSaltValue="CRffR9/TIpPGkmKoW2IFMQ==" workbookSpinCount="100000" lockStructure="1"/>
  <bookViews>
    <workbookView xWindow="0" yWindow="0" windowWidth="15345" windowHeight="6705" tabRatio="901"/>
  </bookViews>
  <sheets>
    <sheet name="Green Star SA" sheetId="87" r:id="rId1"/>
    <sheet name="Introduction" sheetId="86" r:id="rId2"/>
    <sheet name="How to use" sheetId="85" r:id="rId3"/>
    <sheet name="Disclaimer" sheetId="84" r:id="rId4"/>
    <sheet name="R1 Pre-Submission Checklist" sheetId="94" r:id="rId5"/>
    <sheet name="R2 Pre-Submission Checklist" sheetId="95" r:id="rId6"/>
    <sheet name="Applicant Declaration" sheetId="96" r:id="rId7"/>
    <sheet name="Building Input" sheetId="71" r:id="rId8"/>
    <sheet name="Management" sheetId="67" r:id="rId9"/>
    <sheet name="IEQ" sheetId="25" r:id="rId10"/>
    <sheet name="Energy" sheetId="47" r:id="rId11"/>
    <sheet name="Energy Calculator" sheetId="70" r:id="rId12"/>
    <sheet name="Lighting Energy Calculator" sheetId="73" r:id="rId13"/>
    <sheet name="Transport" sheetId="66" r:id="rId14"/>
    <sheet name="Transport Calculator" sheetId="77" r:id="rId15"/>
    <sheet name="Water" sheetId="51" r:id="rId16"/>
    <sheet name="Potable Water Calculator" sheetId="98" r:id="rId17"/>
    <sheet name="Rainfall data" sheetId="99" state="hidden" r:id="rId18"/>
    <sheet name="Materials" sheetId="74" r:id="rId19"/>
    <sheet name="Land Use &amp; Ecology" sheetId="65" r:id="rId20"/>
    <sheet name="Ecology Calculator" sheetId="78" r:id="rId21"/>
    <sheet name="Emissions" sheetId="23" r:id="rId22"/>
    <sheet name="Sewage Calculator" sheetId="76" r:id="rId23"/>
    <sheet name="Innovation" sheetId="41" r:id="rId24"/>
    <sheet name="Credit Summary" sheetId="72" r:id="rId25"/>
    <sheet name="Graphical Summary" sheetId="82" r:id="rId26"/>
    <sheet name="Rainfall data_old" sheetId="89" state="hidden" r:id="rId27"/>
    <sheet name="Calculation" sheetId="64" state="hidden" r:id="rId28"/>
    <sheet name="Calculation1" sheetId="83"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16" hidden="1">'Potable Water Calculator'!$BE$18:$DF$384</definedName>
    <definedName name="Albany_Alluvial_Vegetation" localSheetId="6">#REF!</definedName>
    <definedName name="Albany_Alluvial_Vegetation" localSheetId="20">'Ecology Calculator'!$B$72</definedName>
    <definedName name="Albany_Alluvial_Vegetation" localSheetId="4">#REF!</definedName>
    <definedName name="Albany_Alluvial_Vegetation" localSheetId="5">#REF!</definedName>
    <definedName name="Albany_Alluvial_Vegetation">#REF!</definedName>
    <definedName name="Albany_Thicket_Strandveld" localSheetId="6">#REF!</definedName>
    <definedName name="Albany_Thicket_Strandveld" localSheetId="20">'Ecology Calculator'!$B$74:$B$81</definedName>
    <definedName name="Albany_Thicket_Strandveld" localSheetId="4">#REF!</definedName>
    <definedName name="Albany_Thicket_Strandveld" localSheetId="5">#REF!</definedName>
    <definedName name="Albany_Thicket_Strandveld">#REF!</definedName>
    <definedName name="Albany_Thickets" localSheetId="6">#REF!</definedName>
    <definedName name="Albany_Thickets" localSheetId="20">'Ecology Calculator'!$B$56:$B$69</definedName>
    <definedName name="Albany_Thickets" localSheetId="4">#REF!</definedName>
    <definedName name="Albany_Thickets" localSheetId="5">#REF!</definedName>
    <definedName name="Albany_Thickets">#REF!</definedName>
    <definedName name="Albany_Thickets_Alluvial_Vegetation" localSheetId="6">#REF!</definedName>
    <definedName name="Albany_Thickets_Alluvial_Vegetation" localSheetId="20">'Ecology Calculator'!$B$71:$B$72</definedName>
    <definedName name="Albany_Thickets_Alluvial_Vegetation" localSheetId="4">#REF!</definedName>
    <definedName name="Albany_Thickets_Alluvial_Vegetation" localSheetId="5">#REF!</definedName>
    <definedName name="Albany_Thickets_Alluvial_Vegetation">#REF!</definedName>
    <definedName name="Albany_Thickets_Strandveld" localSheetId="6">#REF!</definedName>
    <definedName name="Albany_Thickets_Strandveld" localSheetId="20">'Ecology Calculator'!$B$74:$B$78</definedName>
    <definedName name="Albany_Thickets_Strandveld" localSheetId="4">#REF!</definedName>
    <definedName name="Albany_Thickets_Strandveld" localSheetId="5">#REF!</definedName>
    <definedName name="Albany_Thickets_Strandveld">#REF!</definedName>
    <definedName name="AlbanyThickets" localSheetId="6">#REF!</definedName>
    <definedName name="AlbanyThickets" localSheetId="20">'Ecology Calculator'!$B$56:$B$69</definedName>
    <definedName name="AlbanyThickets" localSheetId="4">#REF!</definedName>
    <definedName name="AlbanyThickets" localSheetId="5">#REF!</definedName>
    <definedName name="AlbanyThickets">#REF!</definedName>
    <definedName name="Bioregion" localSheetId="6">#REF!</definedName>
    <definedName name="Bioregion" localSheetId="20">'Ecology Calculator'!$N$55:$N$106</definedName>
    <definedName name="Bioregion" localSheetId="4">#REF!</definedName>
    <definedName name="Bioregion" localSheetId="5">#REF!</definedName>
    <definedName name="Bioregion">#REF!</definedName>
    <definedName name="Bushmanland_and_West_Griqualand" localSheetId="6">#REF!</definedName>
    <definedName name="Bushmanland_and_West_Griqualand" localSheetId="20">'Ecology Calculator'!$B$347:$B$353</definedName>
    <definedName name="Bushmanland_and_West_Griqualand" localSheetId="4">#REF!</definedName>
    <definedName name="Bushmanland_and_West_Griqualand" localSheetId="5">#REF!</definedName>
    <definedName name="Bushmanland_and_West_Griqualand">#REF!</definedName>
    <definedName name="Bushmanland_West_Griqualand" localSheetId="6">#REF!</definedName>
    <definedName name="Bushmanland_West_Griqualand" localSheetId="20">'Ecology Calculator'!$B$347:$B$353</definedName>
    <definedName name="Bushmanland_West_Griqualand" localSheetId="4">#REF!</definedName>
    <definedName name="Bushmanland_West_Griqualand" localSheetId="5">#REF!</definedName>
    <definedName name="Bushmanland_West_Griqualand">#REF!</definedName>
    <definedName name="Central_Bushveld" localSheetId="6">#REF!</definedName>
    <definedName name="Central_Bushveld" localSheetId="20">'Ecology Calculator'!$B$372:$B$384</definedName>
    <definedName name="Central_Bushveld" localSheetId="4">#REF!</definedName>
    <definedName name="Central_Bushveld" localSheetId="5">#REF!</definedName>
    <definedName name="Central_Bushveld">#REF!</definedName>
    <definedName name="Central_Succulent_Karoo" localSheetId="6">#REF!</definedName>
    <definedName name="Central_Succulent_Karoo" localSheetId="20">'Ecology Calculator'!$B$466:$B$473</definedName>
    <definedName name="Central_Succulent_Karoo" localSheetId="4">#REF!</definedName>
    <definedName name="Central_Succulent_Karoo" localSheetId="5">#REF!</definedName>
    <definedName name="Central_Succulent_Karoo">#REF!</definedName>
    <definedName name="cities" localSheetId="6">#REF!</definedName>
    <definedName name="cities" localSheetId="4">#REF!</definedName>
    <definedName name="cities" localSheetId="5">#REF!</definedName>
    <definedName name="cities" localSheetId="26">'Rainfall data_old'!$B$4:$B$33</definedName>
    <definedName name="cities">#REF!</definedName>
    <definedName name="cities_list" localSheetId="6">'Applicant Declaration'!cities</definedName>
    <definedName name="cities_list" localSheetId="4">'R1 Pre-Submission Checklist'!cities</definedName>
    <definedName name="cities_list" localSheetId="5">'R2 Pre-Submission Checklist'!cities</definedName>
    <definedName name="cities_list" localSheetId="26">'Rainfall data_old'!cities</definedName>
    <definedName name="cities_list">cities</definedName>
    <definedName name="cities_rainfall">'Rainfall data_old'!$B$3:$B$33</definedName>
    <definedName name="Coastal_Grassland" localSheetId="6">#REF!</definedName>
    <definedName name="Coastal_Grassland" localSheetId="20">'Ecology Calculator'!$B$255:$B$260</definedName>
    <definedName name="Coastal_Grassland" localSheetId="4">#REF!</definedName>
    <definedName name="Coastal_Grassland" localSheetId="5">#REF!</definedName>
    <definedName name="Coastal_Grassland">#REF!</definedName>
    <definedName name="Current" localSheetId="6">INDIRECT(SUBSTITUTE(#REF!," ","_"))</definedName>
    <definedName name="Current" localSheetId="20">INDIRECT(SUBSTITUTE('Ecology Calculator'!$L$13," ","_"))</definedName>
    <definedName name="Current" localSheetId="4">INDIRECT(SUBSTITUTE(#REF!," ","_"))</definedName>
    <definedName name="Current" localSheetId="5">INDIRECT(SUBSTITUTE(#REF!," ","_"))</definedName>
    <definedName name="Current">INDIRECT(SUBSTITUTE(#REF!," ","_"))</definedName>
    <definedName name="DensityFactor">#REF!</definedName>
    <definedName name="Desert_Alluvial_Vegetation" localSheetId="6">#REF!</definedName>
    <definedName name="Desert_Alluvial_Vegetation" localSheetId="20">'Ecology Calculator'!$B$80:$B$81</definedName>
    <definedName name="Desert_Alluvial_Vegetation" localSheetId="4">#REF!</definedName>
    <definedName name="Desert_Alluvial_Vegetation" localSheetId="5">#REF!</definedName>
    <definedName name="Desert_Alluvial_Vegetation">#REF!</definedName>
    <definedName name="Drakensburg_Grassland" localSheetId="6">#REF!</definedName>
    <definedName name="Drakensburg_Grassland" localSheetId="20">'Ecology Calculator'!$B$262:$B$278</definedName>
    <definedName name="Drakensburg_Grassland" localSheetId="4">#REF!</definedName>
    <definedName name="Drakensburg_Grassland" localSheetId="5">#REF!</definedName>
    <definedName name="Drakensburg_Grassland">#REF!</definedName>
    <definedName name="Eastern_Gariep" localSheetId="6">#REF!</definedName>
    <definedName name="Eastern_Gariep" localSheetId="20">'Ecology Calculator'!$B$83:$B$95</definedName>
    <definedName name="Eastern_Gariep" localSheetId="4">#REF!</definedName>
    <definedName name="Eastern_Gariep" localSheetId="5">#REF!</definedName>
    <definedName name="Eastern_Gariep">#REF!</definedName>
    <definedName name="energy_calc">'[1]Building Input'!$C$5:$C$9,'[1]Building Input'!$C$12:$C$13,'[1]Building Input'!$C$15,'[1]Building Input'!$C$16:$C$28,'[1]Building Input'!$C$30:$C$36,'[1]Building Input'!$C$39,'[1]Building Input'!$C$41,'[1]Building Input'!$C$43:$C$44</definedName>
    <definedName name="Estuarine_Salt_Marshes" localSheetId="6">#REF!</definedName>
    <definedName name="Estuarine_Salt_Marshes" localSheetId="20">'Ecology Calculator'!$B$548:$B$551</definedName>
    <definedName name="Estuarine_Salt_Marshes" localSheetId="4">#REF!</definedName>
    <definedName name="Estuarine_Salt_Marshes" localSheetId="5">#REF!</definedName>
    <definedName name="Estuarine_Salt_Marshes">#REF!</definedName>
    <definedName name="Fields" localSheetId="6">#REF!,#REF!,#REF!,#REF!,#REF!,#REF!,#REF!,#REF!</definedName>
    <definedName name="Fields" localSheetId="7">'Building Input'!$C$5:$C$9,'Building Input'!$C$12:$C$13,'Building Input'!$C$15,'Building Input'!$C$16:$C$30,'Building Input'!$C$33:$C$80,'Building Input'!$C$86,'Building Input'!$C$88,'Building Input'!$C$90:$C$95</definedName>
    <definedName name="Fields" localSheetId="28">'[2]Building Input'!$C$5:$C$9,'[2]Building Input'!$C$12:$C$13,'[2]Building Input'!$C$15,'[2]Building Input'!$C$16:$C$28,'[2]Building Input'!$C$30:$C$36,'[2]Building Input'!$C$39,'[2]Building Input'!$C$41,'[2]Building Input'!$C$43:$C$44</definedName>
    <definedName name="Fields" localSheetId="24">'[1]Building Input'!$C$5:$C$9,'[1]Building Input'!$C$12:$C$13,'[1]Building Input'!$C$15,'[1]Building Input'!$C$16:$C$28,'[1]Building Input'!$C$30:$C$36,'[1]Building Input'!$C$39,'[1]Building Input'!$C$41,'[1]Building Input'!$C$43:$C$44</definedName>
    <definedName name="Fields" localSheetId="20">'[3]Building Input'!$C$7:$C$11,'[3]Building Input'!$C$14:$C$15,'[3]Building Input'!$C$17,'[3]Building Input'!$C$19:$C$28,'[3]Building Input'!$C$30:$C$32,'[3]Building Input'!$C$34,'[3]Building Input'!$C$36,'[3]Building Input'!$C$38:$C$39</definedName>
    <definedName name="Fields" localSheetId="11">'[4]Building Input'!$C$8:$C$12,'[4]Building Input'!$C$15:$C$16,'[4]Building Input'!$C$18,'[4]Building Input'!$C$19:$C$28,'[4]Building Input'!$C$30:$C$32,'[4]Building Input'!$C$35,'[4]Building Input'!$C$37,'[4]Building Input'!$C$39:$C$40</definedName>
    <definedName name="Fields" localSheetId="25">'[2]Building Input'!$C$5:$C$9,'[2]Building Input'!$C$12:$C$13,'[2]Building Input'!$C$15,'[2]Building Input'!$C$16:$C$28,'[2]Building Input'!$C$30:$C$36,'[2]Building Input'!$C$39,'[2]Building Input'!$C$41,'[2]Building Input'!$C$43:$C$44</definedName>
    <definedName name="Fields" localSheetId="4">#REF!,#REF!,#REF!,#REF!,#REF!,#REF!,#REF!,#REF!</definedName>
    <definedName name="Fields" localSheetId="5">#REF!,#REF!,#REF!,#REF!,#REF!,#REF!,#REF!,#REF!</definedName>
    <definedName name="Fields" localSheetId="26">#REF!,#REF!,#REF!,#REF!,#REF!,#REF!,#REF!,#REF!</definedName>
    <definedName name="Fields" localSheetId="22">'[5]Building Input'!$C$7:$C$11,'[5]Building Input'!$C$14:$C$15,'[5]Building Input'!$C$17,'[5]Building Input'!$C$19:$C$28,'[5]Building Input'!$C$30:$C$32,'[5]Building Input'!$C$34,'[5]Building Input'!$C$36,'[5]Building Input'!$C$38:$C$39</definedName>
    <definedName name="Fields" localSheetId="14">'[3]Building Input'!$C$7:$C$11,'[3]Building Input'!$C$14:$C$15,'[3]Building Input'!$C$17,'[3]Building Input'!$C$19:$C$28,'[3]Building Input'!$C$30:$C$32,'[3]Building Input'!$C$34,'[3]Building Input'!$C$36,'[3]Building Input'!$C$38:$C$39</definedName>
    <definedName name="Fields">#REF!,#REF!,#REF!,#REF!,#REF!,#REF!,#REF!,#REF!</definedName>
    <definedName name="fields2" localSheetId="7">'[6]Building Input'!$C$7:$C$11,'[6]Building Input'!$C$14:$C$15,'[6]Building Input'!$C$17,'[6]Building Input'!$C$19:$C$28,'[6]Building Input'!$C$35:$C$37,'[6]Building Input'!$C$39,'[6]Building Input'!$C$41,'[6]Building Input'!$C$43:$C$44</definedName>
    <definedName name="fields2" localSheetId="24">'[6]Building Input'!$C$7:$C$11,'[6]Building Input'!$C$14:$C$15,'[6]Building Input'!$C$17,'[6]Building Input'!$C$19:$C$28,'[6]Building Input'!$C$35:$C$37,'[6]Building Input'!$C$39,'[6]Building Input'!$C$41,'[6]Building Input'!$C$43:$C$44</definedName>
    <definedName name="fields2" localSheetId="20">'[6]Building Input'!$C$7:$C$11,'[6]Building Input'!$C$14:$C$15,'[6]Building Input'!$C$17,'[6]Building Input'!$C$19:$C$28,'[6]Building Input'!$C$35:$C$37,'[6]Building Input'!$C$39,'[6]Building Input'!$C$41,'[6]Building Input'!$C$43:$C$44</definedName>
    <definedName name="fields2" localSheetId="11">'[6]Building Input'!$C$7:$C$11,'[6]Building Input'!$C$14:$C$15,'[6]Building Input'!$C$17,'[6]Building Input'!$C$19:$C$28,'[6]Building Input'!$C$35:$C$37,'[6]Building Input'!$C$39,'[6]Building Input'!$C$41,'[6]Building Input'!$C$43:$C$44</definedName>
    <definedName name="fields2" localSheetId="8">'[6]Building Input'!$C$7:$C$11,'[6]Building Input'!$C$14:$C$15,'[6]Building Input'!$C$17,'[6]Building Input'!$C$19:$C$28,'[6]Building Input'!$C$35:$C$37,'[6]Building Input'!$C$39,'[6]Building Input'!$C$41,'[6]Building Input'!$C$43:$C$44</definedName>
    <definedName name="fields2" localSheetId="22">'[6]Building Input'!$C$7:$C$11,'[6]Building Input'!$C$14:$C$15,'[6]Building Input'!$C$17,'[6]Building Input'!$C$19:$C$28,'[6]Building Input'!$C$35:$C$37,'[6]Building Input'!$C$39,'[6]Building Input'!$C$41,'[6]Building Input'!$C$43:$C$44</definedName>
    <definedName name="fields2" localSheetId="14">'[6]Building Input'!$C$7:$C$11,'[6]Building Input'!$C$14:$C$15,'[6]Building Input'!$C$17,'[6]Building Input'!$C$19:$C$28,'[6]Building Input'!$C$35:$C$37,'[6]Building Input'!$C$39,'[6]Building Input'!$C$41,'[6]Building Input'!$C$43:$C$44</definedName>
    <definedName name="fields2">'[6]Building Input'!$C$7:$C$11,'[6]Building Input'!$C$14:$C$15,'[6]Building Input'!$C$17,'[6]Building Input'!$C$19:$C$28,'[6]Building Input'!$C$35:$C$37,'[6]Building Input'!$C$39,'[6]Building Input'!$C$41,'[6]Building Input'!$C$43:$C$44</definedName>
    <definedName name="Freshwater_Wetlands" localSheetId="6">#REF!</definedName>
    <definedName name="Freshwater_Wetlands" localSheetId="20">'Ecology Calculator'!$B$553:$B$559</definedName>
    <definedName name="Freshwater_Wetlands" localSheetId="4">#REF!</definedName>
    <definedName name="Freshwater_Wetlands" localSheetId="5">#REF!</definedName>
    <definedName name="Freshwater_Wetlands">#REF!</definedName>
    <definedName name="fuel" localSheetId="6">#REF!</definedName>
    <definedName name="fuel" localSheetId="11">'Energy Calculator'!$K$14:$L$26</definedName>
    <definedName name="fuel" localSheetId="4">#REF!</definedName>
    <definedName name="fuel" localSheetId="5">#REF!</definedName>
    <definedName name="fuel">#REF!</definedName>
    <definedName name="fuels" localSheetId="6">#REF!</definedName>
    <definedName name="fuels" localSheetId="11">'Energy Calculator'!$K$14:$K$26</definedName>
    <definedName name="fuels" localSheetId="4">#REF!</definedName>
    <definedName name="fuels" localSheetId="5">#REF!</definedName>
    <definedName name="fuels">#REF!</definedName>
    <definedName name="fueltype" localSheetId="6">#REF!</definedName>
    <definedName name="fueltype" localSheetId="11">'Energy Calculator'!#REF!</definedName>
    <definedName name="fueltype" localSheetId="4">#REF!</definedName>
    <definedName name="fueltype" localSheetId="5">#REF!</definedName>
    <definedName name="fueltype" localSheetId="26">#REF!</definedName>
    <definedName name="fueltype">#REF!</definedName>
    <definedName name="Fynbos_Alluvial_Vegetation" localSheetId="6">#REF!</definedName>
    <definedName name="Fynbos_Alluvial_Vegetation" localSheetId="20">'Ecology Calculator'!$B$121:$B$122</definedName>
    <definedName name="Fynbos_Alluvial_Vegetation" localSheetId="4">#REF!</definedName>
    <definedName name="Fynbos_Alluvial_Vegetation" localSheetId="5">#REF!</definedName>
    <definedName name="Fynbos_Alluvial_Vegetation">#REF!</definedName>
    <definedName name="Fynbos_Kamiesberg_Centre" localSheetId="6">#REF!</definedName>
    <definedName name="Fynbos_Kamiesberg_Centre" localSheetId="20">'Ecology Calculator'!$B$124:$B$125</definedName>
    <definedName name="Fynbos_Kamiesberg_Centre" localSheetId="4">#REF!</definedName>
    <definedName name="Fynbos_Kamiesberg_Centre" localSheetId="5">#REF!</definedName>
    <definedName name="Fynbos_Kamiesberg_Centre">#REF!</definedName>
    <definedName name="Fynbos_Karoo_Mountain_Centre" localSheetId="6">#REF!</definedName>
    <definedName name="Fynbos_Karoo_Mountain_Centre" localSheetId="20">'Ecology Calculator'!$B$127:$B$138</definedName>
    <definedName name="Fynbos_Karoo_Mountain_Centre" localSheetId="4">#REF!</definedName>
    <definedName name="Fynbos_Karoo_Mountain_Centre" localSheetId="5">#REF!</definedName>
    <definedName name="Fynbos_Karoo_Mountain_Centre">#REF!</definedName>
    <definedName name="Fynbos_Northwest_Centre" localSheetId="6">#REF!</definedName>
    <definedName name="Fynbos_Northwest_Centre" localSheetId="20">'Ecology Calculator'!$B$140:$B$156</definedName>
    <definedName name="Fynbos_Northwest_Centre" localSheetId="4">#REF!</definedName>
    <definedName name="Fynbos_Northwest_Centre" localSheetId="5">#REF!</definedName>
    <definedName name="Fynbos_Northwest_Centre">#REF!</definedName>
    <definedName name="Fynbos_South_Coast_Centre" localSheetId="6">#REF!</definedName>
    <definedName name="Fynbos_South_Coast_Centre" localSheetId="20">'Ecology Calculator'!$B$158:$B$163</definedName>
    <definedName name="Fynbos_South_Coast_Centre" localSheetId="4">#REF!</definedName>
    <definedName name="Fynbos_South_Coast_Centre" localSheetId="5">#REF!</definedName>
    <definedName name="Fynbos_South_Coast_Centre">#REF!</definedName>
    <definedName name="Fynbos_Southeast_Centre" localSheetId="6">#REF!</definedName>
    <definedName name="Fynbos_Southeast_Centre" localSheetId="20">'Ecology Calculator'!$B$165:$B$178</definedName>
    <definedName name="Fynbos_Southeast_Centre" localSheetId="4">#REF!</definedName>
    <definedName name="Fynbos_Southeast_Centre" localSheetId="5">#REF!</definedName>
    <definedName name="Fynbos_Southeast_Centre">#REF!</definedName>
    <definedName name="Fynbos_Southwest_Centre" localSheetId="6">#REF!</definedName>
    <definedName name="Fynbos_Southwest_Centre" localSheetId="20">'Ecology Calculator'!$B$180:$B$192</definedName>
    <definedName name="Fynbos_Southwest_Centre" localSheetId="4">#REF!</definedName>
    <definedName name="Fynbos_Southwest_Centre" localSheetId="5">#REF!</definedName>
    <definedName name="Fynbos_Southwest_Centre">#REF!</definedName>
    <definedName name="Fynbos_Strandveld" localSheetId="6">#REF!</definedName>
    <definedName name="Fynbos_Strandveld" localSheetId="20">'Ecology Calculator'!$B$241:$B$242</definedName>
    <definedName name="Fynbos_Strandveld" localSheetId="4">#REF!</definedName>
    <definedName name="Fynbos_Strandveld" localSheetId="5">#REF!</definedName>
    <definedName name="Fynbos_Strandveld">#REF!</definedName>
    <definedName name="Grassland_Alluvial_Vegetation" localSheetId="6">#REF!</definedName>
    <definedName name="Grassland_Alluvial_Vegetation" localSheetId="20">'Ecology Calculator'!$B$252:$B$253</definedName>
    <definedName name="Grassland_Alluvial_Vegetation" localSheetId="4">#REF!</definedName>
    <definedName name="Grassland_Alluvial_Vegetation" localSheetId="5">#REF!</definedName>
    <definedName name="Grassland_Alluvial_Vegetation">#REF!</definedName>
    <definedName name="Grassland_Biome_Shrublands" localSheetId="6">#REF!</definedName>
    <definedName name="Grassland_Biome_Shrublands" localSheetId="20">'Ecology Calculator'!$B$280:$B$288</definedName>
    <definedName name="Grassland_Biome_Shrublands" localSheetId="4">#REF!</definedName>
    <definedName name="Grassland_Biome_Shrublands" localSheetId="5">#REF!</definedName>
    <definedName name="Grassland_Biome_Shrublands">#REF!</definedName>
    <definedName name="Headings" localSheetId="6">#REF!,#REF!,#REF!,#REF!,#REF!</definedName>
    <definedName name="Headings" localSheetId="7">'[1]Transport Calculator'!$B$8:$B$15,'[1]Transport Calculator'!$C$8:$D$11,'[1]Transport Calculator'!$B$18:$B$24,'[1]Transport Calculator'!$C$18:$D$20,'[1]Transport Calculator'!$C$27:$D$27</definedName>
    <definedName name="Headings" localSheetId="28">'[2]Transport Calculator'!$B$8:$B$15,'[2]Transport Calculator'!$C$8:$D$11,'[2]Transport Calculator'!$B$18:$B$24,'[2]Transport Calculator'!$C$18:$D$20,'[2]Transport Calculator'!$C$27:$D$27</definedName>
    <definedName name="Headings" localSheetId="24">'[1]Transport Calculator'!$B$8:$B$15,'[1]Transport Calculator'!$C$8:$D$11,'[1]Transport Calculator'!$B$18:$B$24,'[1]Transport Calculator'!$C$18:$D$20,'[1]Transport Calculator'!$C$27:$D$27</definedName>
    <definedName name="Headings" localSheetId="20">#REF!,#REF!,#REF!,#REF!,#REF!</definedName>
    <definedName name="Headings" localSheetId="11">#REF!,#REF!,#REF!,#REF!,#REF!</definedName>
    <definedName name="Headings" localSheetId="25">'[2]Transport Calculator'!$B$8:$B$15,'[2]Transport Calculator'!$C$8:$D$11,'[2]Transport Calculator'!$B$18:$B$24,'[2]Transport Calculator'!$C$18:$D$20,'[2]Transport Calculator'!$C$27:$D$27</definedName>
    <definedName name="Headings" localSheetId="4">#REF!,#REF!,#REF!,#REF!,#REF!</definedName>
    <definedName name="Headings" localSheetId="5">#REF!,#REF!,#REF!,#REF!,#REF!</definedName>
    <definedName name="Headings" localSheetId="26">#REF!,#REF!,#REF!,#REF!,#REF!</definedName>
    <definedName name="Headings" localSheetId="22">'[6]Transport Calculator'!$B$5:$B$11,'[6]Transport Calculator'!$C$5:$D$7,'[6]Transport Calculator'!$B$14:$B$20,'[6]Transport Calculator'!$C$14:$D$16,'[6]Transport Calculator'!$C$22:$D$22</definedName>
    <definedName name="Headings" localSheetId="14">'Transport Calculator'!$B$12:$B$19,'Transport Calculator'!$C$12:$D$15,'Transport Calculator'!$B$22:$B$28,'Transport Calculator'!$C$22:$D$24,'Transport Calculator'!$C$31:$D$31</definedName>
    <definedName name="Headings">#REF!,#REF!,#REF!,#REF!,#REF!</definedName>
    <definedName name="HeadingsEC" localSheetId="6">#REF!,#REF!,#REF!,#REF!,#REF!</definedName>
    <definedName name="HeadingsEC" localSheetId="20">'Ecology Calculator'!$B$11,'Ecology Calculator'!$B$16,'Ecology Calculator'!$B$22:$H$23,'Ecology Calculator'!$B$24:$B$45,'Ecology Calculator'!$F$42:$H$45</definedName>
    <definedName name="HeadingsEC" localSheetId="4">#REF!,#REF!,#REF!,#REF!,#REF!</definedName>
    <definedName name="HeadingsEC" localSheetId="5">#REF!,#REF!,#REF!,#REF!,#REF!</definedName>
    <definedName name="HeadingsEC" localSheetId="22">'[6]Ecology Calculator'!$B$5,'[6]Ecology Calculator'!$B$7,'[6]Ecology Calculator'!$B$9:$F$10,'[6]Ecology Calculator'!$B$11:$B$31,'[6]Ecology Calculator'!$D$28:$F$31</definedName>
    <definedName name="HeadingsEC">#REF!,#REF!,#REF!,#REF!,#REF!</definedName>
    <definedName name="Highveld_Grassland" localSheetId="6">#REF!</definedName>
    <definedName name="Highveld_Grassland" localSheetId="20">'Ecology Calculator'!$B$290:$B$315</definedName>
    <definedName name="Highveld_Grassland" localSheetId="4">#REF!</definedName>
    <definedName name="Highveld_Grassland" localSheetId="5">#REF!</definedName>
    <definedName name="Highveld_Grassland">#REF!</definedName>
    <definedName name="Inland_Saline_Vegetation" localSheetId="6">#REF!</definedName>
    <definedName name="Inland_Saline_Vegetation" localSheetId="20">'Ecology Calculator'!$B$561:$B$570</definedName>
    <definedName name="Inland_Saline_Vegetation" localSheetId="4">#REF!</definedName>
    <definedName name="Inland_Saline_Vegetation" localSheetId="5">#REF!</definedName>
    <definedName name="Inland_Saline_Vegetation">#REF!</definedName>
    <definedName name="IrrigationRequirements" localSheetId="6">'[7]Potable Water Calculator'!$DJ$193:$DJ$199</definedName>
    <definedName name="IrrigationRequirements" localSheetId="4">'[7]Potable Water Calculator'!$DJ$193:$DJ$199</definedName>
    <definedName name="IrrigationRequirements" localSheetId="5">'[7]Potable Water Calculator'!$DJ$193:$DJ$199</definedName>
    <definedName name="IrrigationRequirements">#REF!</definedName>
    <definedName name="IrrigationSystems" localSheetId="6">'[7]Potable Water Calculator'!$DN$194:$DN$205</definedName>
    <definedName name="IrrigationSystems" localSheetId="4">'[7]Potable Water Calculator'!$DN$194:$DN$205</definedName>
    <definedName name="IrrigationSystems" localSheetId="5">'[7]Potable Water Calculator'!$DN$194:$DN$205</definedName>
    <definedName name="IrrigationSystems">#REF!</definedName>
    <definedName name="Kalahari_Dry_Savanna" localSheetId="6">#REF!</definedName>
    <definedName name="Kalahari_Dry_Savanna" localSheetId="20">'Ecology Calculator'!$B$386:$B$407</definedName>
    <definedName name="Kalahari_Dry_Savanna" localSheetId="4">#REF!</definedName>
    <definedName name="Kalahari_Dry_Savanna" localSheetId="5">#REF!</definedName>
    <definedName name="Kalahari_Dry_Savanna">#REF!</definedName>
    <definedName name="Labels" localSheetId="6">#REF!,#REF!</definedName>
    <definedName name="Labels" localSheetId="7">'Building Input'!$B$2,'Building Input'!$B$5:$B$10,'Building Input'!$B$12:$B$13,'Building Input'!$B$15,'Building Input'!$B$16:$B$30,'Building Input'!$B$33:$B$80,'Building Input'!$B$86,'Building Input'!$B$88,'Building Input'!$B$90:$B$95</definedName>
    <definedName name="Labels" localSheetId="20">[3]Summary!$B$4:$B$6,[3]Summary!$B$38:$G$38</definedName>
    <definedName name="Labels" localSheetId="4">#REF!,#REF!</definedName>
    <definedName name="Labels" localSheetId="5">#REF!,#REF!</definedName>
    <definedName name="Labels" localSheetId="22">[5]Summary!$B$4:$B$6,[5]Summary!$B$38:$G$38</definedName>
    <definedName name="Labels" localSheetId="14">[3]Summary!$B$4:$B$6,[3]Summary!$B$38:$G$38</definedName>
    <definedName name="Labels">#REF!,#REF!</definedName>
    <definedName name="Lower_Karoo" localSheetId="6">#REF!</definedName>
    <definedName name="Lower_Karoo" localSheetId="20">'Ecology Calculator'!$B$355:$B$359</definedName>
    <definedName name="Lower_Karoo" localSheetId="4">#REF!</definedName>
    <definedName name="Lower_Karoo" localSheetId="5">#REF!</definedName>
    <definedName name="Lower_Karoo">#REF!</definedName>
    <definedName name="Lowland_Forest" localSheetId="6">#REF!</definedName>
    <definedName name="Lowland_Forest" localSheetId="20">'Ecology Calculator'!$B$103:$B$107</definedName>
    <definedName name="Lowland_Forest" localSheetId="4">#REF!</definedName>
    <definedName name="Lowland_Forest" localSheetId="5">#REF!</definedName>
    <definedName name="Lowland_Forest">#REF!</definedName>
    <definedName name="Lowveld" localSheetId="6">#REF!</definedName>
    <definedName name="Lowveld" localSheetId="20">'Ecology Calculator'!$B$409:$B$434</definedName>
    <definedName name="Lowveld" localSheetId="4">#REF!</definedName>
    <definedName name="Lowveld" localSheetId="5">#REF!</definedName>
    <definedName name="Lowveld">#REF!</definedName>
    <definedName name="Macroalgal_Sea_Beds" localSheetId="6">#REF!</definedName>
    <definedName name="Macroalgal_Sea_Beds" localSheetId="20">'Ecology Calculator'!$B$572:$B$573</definedName>
    <definedName name="Macroalgal_Sea_Beds" localSheetId="4">#REF!</definedName>
    <definedName name="Macroalgal_Sea_Beds" localSheetId="5">#REF!</definedName>
    <definedName name="Macroalgal_Sea_Beds">#REF!</definedName>
    <definedName name="Microclimate" localSheetId="6">'[7]Potable Water Calculator'!$DJ$202:$DJ$205</definedName>
    <definedName name="Microclimate" localSheetId="4">'[7]Potable Water Calculator'!$DJ$202:$DJ$205</definedName>
    <definedName name="Microclimate" localSheetId="5">'[7]Potable Water Calculator'!$DJ$202:$DJ$205</definedName>
    <definedName name="Microclimate">#REF!</definedName>
    <definedName name="Months">#REF!</definedName>
    <definedName name="Mountain_Bushveld" localSheetId="6">#REF!</definedName>
    <definedName name="Mountain_Bushveld" localSheetId="20">'Ecology Calculator'!$B$436:$B$455</definedName>
    <definedName name="Mountain_Bushveld" localSheetId="4">#REF!</definedName>
    <definedName name="Mountain_Bushveld" localSheetId="5">#REF!</definedName>
    <definedName name="Mountain_Bushveld">#REF!</definedName>
    <definedName name="Nama_Karoo_Alluvial_Vegetation" localSheetId="6">#REF!</definedName>
    <definedName name="Nama_Karoo_Alluvial_Vegetation" localSheetId="20">'Ecology Calculator'!$B$344:$B$345</definedName>
    <definedName name="Nama_Karoo_Alluvial_Vegetation" localSheetId="4">#REF!</definedName>
    <definedName name="Nama_Karoo_Alluvial_Vegetation" localSheetId="5">#REF!</definedName>
    <definedName name="Nama_Karoo_Alluvial_Vegetation">#REF!</definedName>
    <definedName name="_xlnm.Print_Area" localSheetId="7">'Building Input'!$A$1:$E$97</definedName>
    <definedName name="_xlnm.Print_Area" localSheetId="27">Calculation!$A$1</definedName>
    <definedName name="_xlnm.Print_Area" localSheetId="28">Calculation1!$A$1</definedName>
    <definedName name="_xlnm.Print_Area" localSheetId="24">'Credit Summary'!$A$1:$K$112</definedName>
    <definedName name="_xlnm.Print_Area" localSheetId="20">'Ecology Calculator'!$A$2:$J$49</definedName>
    <definedName name="_xlnm.Print_Area" localSheetId="21">Emissions!$A$1:$H$32</definedName>
    <definedName name="_xlnm.Print_Area" localSheetId="10">Energy!$A$1:$H$31</definedName>
    <definedName name="_xlnm.Print_Area" localSheetId="11">'Energy Calculator'!$A$1:$K$65</definedName>
    <definedName name="_xlnm.Print_Area" localSheetId="25">'Graphical Summary'!$A$1:$J$129</definedName>
    <definedName name="_xlnm.Print_Area" localSheetId="0">'Green Star SA'!$A$1:$C$29</definedName>
    <definedName name="_xlnm.Print_Area" localSheetId="2">'How to use'!$A$1:$C$29</definedName>
    <definedName name="_xlnm.Print_Area" localSheetId="9">IEQ!$A$1:$H$43</definedName>
    <definedName name="_xlnm.Print_Area" localSheetId="23">Innovation!$A$1:$H$19</definedName>
    <definedName name="_xlnm.Print_Area" localSheetId="19">'Land Use &amp; Ecology'!$A$1:$H$28</definedName>
    <definedName name="_xlnm.Print_Area" localSheetId="12">'Lighting Energy Calculator'!$A$1:$L$83</definedName>
    <definedName name="_xlnm.Print_Area" localSheetId="8">Management!$A$1:$H$34</definedName>
    <definedName name="_xlnm.Print_Area" localSheetId="18">Materials!$A$1:$H$37</definedName>
    <definedName name="_xlnm.Print_Area" localSheetId="22">'Sewage Calculator'!$A$1:$H$50</definedName>
    <definedName name="_xlnm.Print_Area" localSheetId="13">Transport!$A$1:$H$27</definedName>
    <definedName name="_xlnm.Print_Area" localSheetId="14">'Transport Calculator'!$A$1:$N$47</definedName>
    <definedName name="_xlnm.Print_Area" localSheetId="15">Water!$A$1:$H$27</definedName>
    <definedName name="_xlnm.Print_Titles" localSheetId="24">'Credit Summary'!$5:$5</definedName>
    <definedName name="_xlnm.Print_Titles" localSheetId="21">Emissions!$4:$4</definedName>
    <definedName name="_xlnm.Print_Titles" localSheetId="10">Energy!$4:$4</definedName>
    <definedName name="_xlnm.Print_Titles" localSheetId="9">IEQ!$4:$4</definedName>
    <definedName name="_xlnm.Print_Titles" localSheetId="23">Innovation!$4:$4</definedName>
    <definedName name="_xlnm.Print_Titles" localSheetId="19">'Land Use &amp; Ecology'!$4:$4</definedName>
    <definedName name="_xlnm.Print_Titles" localSheetId="8">Management!$4:$4</definedName>
    <definedName name="_xlnm.Print_Titles" localSheetId="18">Materials!$4:$4</definedName>
    <definedName name="_xlnm.Print_Titles" localSheetId="13">Transport!$4:$4</definedName>
    <definedName name="_xlnm.Print_Titles" localSheetId="15">Water!$4:$4</definedName>
    <definedName name="Rainfall_data" localSheetId="6">'[7]Rainfall data'!$B$4:$B$33</definedName>
    <definedName name="Rainfall_data" localSheetId="4">'[7]Rainfall data'!$B$4:$B$33</definedName>
    <definedName name="Rainfall_data" localSheetId="5">'[7]Rainfall data'!$B$4:$B$33</definedName>
    <definedName name="Rainfall_data">#REF!</definedName>
    <definedName name="Renosterveld_Eastern_Centre" localSheetId="6">#REF!</definedName>
    <definedName name="Renosterveld_Eastern_Centre" localSheetId="20">'Ecology Calculator'!$B$194:$B$200</definedName>
    <definedName name="Renosterveld_Eastern_Centre" localSheetId="4">#REF!</definedName>
    <definedName name="Renosterveld_Eastern_Centre" localSheetId="5">#REF!</definedName>
    <definedName name="Renosterveld_Eastern_Centre">#REF!</definedName>
    <definedName name="Renosterveld_Karoo_Centre" localSheetId="6">#REF!</definedName>
    <definedName name="Renosterveld_Karoo_Centre" localSheetId="20">'Ecology Calculator'!$B$202:$B$206</definedName>
    <definedName name="Renosterveld_Karoo_Centre" localSheetId="4">#REF!</definedName>
    <definedName name="Renosterveld_Karoo_Centre" localSheetId="5">#REF!</definedName>
    <definedName name="Renosterveld_Karoo_Centre">#REF!</definedName>
    <definedName name="Renosterveld_Mountain_Centre" localSheetId="6">#REF!</definedName>
    <definedName name="Renosterveld_Mountain_Centre" localSheetId="20">'Ecology Calculator'!$B$208:$B$215</definedName>
    <definedName name="Renosterveld_Mountain_Centre" localSheetId="4">#REF!</definedName>
    <definedName name="Renosterveld_Mountain_Centre" localSheetId="5">#REF!</definedName>
    <definedName name="Renosterveld_Mountain_Centre">#REF!</definedName>
    <definedName name="Renosterveld_South_Coast_Centre" localSheetId="6">#REF!</definedName>
    <definedName name="Renosterveld_South_Coast_Centre" localSheetId="20">'Ecology Calculator'!$B$217:$B$225</definedName>
    <definedName name="Renosterveld_South_Coast_Centre" localSheetId="4">#REF!</definedName>
    <definedName name="Renosterveld_South_Coast_Centre" localSheetId="5">#REF!</definedName>
    <definedName name="Renosterveld_South_Coast_Centre">#REF!</definedName>
    <definedName name="Renosterveld_West_Coast_Centre" localSheetId="6">#REF!</definedName>
    <definedName name="Renosterveld_West_Coast_Centre" localSheetId="20">'Ecology Calculator'!$B$227:$B$233</definedName>
    <definedName name="Renosterveld_West_Coast_Centre" localSheetId="4">#REF!</definedName>
    <definedName name="Renosterveld_West_Coast_Centre" localSheetId="5">#REF!</definedName>
    <definedName name="Renosterveld_West_Coast_Centre">#REF!</definedName>
    <definedName name="RunOff" localSheetId="6">'[7]Potable Water Calculator'!$DJ$366:$DJ$369</definedName>
    <definedName name="RunOff" localSheetId="4">'[7]Potable Water Calculator'!$DJ$366:$DJ$369</definedName>
    <definedName name="RunOff" localSheetId="5">'[7]Potable Water Calculator'!$DJ$366:$DJ$369</definedName>
    <definedName name="RunOff">#REF!</definedName>
    <definedName name="SANS_Regions">#REF!</definedName>
    <definedName name="Savanna_Alluvial_Vegetation" localSheetId="6">#REF!</definedName>
    <definedName name="Savanna_Alluvial_Vegetation" localSheetId="20">'Ecology Calculator'!$B$367:$B$368</definedName>
    <definedName name="Savanna_Alluvial_Vegetation" localSheetId="4">#REF!</definedName>
    <definedName name="Savanna_Alluvial_Vegetation" localSheetId="5">#REF!</definedName>
    <definedName name="Savanna_Alluvial_Vegetation">#REF!</definedName>
    <definedName name="South_Strandveld" localSheetId="6">#REF!</definedName>
    <definedName name="South_Strandveld" localSheetId="20">'Ecology Calculator'!$B$235:$B$242</definedName>
    <definedName name="South_Strandveld" localSheetId="4">#REF!</definedName>
    <definedName name="South_Strandveld" localSheetId="5">#REF!</definedName>
    <definedName name="South_Strandveld">#REF!</definedName>
    <definedName name="Southern_Karoo" localSheetId="6">#REF!</definedName>
    <definedName name="Southern_Karoo" localSheetId="20">'Ecology Calculator'!$B$475:$B$484</definedName>
    <definedName name="Southern_Karoo" localSheetId="4">#REF!</definedName>
    <definedName name="Southern_Karoo" localSheetId="5">#REF!</definedName>
    <definedName name="Southern_Karoo">#REF!</definedName>
    <definedName name="Sub_Escarpment_Grassland" localSheetId="6">#REF!</definedName>
    <definedName name="Sub_Escarpment_Grassland" localSheetId="20">'Ecology Calculator'!$B$326:$B$342</definedName>
    <definedName name="Sub_Escarpment_Grassland" localSheetId="4">#REF!</definedName>
    <definedName name="Sub_Escarpment_Grassland" localSheetId="5">#REF!</definedName>
    <definedName name="Sub_Escarpment_Grassland">#REF!</definedName>
    <definedName name="Sub_Escarpment_Savanna" localSheetId="6">#REF!</definedName>
    <definedName name="Sub_Escarpment_Savanna" localSheetId="20">'Ecology Calculator'!$B$457:$B$464</definedName>
    <definedName name="Sub_Escarpment_Savanna" localSheetId="4">#REF!</definedName>
    <definedName name="Sub_Escarpment_Savanna" localSheetId="5">#REF!</definedName>
    <definedName name="Sub_Escarpment_Savanna">#REF!</definedName>
    <definedName name="Trans_Escarpment_Succulent_Karoo" localSheetId="6">#REF!</definedName>
    <definedName name="Trans_Escarpment_Succulent_Karoo" localSheetId="20">'Ecology Calculator'!$B$486:$B$490</definedName>
    <definedName name="Trans_Escarpment_Succulent_Karoo" localSheetId="4">#REF!</definedName>
    <definedName name="Trans_Escarpment_Succulent_Karoo" localSheetId="5">#REF!</definedName>
    <definedName name="Trans_Escarpment_Succulent_Karoo">#REF!</definedName>
    <definedName name="Upland_Forest" localSheetId="6">#REF!</definedName>
    <definedName name="Upland_Forest" localSheetId="20">'Ecology Calculator'!$B$109:$B$114</definedName>
    <definedName name="Upland_Forest" localSheetId="4">#REF!</definedName>
    <definedName name="Upland_Forest" localSheetId="5">#REF!</definedName>
    <definedName name="Upland_Forest">#REF!</definedName>
    <definedName name="Upper_Karoo" localSheetId="6">#REF!</definedName>
    <definedName name="Upper_Karoo" localSheetId="20">'Ecology Calculator'!$B$361:$B$365</definedName>
    <definedName name="Upper_Karoo" localSheetId="4">#REF!</definedName>
    <definedName name="Upper_Karoo" localSheetId="5">#REF!</definedName>
    <definedName name="Upper_Karoo">#REF!</definedName>
    <definedName name="Urban_Area_and_Unallocated" localSheetId="6">#REF!</definedName>
    <definedName name="Urban_Area_and_Unallocated" localSheetId="20">'Ecology Calculator'!$B$53:$B$54</definedName>
    <definedName name="Urban_Area_and_Unallocated" localSheetId="4">#REF!</definedName>
    <definedName name="Urban_Area_and_Unallocated" localSheetId="5">#REF!</definedName>
    <definedName name="Urban_Area_and_Unallocated" localSheetId="26">#REF!</definedName>
    <definedName name="Urban_Area_and_Unallocated">#REF!</definedName>
    <definedName name="WaterDischarge" localSheetId="6">'[7]Potable Water Calculator'!$N$416:$N$417</definedName>
    <definedName name="WaterDischarge" localSheetId="4">'[7]Potable Water Calculator'!$N$416:$N$417</definedName>
    <definedName name="WaterDischarge" localSheetId="5">'[7]Potable Water Calculator'!$N$416:$N$417</definedName>
    <definedName name="WaterDischarge">#REF!</definedName>
    <definedName name="West_Coast_Sandveld" localSheetId="6">#REF!</definedName>
    <definedName name="West_Coast_Sandveld" localSheetId="20">'Ecology Calculator'!$B$492:$B$508</definedName>
    <definedName name="West_Coast_Sandveld" localSheetId="4">#REF!</definedName>
    <definedName name="West_Coast_Sandveld" localSheetId="5">#REF!</definedName>
    <definedName name="West_Coast_Sandveld">#REF!</definedName>
    <definedName name="West_Strandveld" localSheetId="6">#REF!</definedName>
    <definedName name="West_Strandveld" localSheetId="20">'Ecology Calculator'!$B$244:$B$250</definedName>
    <definedName name="West_Strandveld" localSheetId="4">#REF!</definedName>
    <definedName name="West_Strandveld" localSheetId="5">#REF!</definedName>
    <definedName name="West_Strandveld">#REF!</definedName>
    <definedName name="Western_Gariep" localSheetId="6">#REF!</definedName>
    <definedName name="Western_Gariep" localSheetId="20">'Ecology Calculator'!$B$97:$B$101</definedName>
    <definedName name="Western_Gariep" localSheetId="4">#REF!</definedName>
    <definedName name="Western_Gariep" localSheetId="5">#REF!</definedName>
    <definedName name="Western_Gariep">#REF!</definedName>
    <definedName name="Western_Lowland_Karoo" localSheetId="6">#REF!</definedName>
    <definedName name="Western_Lowland_Karoo" localSheetId="20">'Ecology Calculator'!$B$510:$B$523</definedName>
    <definedName name="Western_Lowland_Karoo" localSheetId="4">#REF!</definedName>
    <definedName name="Western_Lowland_Karoo" localSheetId="5">#REF!</definedName>
    <definedName name="Western_Lowland_Karoo">#REF!</definedName>
    <definedName name="Western_Mountain_Shrubland" localSheetId="6">#REF!</definedName>
    <definedName name="Western_Mountain_Shrubland" localSheetId="20">'Ecology Calculator'!$B$525:$B$526</definedName>
    <definedName name="Western_Mountain_Shrubland" localSheetId="4">#REF!</definedName>
    <definedName name="Western_Mountain_Shrubland" localSheetId="5">#REF!</definedName>
    <definedName name="Western_Mountain_Shrubland">#REF!</definedName>
    <definedName name="Western_Upland_Karoo" localSheetId="6">#REF!</definedName>
    <definedName name="Western_Upland_Karoo" localSheetId="20">'Ecology Calculator'!$B$528:$B$546</definedName>
    <definedName name="Western_Upland_Karoo" localSheetId="4">#REF!</definedName>
    <definedName name="Western_Upland_Karoo" localSheetId="5">#REF!</definedName>
    <definedName name="Western_Upland_Karoo">#REF!</definedName>
    <definedName name="Wetland_Forest" localSheetId="6">#REF!</definedName>
    <definedName name="Wetland_Forest" localSheetId="20">'Ecology Calculator'!$B$116:$B$119</definedName>
    <definedName name="Wetland_Forest" localSheetId="4">#REF!</definedName>
    <definedName name="Wetland_Forest" localSheetId="5">#REF!</definedName>
    <definedName name="Wetland_Forest">#REF!</definedName>
    <definedName name="WhiteSpace" localSheetId="6">#REF!,#REF!</definedName>
    <definedName name="WhiteSpace" localSheetId="20">[3]Summary!$C$4:$G$6,[3]Summary!$B$39:$G$48</definedName>
    <definedName name="WhiteSpace" localSheetId="4">#REF!,#REF!</definedName>
    <definedName name="WhiteSpace" localSheetId="5">#REF!,#REF!</definedName>
    <definedName name="WhiteSpace" localSheetId="22">[5]Summary!$C$4:$G$6,[5]Summary!$B$39:$G$48</definedName>
    <definedName name="WhiteSpace" localSheetId="14">[3]Summary!$C$4:$G$6,[3]Summary!$B$39:$G$48</definedName>
    <definedName name="WhiteSpace">#REF!,#REF!</definedName>
  </definedNames>
  <calcPr calcId="152511" concurrentCalc="0"/>
</workbook>
</file>

<file path=xl/calcChain.xml><?xml version="1.0" encoding="utf-8"?>
<calcChain xmlns="http://schemas.openxmlformats.org/spreadsheetml/2006/main">
  <c r="E13" i="65" l="1"/>
  <c r="E12" i="65"/>
  <c r="G32" i="25"/>
  <c r="F32" i="25"/>
  <c r="E41" i="72"/>
  <c r="G21" i="23"/>
  <c r="I21" i="73"/>
  <c r="K21" i="73"/>
  <c r="I22" i="73"/>
  <c r="K22" i="73"/>
  <c r="I23" i="73"/>
  <c r="K23" i="73"/>
  <c r="I24" i="73"/>
  <c r="K24" i="73"/>
  <c r="I25" i="73"/>
  <c r="K25" i="73"/>
  <c r="I26" i="73"/>
  <c r="K26" i="73"/>
  <c r="I27" i="73"/>
  <c r="K27" i="73"/>
  <c r="I28" i="73"/>
  <c r="K28" i="73"/>
  <c r="I29" i="73"/>
  <c r="K29" i="73"/>
  <c r="I30" i="73"/>
  <c r="K30" i="73"/>
  <c r="I31" i="73"/>
  <c r="K31" i="73"/>
  <c r="I32" i="73"/>
  <c r="K32" i="73"/>
  <c r="I33" i="73"/>
  <c r="K33" i="73"/>
  <c r="I34" i="73"/>
  <c r="K34" i="73"/>
  <c r="I35" i="73"/>
  <c r="K35" i="73"/>
  <c r="I36" i="73"/>
  <c r="K36" i="73"/>
  <c r="I37" i="73"/>
  <c r="K37" i="73"/>
  <c r="I38" i="73"/>
  <c r="K38" i="73"/>
  <c r="I39" i="73"/>
  <c r="K39" i="73"/>
  <c r="I40" i="73"/>
  <c r="K40" i="73"/>
  <c r="I41" i="73"/>
  <c r="K41" i="73"/>
  <c r="I42" i="73"/>
  <c r="K42" i="73"/>
  <c r="I43" i="73"/>
  <c r="K43" i="73"/>
  <c r="I44" i="73"/>
  <c r="K44" i="73"/>
  <c r="I45" i="73"/>
  <c r="K45" i="73"/>
  <c r="I46" i="73"/>
  <c r="K46" i="73"/>
  <c r="I47" i="73"/>
  <c r="K47" i="73"/>
  <c r="I48" i="73"/>
  <c r="K48" i="73"/>
  <c r="I49" i="73"/>
  <c r="K49" i="73"/>
  <c r="I50" i="73"/>
  <c r="K50" i="73"/>
  <c r="I51" i="73"/>
  <c r="K51" i="73"/>
  <c r="I52" i="73"/>
  <c r="K52" i="73"/>
  <c r="I53" i="73"/>
  <c r="K53" i="73"/>
  <c r="I54" i="73"/>
  <c r="K54" i="73"/>
  <c r="I55" i="73"/>
  <c r="K55" i="73"/>
  <c r="I56" i="73"/>
  <c r="K56" i="73"/>
  <c r="I57" i="73"/>
  <c r="K57" i="73"/>
  <c r="I58" i="73"/>
  <c r="K58" i="73"/>
  <c r="I59" i="73"/>
  <c r="K59" i="73"/>
  <c r="I60" i="73"/>
  <c r="K60" i="73"/>
  <c r="C21" i="76"/>
  <c r="C22" i="76"/>
  <c r="C23" i="76"/>
  <c r="C24" i="76"/>
  <c r="C34" i="76"/>
  <c r="C35" i="76"/>
  <c r="C33" i="76"/>
  <c r="C32" i="76"/>
  <c r="C20" i="76"/>
  <c r="C19" i="76"/>
  <c r="B74" i="99"/>
  <c r="B73" i="99"/>
  <c r="B72" i="99"/>
  <c r="B71" i="99"/>
  <c r="B70" i="99"/>
  <c r="B69" i="99"/>
  <c r="B68" i="99"/>
  <c r="B67" i="99"/>
  <c r="B66" i="99"/>
  <c r="B65" i="99"/>
  <c r="B64" i="99"/>
  <c r="B63" i="99"/>
  <c r="B62" i="99"/>
  <c r="B61" i="99"/>
  <c r="B60" i="99"/>
  <c r="B59" i="99"/>
  <c r="B58" i="99"/>
  <c r="B57" i="99"/>
  <c r="B56" i="99"/>
  <c r="B55" i="99"/>
  <c r="B54" i="99"/>
  <c r="B53" i="99"/>
  <c r="B52" i="99"/>
  <c r="B51" i="99"/>
  <c r="B50" i="99"/>
  <c r="B49" i="99"/>
  <c r="B48" i="99"/>
  <c r="B47" i="99"/>
  <c r="B46" i="99"/>
  <c r="E45" i="98"/>
  <c r="BS5" i="98"/>
  <c r="BS7" i="98"/>
  <c r="B45" i="99"/>
  <c r="P38" i="99"/>
  <c r="O37" i="99"/>
  <c r="N37" i="99"/>
  <c r="M37" i="99"/>
  <c r="L37" i="99"/>
  <c r="K37" i="99"/>
  <c r="J37" i="99"/>
  <c r="I37" i="99"/>
  <c r="H37" i="99"/>
  <c r="G37" i="99"/>
  <c r="F37" i="99"/>
  <c r="E37" i="99"/>
  <c r="D37" i="99"/>
  <c r="Q33" i="99"/>
  <c r="Q32" i="99"/>
  <c r="Q31" i="99"/>
  <c r="Q30" i="99"/>
  <c r="Q29" i="99"/>
  <c r="Q28" i="99"/>
  <c r="Q27" i="99"/>
  <c r="Q26" i="99"/>
  <c r="Q25" i="99"/>
  <c r="D32" i="98"/>
  <c r="C208" i="98"/>
  <c r="R206" i="98"/>
  <c r="Q24" i="99"/>
  <c r="AE23" i="99"/>
  <c r="Q23" i="99"/>
  <c r="Q22" i="99"/>
  <c r="Q21" i="99"/>
  <c r="Q20" i="99"/>
  <c r="Q19" i="99"/>
  <c r="Q18" i="99"/>
  <c r="Q17" i="99"/>
  <c r="Q16" i="99"/>
  <c r="Q15" i="99"/>
  <c r="Q14" i="99"/>
  <c r="Q13" i="99"/>
  <c r="Q12" i="99"/>
  <c r="AE11" i="99"/>
  <c r="Q11" i="99"/>
  <c r="AE10" i="99"/>
  <c r="Q10" i="99"/>
  <c r="AE9" i="99"/>
  <c r="Q9" i="99"/>
  <c r="AE8" i="99"/>
  <c r="Q8" i="99"/>
  <c r="AE7" i="99"/>
  <c r="Q7" i="99"/>
  <c r="AE6" i="99"/>
  <c r="Q6" i="99"/>
  <c r="Q5" i="99"/>
  <c r="Q4" i="99"/>
  <c r="E467" i="98"/>
  <c r="D467" i="98"/>
  <c r="F445" i="98"/>
  <c r="F444" i="98"/>
  <c r="F443" i="98"/>
  <c r="F442" i="98"/>
  <c r="F441" i="98"/>
  <c r="F440" i="98"/>
  <c r="F439" i="98"/>
  <c r="F438" i="98"/>
  <c r="F437" i="98"/>
  <c r="F436" i="98"/>
  <c r="F435" i="98"/>
  <c r="F434" i="98"/>
  <c r="B423" i="98"/>
  <c r="B458" i="98"/>
  <c r="Y392" i="98"/>
  <c r="B422" i="98"/>
  <c r="B457" i="98"/>
  <c r="X392" i="98"/>
  <c r="B421" i="98"/>
  <c r="B456" i="98"/>
  <c r="W392" i="98"/>
  <c r="B420" i="98"/>
  <c r="B455" i="98"/>
  <c r="B419" i="98"/>
  <c r="B454" i="98"/>
  <c r="B418" i="98"/>
  <c r="B453" i="98"/>
  <c r="B417" i="98"/>
  <c r="B452" i="98"/>
  <c r="B416" i="98"/>
  <c r="B451" i="98"/>
  <c r="B415" i="98"/>
  <c r="B450" i="98"/>
  <c r="E410" i="98"/>
  <c r="E409" i="98"/>
  <c r="E408" i="98"/>
  <c r="AG407" i="98"/>
  <c r="E407" i="98"/>
  <c r="AG406" i="98"/>
  <c r="AG405" i="98"/>
  <c r="AG404" i="98"/>
  <c r="AG403" i="98"/>
  <c r="N402" i="98"/>
  <c r="BJ10" i="98"/>
  <c r="N385" i="98"/>
  <c r="N387" i="98"/>
  <c r="BI384" i="98"/>
  <c r="BI383" i="98"/>
  <c r="BI382" i="98"/>
  <c r="BI381" i="98"/>
  <c r="BI380" i="98"/>
  <c r="BI379" i="98"/>
  <c r="BI378" i="98"/>
  <c r="BI377" i="98"/>
  <c r="BI376" i="98"/>
  <c r="BI375" i="98"/>
  <c r="BI374" i="98"/>
  <c r="BI373" i="98"/>
  <c r="BI372" i="98"/>
  <c r="BI371" i="98"/>
  <c r="BI370" i="98"/>
  <c r="BI369" i="98"/>
  <c r="BI368" i="98"/>
  <c r="AA368" i="98"/>
  <c r="Z368" i="98"/>
  <c r="Y368" i="98"/>
  <c r="X368" i="98"/>
  <c r="W368" i="98"/>
  <c r="V368" i="98"/>
  <c r="U368" i="98"/>
  <c r="T368" i="98"/>
  <c r="S368" i="98"/>
  <c r="R368" i="98"/>
  <c r="Q368" i="98"/>
  <c r="BI367" i="98"/>
  <c r="AK367" i="98"/>
  <c r="AJ367" i="98"/>
  <c r="X367" i="98"/>
  <c r="W367" i="98"/>
  <c r="BI366" i="98"/>
  <c r="BI365" i="98"/>
  <c r="BI364" i="98"/>
  <c r="BI363" i="98"/>
  <c r="BI362" i="98"/>
  <c r="BI361" i="98"/>
  <c r="BI360" i="98"/>
  <c r="BI359" i="98"/>
  <c r="BI358" i="98"/>
  <c r="BI357" i="98"/>
  <c r="BI356" i="98"/>
  <c r="BI355" i="98"/>
  <c r="BI354" i="98"/>
  <c r="BI353" i="98"/>
  <c r="BI352" i="98"/>
  <c r="BI351" i="98"/>
  <c r="BI350" i="98"/>
  <c r="D350" i="98"/>
  <c r="C350" i="98"/>
  <c r="BI349" i="98"/>
  <c r="BI348" i="98"/>
  <c r="B348" i="98"/>
  <c r="AD333" i="98"/>
  <c r="AT333" i="98"/>
  <c r="BI347" i="98"/>
  <c r="B347" i="98"/>
  <c r="BI346" i="98"/>
  <c r="B346" i="98"/>
  <c r="AG408" i="98"/>
  <c r="BI345" i="98"/>
  <c r="P345" i="98"/>
  <c r="BI344" i="98"/>
  <c r="P344" i="98"/>
  <c r="BI343" i="98"/>
  <c r="P343" i="98"/>
  <c r="BI342" i="98"/>
  <c r="P342" i="98"/>
  <c r="BI341" i="98"/>
  <c r="P341" i="98"/>
  <c r="BI340" i="98"/>
  <c r="P340" i="98"/>
  <c r="B340" i="98"/>
  <c r="AG402" i="98"/>
  <c r="BI339" i="98"/>
  <c r="P339" i="98"/>
  <c r="B339" i="98"/>
  <c r="AG401" i="98"/>
  <c r="BI338" i="98"/>
  <c r="P338" i="98"/>
  <c r="B338" i="98"/>
  <c r="AG400" i="98"/>
  <c r="BI337" i="98"/>
  <c r="P337" i="98"/>
  <c r="BI336" i="98"/>
  <c r="P336" i="98"/>
  <c r="D336" i="98"/>
  <c r="C336" i="98"/>
  <c r="BI335" i="98"/>
  <c r="P335" i="98"/>
  <c r="BI334" i="98"/>
  <c r="P334" i="98"/>
  <c r="BI333" i="98"/>
  <c r="AQ333" i="98"/>
  <c r="AP333" i="98"/>
  <c r="AO333" i="98"/>
  <c r="AN333" i="98"/>
  <c r="AM333" i="98"/>
  <c r="AL333" i="98"/>
  <c r="AK333" i="98"/>
  <c r="AJ333" i="98"/>
  <c r="AI333" i="98"/>
  <c r="AH333" i="98"/>
  <c r="AG333" i="98"/>
  <c r="AC333" i="98"/>
  <c r="AS333" i="98"/>
  <c r="BI332" i="98"/>
  <c r="BI331" i="98"/>
  <c r="AG331" i="98"/>
  <c r="Q331" i="98"/>
  <c r="BI330" i="98"/>
  <c r="N330" i="98"/>
  <c r="J330" i="98"/>
  <c r="F330" i="98"/>
  <c r="B330" i="98"/>
  <c r="BI329" i="98"/>
  <c r="BI328" i="98"/>
  <c r="BI327" i="98"/>
  <c r="BI326" i="98"/>
  <c r="L326" i="98"/>
  <c r="K326" i="98"/>
  <c r="H326" i="98"/>
  <c r="G326" i="98"/>
  <c r="D326" i="98"/>
  <c r="C326" i="98"/>
  <c r="BI325" i="98"/>
  <c r="BI324" i="98"/>
  <c r="BI323" i="98"/>
  <c r="DN322" i="98"/>
  <c r="BI322" i="98"/>
  <c r="DN321" i="98"/>
  <c r="BI321" i="98"/>
  <c r="DN320" i="98"/>
  <c r="BI320" i="98"/>
  <c r="DN319" i="98"/>
  <c r="BI319" i="98"/>
  <c r="BI318" i="98"/>
  <c r="BI317" i="98"/>
  <c r="BI316" i="98"/>
  <c r="N316" i="98"/>
  <c r="BI315" i="98"/>
  <c r="N315" i="98"/>
  <c r="BI314" i="98"/>
  <c r="N314" i="98"/>
  <c r="BI313" i="98"/>
  <c r="BI312" i="98"/>
  <c r="BI311" i="98"/>
  <c r="BI310" i="98"/>
  <c r="BI309" i="98"/>
  <c r="BI308" i="98"/>
  <c r="N308" i="98"/>
  <c r="BI307" i="98"/>
  <c r="BI306" i="98"/>
  <c r="BI305" i="98"/>
  <c r="BI304" i="98"/>
  <c r="O304" i="98"/>
  <c r="BI303" i="98"/>
  <c r="BI302" i="98"/>
  <c r="BI301" i="98"/>
  <c r="BI300" i="98"/>
  <c r="DN299" i="98"/>
  <c r="BI299" i="98"/>
  <c r="DN298" i="98"/>
  <c r="BI298" i="98"/>
  <c r="DN297" i="98"/>
  <c r="BI297" i="98"/>
  <c r="C297" i="98"/>
  <c r="DN296" i="98"/>
  <c r="BI296" i="98"/>
  <c r="DN295" i="98"/>
  <c r="BI295" i="98"/>
  <c r="DN294" i="98"/>
  <c r="BI294" i="98"/>
  <c r="DN293" i="98"/>
  <c r="Q289" i="98"/>
  <c r="BI293" i="98"/>
  <c r="BI292" i="98"/>
  <c r="P292" i="98"/>
  <c r="Q292" i="98"/>
  <c r="BI291" i="98"/>
  <c r="P291" i="98"/>
  <c r="Q291" i="98"/>
  <c r="BI290" i="98"/>
  <c r="P290" i="98"/>
  <c r="BI289" i="98"/>
  <c r="P289" i="98"/>
  <c r="BI288" i="98"/>
  <c r="BI287" i="98"/>
  <c r="BI286" i="98"/>
  <c r="BI285" i="98"/>
  <c r="BI284" i="98"/>
  <c r="P284" i="98"/>
  <c r="BI283" i="98"/>
  <c r="BI282" i="98"/>
  <c r="BI281" i="98"/>
  <c r="BI280" i="98"/>
  <c r="N280" i="98"/>
  <c r="BI279" i="98"/>
  <c r="BI278" i="98"/>
  <c r="BI277" i="98"/>
  <c r="BI276" i="98"/>
  <c r="BI275" i="98"/>
  <c r="N275" i="98"/>
  <c r="BI274" i="98"/>
  <c r="BI273" i="98"/>
  <c r="BI272" i="98"/>
  <c r="BI271" i="98"/>
  <c r="BI270" i="98"/>
  <c r="BI269" i="98"/>
  <c r="BI268" i="98"/>
  <c r="C268" i="98"/>
  <c r="BI267" i="98"/>
  <c r="BI266" i="98"/>
  <c r="BI265" i="98"/>
  <c r="BI264" i="98"/>
  <c r="BI263" i="98"/>
  <c r="BI262" i="98"/>
  <c r="BI261" i="98"/>
  <c r="BI260" i="98"/>
  <c r="BI259" i="98"/>
  <c r="BI258" i="98"/>
  <c r="BI257" i="98"/>
  <c r="G257" i="98"/>
  <c r="BI256" i="98"/>
  <c r="BI255" i="98"/>
  <c r="P255" i="98"/>
  <c r="BI254" i="98"/>
  <c r="BI253" i="98"/>
  <c r="BI252" i="98"/>
  <c r="BI251" i="98"/>
  <c r="N251" i="98"/>
  <c r="BI250" i="98"/>
  <c r="BI249" i="98"/>
  <c r="BI248" i="98"/>
  <c r="BI247" i="98"/>
  <c r="BI246" i="98"/>
  <c r="N246" i="98"/>
  <c r="BI245" i="98"/>
  <c r="BI244" i="98"/>
  <c r="O244" i="98"/>
  <c r="BI243" i="98"/>
  <c r="X243" i="98"/>
  <c r="O243" i="98"/>
  <c r="BI242" i="98"/>
  <c r="X242" i="98"/>
  <c r="O242" i="98"/>
  <c r="BI241" i="98"/>
  <c r="X241" i="98"/>
  <c r="O241" i="98"/>
  <c r="DO240" i="98"/>
  <c r="BI240" i="98"/>
  <c r="Z240" i="98"/>
  <c r="X240" i="98"/>
  <c r="O240" i="98"/>
  <c r="BI239" i="98"/>
  <c r="Z239" i="98"/>
  <c r="X239" i="98"/>
  <c r="O239" i="98"/>
  <c r="Y332" i="98"/>
  <c r="AO332" i="98"/>
  <c r="BI238" i="98"/>
  <c r="BI237" i="98"/>
  <c r="BI236" i="98"/>
  <c r="DL235" i="98"/>
  <c r="BI235" i="98"/>
  <c r="DM234" i="98"/>
  <c r="DN234" i="98"/>
  <c r="BI234" i="98"/>
  <c r="DM233" i="98"/>
  <c r="DN233" i="98"/>
  <c r="BI233" i="98"/>
  <c r="DM232" i="98"/>
  <c r="BI232" i="98"/>
  <c r="BI231" i="98"/>
  <c r="BI230" i="98"/>
  <c r="DL229" i="98"/>
  <c r="BI229" i="98"/>
  <c r="DM228" i="98"/>
  <c r="DN228" i="98"/>
  <c r="P231" i="98"/>
  <c r="S231" i="98"/>
  <c r="BI228" i="98"/>
  <c r="DM227" i="98"/>
  <c r="DN227" i="98"/>
  <c r="BI227" i="98"/>
  <c r="DM226" i="98"/>
  <c r="DM229" i="98"/>
  <c r="BI226" i="98"/>
  <c r="BI225" i="98"/>
  <c r="BI224" i="98"/>
  <c r="BI223" i="98"/>
  <c r="BI222" i="98"/>
  <c r="BI221" i="98"/>
  <c r="BI220" i="98"/>
  <c r="N220" i="98"/>
  <c r="BI219" i="98"/>
  <c r="BI218" i="98"/>
  <c r="BI217" i="98"/>
  <c r="BI216" i="98"/>
  <c r="BI215" i="98"/>
  <c r="BI214" i="98"/>
  <c r="BI213" i="98"/>
  <c r="BI212" i="98"/>
  <c r="BI211" i="98"/>
  <c r="BI210" i="98"/>
  <c r="BI209" i="98"/>
  <c r="DO208" i="98"/>
  <c r="BI208" i="98"/>
  <c r="BI207" i="98"/>
  <c r="BI206" i="98"/>
  <c r="BI205" i="98"/>
  <c r="BI204" i="98"/>
  <c r="BI203" i="98"/>
  <c r="BI202" i="98"/>
  <c r="AF202" i="98"/>
  <c r="AE202" i="98"/>
  <c r="AM202" i="98"/>
  <c r="AC202" i="98"/>
  <c r="AB202" i="98"/>
  <c r="AL202" i="98"/>
  <c r="Z202" i="98"/>
  <c r="Y202" i="98"/>
  <c r="AK202" i="98"/>
  <c r="W202" i="98"/>
  <c r="V202" i="98"/>
  <c r="AJ202" i="98"/>
  <c r="C202" i="98"/>
  <c r="BI201" i="98"/>
  <c r="E201" i="98"/>
  <c r="DL200" i="98"/>
  <c r="BI200" i="98"/>
  <c r="E200" i="98"/>
  <c r="DL199" i="98"/>
  <c r="AI195" i="98"/>
  <c r="BI199" i="98"/>
  <c r="W199" i="98"/>
  <c r="V199" i="98"/>
  <c r="U199" i="98"/>
  <c r="T199" i="98"/>
  <c r="R199" i="98"/>
  <c r="Q199" i="98"/>
  <c r="P199" i="98"/>
  <c r="O199" i="98"/>
  <c r="E199" i="98"/>
  <c r="DL198" i="98"/>
  <c r="BI198" i="98"/>
  <c r="W198" i="98"/>
  <c r="V198" i="98"/>
  <c r="U198" i="98"/>
  <c r="T198" i="98"/>
  <c r="R198" i="98"/>
  <c r="Q198" i="98"/>
  <c r="S198" i="98"/>
  <c r="P198" i="98"/>
  <c r="O198" i="98"/>
  <c r="E198" i="98"/>
  <c r="DL197" i="98"/>
  <c r="BI197" i="98"/>
  <c r="W197" i="98"/>
  <c r="V197" i="98"/>
  <c r="U197" i="98"/>
  <c r="T197" i="98"/>
  <c r="R197" i="98"/>
  <c r="Q197" i="98"/>
  <c r="P197" i="98"/>
  <c r="O197" i="98"/>
  <c r="E197" i="98"/>
  <c r="DL196" i="98"/>
  <c r="BI196" i="98"/>
  <c r="W196" i="98"/>
  <c r="V196" i="98"/>
  <c r="U196" i="98"/>
  <c r="T196" i="98"/>
  <c r="R196" i="98"/>
  <c r="Q196" i="98"/>
  <c r="P196" i="98"/>
  <c r="O196" i="98"/>
  <c r="BI195" i="98"/>
  <c r="AM195" i="98"/>
  <c r="AK195" i="98"/>
  <c r="AJ195" i="98"/>
  <c r="W195" i="98"/>
  <c r="V195" i="98"/>
  <c r="U195" i="98"/>
  <c r="T195" i="98"/>
  <c r="R195" i="98"/>
  <c r="Q195" i="98"/>
  <c r="P195" i="98"/>
  <c r="T202" i="98"/>
  <c r="O195" i="98"/>
  <c r="S202" i="98"/>
  <c r="AI202" i="98"/>
  <c r="BI194" i="98"/>
  <c r="BI193" i="98"/>
  <c r="BI192" i="98"/>
  <c r="BI191" i="98"/>
  <c r="BI190" i="98"/>
  <c r="BI189" i="98"/>
  <c r="BI188" i="98"/>
  <c r="BI187" i="98"/>
  <c r="BI186" i="98"/>
  <c r="BI185" i="98"/>
  <c r="BI184" i="98"/>
  <c r="BI183" i="98"/>
  <c r="BI182" i="98"/>
  <c r="BI181" i="98"/>
  <c r="BI180" i="98"/>
  <c r="BI179" i="98"/>
  <c r="BI178" i="98"/>
  <c r="BI177" i="98"/>
  <c r="BI176" i="98"/>
  <c r="BI175" i="98"/>
  <c r="BI174" i="98"/>
  <c r="BI173" i="98"/>
  <c r="BI172" i="98"/>
  <c r="BI171" i="98"/>
  <c r="BI170" i="98"/>
  <c r="BI169" i="98"/>
  <c r="BI168" i="98"/>
  <c r="BI167" i="98"/>
  <c r="BI166" i="98"/>
  <c r="BI165" i="98"/>
  <c r="BI164" i="98"/>
  <c r="BI163" i="98"/>
  <c r="BI162" i="98"/>
  <c r="BI161" i="98"/>
  <c r="BI160" i="98"/>
  <c r="BI159" i="98"/>
  <c r="BI158" i="98"/>
  <c r="BI157" i="98"/>
  <c r="BI156" i="98"/>
  <c r="C156" i="98"/>
  <c r="BI155" i="98"/>
  <c r="BI154" i="98"/>
  <c r="BI153" i="98"/>
  <c r="BI152" i="98"/>
  <c r="BI151" i="98"/>
  <c r="BI150" i="98"/>
  <c r="BI149" i="98"/>
  <c r="BI148" i="98"/>
  <c r="BI147" i="98"/>
  <c r="BI146" i="98"/>
  <c r="BI145" i="98"/>
  <c r="BI144" i="98"/>
  <c r="BI143" i="98"/>
  <c r="BI142" i="98"/>
  <c r="I142" i="98"/>
  <c r="D178" i="98"/>
  <c r="E206" i="98"/>
  <c r="C142" i="98"/>
  <c r="C178" i="98"/>
  <c r="D206" i="98"/>
  <c r="BI141" i="98"/>
  <c r="BI140" i="98"/>
  <c r="BI139" i="98"/>
  <c r="I139" i="98"/>
  <c r="BI138" i="98"/>
  <c r="O138" i="98"/>
  <c r="C174" i="98"/>
  <c r="I138" i="98"/>
  <c r="W154" i="98"/>
  <c r="BI137" i="98"/>
  <c r="O137" i="98"/>
  <c r="I137" i="98"/>
  <c r="BI136" i="98"/>
  <c r="O136" i="98"/>
  <c r="I136" i="98"/>
  <c r="O143" i="98"/>
  <c r="I156" i="98"/>
  <c r="BI135" i="98"/>
  <c r="BI134" i="98"/>
  <c r="BI133" i="98"/>
  <c r="BI132" i="98"/>
  <c r="BI131" i="98"/>
  <c r="BI130" i="98"/>
  <c r="BI129" i="98"/>
  <c r="BI128" i="98"/>
  <c r="BI127" i="98"/>
  <c r="BI126" i="98"/>
  <c r="BI125" i="98"/>
  <c r="BI124" i="98"/>
  <c r="BI123" i="98"/>
  <c r="BI122" i="98"/>
  <c r="BI121" i="98"/>
  <c r="BI120" i="98"/>
  <c r="BI119" i="98"/>
  <c r="BI118" i="98"/>
  <c r="BI117" i="98"/>
  <c r="BI116" i="98"/>
  <c r="BI115" i="98"/>
  <c r="BI114" i="98"/>
  <c r="BI113" i="98"/>
  <c r="BI112" i="98"/>
  <c r="BI111" i="98"/>
  <c r="BI110" i="98"/>
  <c r="BI109" i="98"/>
  <c r="BI108" i="98"/>
  <c r="BI107" i="98"/>
  <c r="BI106" i="98"/>
  <c r="BI105" i="98"/>
  <c r="B105" i="98"/>
  <c r="B337" i="98"/>
  <c r="AG399" i="98"/>
  <c r="BI104" i="98"/>
  <c r="D104" i="98"/>
  <c r="BI103" i="98"/>
  <c r="D103" i="98"/>
  <c r="C103" i="98"/>
  <c r="BI102" i="98"/>
  <c r="BI101" i="98"/>
  <c r="BI100" i="98"/>
  <c r="BI99" i="98"/>
  <c r="BI98" i="98"/>
  <c r="BI97" i="98"/>
  <c r="BI96" i="98"/>
  <c r="F96" i="98"/>
  <c r="B96" i="98"/>
  <c r="BI95" i="98"/>
  <c r="BI94" i="98"/>
  <c r="N94" i="98"/>
  <c r="BI93" i="98"/>
  <c r="BI92" i="98"/>
  <c r="N92" i="98"/>
  <c r="BI91" i="98"/>
  <c r="BI90" i="98"/>
  <c r="BI89" i="98"/>
  <c r="BI88" i="98"/>
  <c r="BI87" i="98"/>
  <c r="BI86" i="98"/>
  <c r="F86" i="98"/>
  <c r="B86" i="98"/>
  <c r="BI85" i="98"/>
  <c r="U85" i="98"/>
  <c r="O85" i="98"/>
  <c r="N85" i="98"/>
  <c r="BI84" i="98"/>
  <c r="U84" i="98"/>
  <c r="O84" i="98"/>
  <c r="N84" i="98"/>
  <c r="BI83" i="98"/>
  <c r="U83" i="98"/>
  <c r="O83" i="98"/>
  <c r="N83" i="98"/>
  <c r="BI82" i="98"/>
  <c r="U82" i="98"/>
  <c r="O82" i="98"/>
  <c r="N82" i="98"/>
  <c r="BI81" i="98"/>
  <c r="BI80" i="98"/>
  <c r="BI79" i="98"/>
  <c r="BI78" i="98"/>
  <c r="BI77" i="98"/>
  <c r="BI76" i="98"/>
  <c r="F76" i="98"/>
  <c r="B76" i="98"/>
  <c r="BI75" i="98"/>
  <c r="BI74" i="98"/>
  <c r="BI73" i="98"/>
  <c r="BI72" i="98"/>
  <c r="BI71" i="98"/>
  <c r="BI70" i="98"/>
  <c r="BI69" i="98"/>
  <c r="BI68" i="98"/>
  <c r="BI67" i="98"/>
  <c r="E67" i="98"/>
  <c r="BI66" i="98"/>
  <c r="DM65" i="98"/>
  <c r="BI65" i="98"/>
  <c r="DM64" i="98"/>
  <c r="BI64" i="98"/>
  <c r="DM63" i="98"/>
  <c r="R62" i="98"/>
  <c r="BI63" i="98"/>
  <c r="Y63" i="98"/>
  <c r="X63" i="98"/>
  <c r="U63" i="98"/>
  <c r="V63" i="98"/>
  <c r="BI62" i="98"/>
  <c r="Y62" i="98"/>
  <c r="X62" i="98"/>
  <c r="Z62" i="98"/>
  <c r="F62" i="98"/>
  <c r="B62" i="98"/>
  <c r="BI61" i="98"/>
  <c r="V61" i="98"/>
  <c r="S61" i="98"/>
  <c r="DM60" i="98"/>
  <c r="BI60" i="98"/>
  <c r="Z60" i="98"/>
  <c r="V60" i="98"/>
  <c r="R60" i="98"/>
  <c r="DM59" i="98"/>
  <c r="BI59" i="98"/>
  <c r="Z59" i="98"/>
  <c r="V59" i="98"/>
  <c r="R59" i="98"/>
  <c r="DM58" i="98"/>
  <c r="BI58" i="98"/>
  <c r="BI57" i="98"/>
  <c r="BI56" i="98"/>
  <c r="BI55" i="98"/>
  <c r="BI54" i="98"/>
  <c r="BI53" i="98"/>
  <c r="BI52" i="98"/>
  <c r="BI51" i="98"/>
  <c r="BI50" i="98"/>
  <c r="BI49" i="98"/>
  <c r="BI48" i="98"/>
  <c r="BI47" i="98"/>
  <c r="D47" i="98"/>
  <c r="Q216" i="98"/>
  <c r="BI46" i="98"/>
  <c r="D46" i="98"/>
  <c r="Q215" i="98"/>
  <c r="W235" i="98"/>
  <c r="BI45" i="98"/>
  <c r="D45" i="98"/>
  <c r="BS4" i="98"/>
  <c r="BI44" i="98"/>
  <c r="E44" i="98"/>
  <c r="BR5" i="98"/>
  <c r="BR7" i="98"/>
  <c r="D44" i="98"/>
  <c r="Q213" i="98"/>
  <c r="BI43" i="98"/>
  <c r="D43" i="98"/>
  <c r="Q212" i="98"/>
  <c r="BI42" i="98"/>
  <c r="D42" i="98"/>
  <c r="Q211" i="98"/>
  <c r="BI41" i="98"/>
  <c r="D41" i="98"/>
  <c r="Q210" i="98"/>
  <c r="ET40" i="98"/>
  <c r="AM25" i="98"/>
  <c r="ES40" i="98"/>
  <c r="AL25" i="98"/>
  <c r="ER40" i="98"/>
  <c r="EQ40" i="98"/>
  <c r="AL24" i="98"/>
  <c r="EP40" i="98"/>
  <c r="AM23" i="98"/>
  <c r="EO40" i="98"/>
  <c r="AL23" i="98"/>
  <c r="EN40" i="98"/>
  <c r="EM40" i="98"/>
  <c r="AL22" i="98"/>
  <c r="EL40" i="98"/>
  <c r="AM21" i="98"/>
  <c r="EK40" i="98"/>
  <c r="AL21" i="98"/>
  <c r="EJ40" i="98"/>
  <c r="EI40" i="98"/>
  <c r="AL20" i="98"/>
  <c r="EH40" i="98"/>
  <c r="EG40" i="98"/>
  <c r="EF40" i="98"/>
  <c r="AM19" i="98"/>
  <c r="EE40" i="98"/>
  <c r="AL19" i="98"/>
  <c r="ED40" i="98"/>
  <c r="AM17" i="98"/>
  <c r="EC40" i="98"/>
  <c r="AL17" i="98"/>
  <c r="EB40" i="98"/>
  <c r="EA40" i="98"/>
  <c r="AL16" i="98"/>
  <c r="DZ40" i="98"/>
  <c r="AM15" i="98"/>
  <c r="DY40" i="98"/>
  <c r="AL15" i="98"/>
  <c r="DX40" i="98"/>
  <c r="DW40" i="98"/>
  <c r="AL14" i="98"/>
  <c r="DV40" i="98"/>
  <c r="AM13" i="98"/>
  <c r="DU40" i="98"/>
  <c r="AL13" i="98"/>
  <c r="DT40" i="98"/>
  <c r="DS40" i="98"/>
  <c r="AL12" i="98"/>
  <c r="BI40" i="98"/>
  <c r="AE40" i="98"/>
  <c r="AD40" i="98"/>
  <c r="AC40" i="98"/>
  <c r="AB40" i="98"/>
  <c r="AA40" i="98"/>
  <c r="Z40" i="98"/>
  <c r="Y40" i="98"/>
  <c r="X40" i="98"/>
  <c r="W40" i="98"/>
  <c r="V40" i="98"/>
  <c r="U40" i="98"/>
  <c r="T40" i="98"/>
  <c r="D40" i="98"/>
  <c r="Q209" i="98"/>
  <c r="ET39" i="98"/>
  <c r="ES39" i="98"/>
  <c r="AJ25" i="98"/>
  <c r="ER39" i="98"/>
  <c r="AK24" i="98"/>
  <c r="EQ39" i="98"/>
  <c r="AJ24" i="98"/>
  <c r="EP39" i="98"/>
  <c r="EO39" i="98"/>
  <c r="AJ23" i="98"/>
  <c r="EN39" i="98"/>
  <c r="AK22" i="98"/>
  <c r="EM39" i="98"/>
  <c r="AJ22" i="98"/>
  <c r="EL39" i="98"/>
  <c r="EK39" i="98"/>
  <c r="AJ21" i="98"/>
  <c r="EJ39" i="98"/>
  <c r="AK20" i="98"/>
  <c r="EI39" i="98"/>
  <c r="AJ20" i="98"/>
  <c r="EH39" i="98"/>
  <c r="EG39" i="98"/>
  <c r="AJ19" i="98"/>
  <c r="EF39" i="98"/>
  <c r="AK18" i="98"/>
  <c r="EE39" i="98"/>
  <c r="AJ18" i="98"/>
  <c r="ED39" i="98"/>
  <c r="EC39" i="98"/>
  <c r="AJ17" i="98"/>
  <c r="EB39" i="98"/>
  <c r="AK16" i="98"/>
  <c r="EA39" i="98"/>
  <c r="AJ16" i="98"/>
  <c r="DZ39" i="98"/>
  <c r="DY39" i="98"/>
  <c r="AJ15" i="98"/>
  <c r="DX39" i="98"/>
  <c r="AK14" i="98"/>
  <c r="DW39" i="98"/>
  <c r="AJ14" i="98"/>
  <c r="DV39" i="98"/>
  <c r="DU39" i="98"/>
  <c r="AJ13" i="98"/>
  <c r="DT39" i="98"/>
  <c r="AK12" i="98"/>
  <c r="DS39" i="98"/>
  <c r="AJ12" i="98"/>
  <c r="BI39" i="98"/>
  <c r="AE39" i="98"/>
  <c r="AD39" i="98"/>
  <c r="AC39" i="98"/>
  <c r="AB39" i="98"/>
  <c r="AA39" i="98"/>
  <c r="Z39" i="98"/>
  <c r="Y39" i="98"/>
  <c r="X39" i="98"/>
  <c r="W39" i="98"/>
  <c r="V39" i="98"/>
  <c r="U39" i="98"/>
  <c r="T39" i="98"/>
  <c r="D39" i="98"/>
  <c r="Q208" i="98"/>
  <c r="W228" i="98"/>
  <c r="BI38" i="98"/>
  <c r="AE38" i="98"/>
  <c r="AD38" i="98"/>
  <c r="AC38" i="98"/>
  <c r="AB38" i="98"/>
  <c r="AA38" i="98"/>
  <c r="Z38" i="98"/>
  <c r="Y38" i="98"/>
  <c r="X38" i="98"/>
  <c r="W38" i="98"/>
  <c r="V38" i="98"/>
  <c r="U38" i="98"/>
  <c r="T38" i="98"/>
  <c r="D38" i="98"/>
  <c r="Q207" i="98"/>
  <c r="BI37" i="98"/>
  <c r="D37" i="98"/>
  <c r="BI36" i="98"/>
  <c r="D36" i="98"/>
  <c r="BJ4" i="98"/>
  <c r="BI35" i="98"/>
  <c r="BI34" i="98"/>
  <c r="BI33" i="98"/>
  <c r="BI32" i="98"/>
  <c r="BI31" i="98"/>
  <c r="BI30" i="98"/>
  <c r="BI29" i="98"/>
  <c r="Y29" i="98"/>
  <c r="R29" i="98"/>
  <c r="S29" i="98"/>
  <c r="Q29" i="98"/>
  <c r="BI28" i="98"/>
  <c r="Y28" i="98"/>
  <c r="R28" i="98"/>
  <c r="S28" i="98"/>
  <c r="Q28" i="98"/>
  <c r="C28" i="98"/>
  <c r="BI27" i="98"/>
  <c r="Y27" i="98"/>
  <c r="R27" i="98"/>
  <c r="S27" i="98"/>
  <c r="Q27" i="98"/>
  <c r="BI26" i="98"/>
  <c r="AK25" i="98"/>
  <c r="AG25" i="98"/>
  <c r="Y26" i="98"/>
  <c r="R26" i="98"/>
  <c r="S26" i="98"/>
  <c r="Q26" i="98"/>
  <c r="BI25" i="98"/>
  <c r="AM24" i="98"/>
  <c r="AG24" i="98"/>
  <c r="Y25" i="98"/>
  <c r="R25" i="98"/>
  <c r="S25" i="98"/>
  <c r="Q25" i="98"/>
  <c r="BI24" i="98"/>
  <c r="AK23" i="98"/>
  <c r="AG23" i="98"/>
  <c r="Y24" i="98"/>
  <c r="R24" i="98"/>
  <c r="S24" i="98"/>
  <c r="Q24" i="98"/>
  <c r="BI23" i="98"/>
  <c r="AM22" i="98"/>
  <c r="AG22" i="98"/>
  <c r="Y23" i="98"/>
  <c r="R23" i="98"/>
  <c r="S23" i="98"/>
  <c r="Q23" i="98"/>
  <c r="BI22" i="98"/>
  <c r="AK21" i="98"/>
  <c r="AG21" i="98"/>
  <c r="Y22" i="98"/>
  <c r="R22" i="98"/>
  <c r="S22" i="98"/>
  <c r="Q22" i="98"/>
  <c r="BI21" i="98"/>
  <c r="AM20" i="98"/>
  <c r="AG20" i="98"/>
  <c r="Y21" i="98"/>
  <c r="R21" i="98"/>
  <c r="S21" i="98"/>
  <c r="Q21" i="98"/>
  <c r="BI20" i="98"/>
  <c r="AK19" i="98"/>
  <c r="AG19" i="98"/>
  <c r="Y20" i="98"/>
  <c r="R20" i="98"/>
  <c r="S20" i="98"/>
  <c r="Q20" i="98"/>
  <c r="AM18" i="98"/>
  <c r="AL18" i="98"/>
  <c r="AG18" i="98"/>
  <c r="Y19" i="98"/>
  <c r="R19" i="98"/>
  <c r="S19" i="98"/>
  <c r="Q19" i="98"/>
  <c r="AK17" i="98"/>
  <c r="AG17" i="98"/>
  <c r="Y18" i="98"/>
  <c r="R18" i="98"/>
  <c r="S18" i="98"/>
  <c r="Q18" i="98"/>
  <c r="CY17" i="98"/>
  <c r="CV17" i="98"/>
  <c r="CS17" i="98"/>
  <c r="CP17" i="98"/>
  <c r="CM17" i="98"/>
  <c r="CJ17" i="98"/>
  <c r="CG17" i="98"/>
  <c r="CD17" i="98"/>
  <c r="CA17" i="98"/>
  <c r="BX17" i="98"/>
  <c r="BU17" i="98"/>
  <c r="BR17" i="98"/>
  <c r="AM16" i="98"/>
  <c r="AG16" i="98"/>
  <c r="Y17" i="98"/>
  <c r="R17" i="98"/>
  <c r="S17" i="98"/>
  <c r="Q17" i="98"/>
  <c r="DE16" i="98"/>
  <c r="DD16" i="98"/>
  <c r="DC16" i="98"/>
  <c r="CY16" i="98"/>
  <c r="CV16" i="98"/>
  <c r="CS16" i="98"/>
  <c r="CP16" i="98"/>
  <c r="CM16" i="98"/>
  <c r="CJ16" i="98"/>
  <c r="CG16" i="98"/>
  <c r="CD16" i="98"/>
  <c r="CA16" i="98"/>
  <c r="BX16" i="98"/>
  <c r="BU16" i="98"/>
  <c r="BR16" i="98"/>
  <c r="AK15" i="98"/>
  <c r="AG15" i="98"/>
  <c r="Y16" i="98"/>
  <c r="R16" i="98"/>
  <c r="S16" i="98"/>
  <c r="Q16" i="98"/>
  <c r="CN15" i="98"/>
  <c r="AM14" i="98"/>
  <c r="AG14" i="98"/>
  <c r="Y15" i="98"/>
  <c r="Q15" i="98"/>
  <c r="AK13" i="98"/>
  <c r="AG13" i="98"/>
  <c r="AM12" i="98"/>
  <c r="N13" i="98"/>
  <c r="N10" i="98"/>
  <c r="BV6" i="98"/>
  <c r="BL4" i="98"/>
  <c r="BE4" i="98"/>
  <c r="BF1" i="98"/>
  <c r="P84" i="98"/>
  <c r="E43" i="98"/>
  <c r="BQ5" i="98"/>
  <c r="E47" i="98"/>
  <c r="BU5" i="98"/>
  <c r="BU7" i="98"/>
  <c r="BJ381" i="98"/>
  <c r="BK381" i="98"/>
  <c r="P85" i="98"/>
  <c r="AB333" i="98"/>
  <c r="AR333" i="98"/>
  <c r="E38" i="98"/>
  <c r="BL5" i="98"/>
  <c r="BL7" i="98"/>
  <c r="BJ107" i="98"/>
  <c r="BK107" i="98"/>
  <c r="X29" i="98"/>
  <c r="E39" i="98"/>
  <c r="BM5" i="98"/>
  <c r="BM7" i="98"/>
  <c r="BJ136" i="98"/>
  <c r="BK136" i="98"/>
  <c r="E42" i="98"/>
  <c r="BP5" i="98"/>
  <c r="BP7" i="98"/>
  <c r="BJ224" i="98"/>
  <c r="E46" i="98"/>
  <c r="BT5" i="98"/>
  <c r="BT7" i="98"/>
  <c r="AA221" i="98"/>
  <c r="P37" i="99"/>
  <c r="E41" i="98"/>
  <c r="BO5" i="98"/>
  <c r="BO7" i="98"/>
  <c r="W233" i="98"/>
  <c r="R221" i="98"/>
  <c r="Q236" i="98"/>
  <c r="V148" i="98"/>
  <c r="AF40" i="98"/>
  <c r="P141" i="98"/>
  <c r="P346" i="98"/>
  <c r="V147" i="98"/>
  <c r="U16" i="98"/>
  <c r="V141" i="98"/>
  <c r="V154" i="98"/>
  <c r="U17" i="98"/>
  <c r="W145" i="98"/>
  <c r="Q290" i="98"/>
  <c r="G291" i="98"/>
  <c r="G293" i="98"/>
  <c r="V152" i="98"/>
  <c r="W149" i="98"/>
  <c r="X149" i="98"/>
  <c r="V62" i="98"/>
  <c r="S197" i="98"/>
  <c r="W61" i="98"/>
  <c r="W153" i="98"/>
  <c r="CK15" i="98"/>
  <c r="P82" i="98"/>
  <c r="P83" i="98"/>
  <c r="S195" i="98"/>
  <c r="S207" i="98"/>
  <c r="DN226" i="98"/>
  <c r="B383" i="98"/>
  <c r="B398" i="98"/>
  <c r="W144" i="98"/>
  <c r="X144" i="98"/>
  <c r="V151" i="98"/>
  <c r="V146" i="98"/>
  <c r="W151" i="98"/>
  <c r="W146" i="98"/>
  <c r="X146" i="98"/>
  <c r="W147" i="98"/>
  <c r="X147" i="98"/>
  <c r="BT4" i="98"/>
  <c r="BT8" i="98"/>
  <c r="AF38" i="98"/>
  <c r="S196" i="98"/>
  <c r="S199" i="98"/>
  <c r="AE215" i="98"/>
  <c r="X221" i="98"/>
  <c r="V155" i="98"/>
  <c r="V150" i="98"/>
  <c r="W155" i="98"/>
  <c r="X155" i="98"/>
  <c r="W150" i="98"/>
  <c r="X150" i="98"/>
  <c r="V144" i="98"/>
  <c r="V153" i="98"/>
  <c r="V149" i="98"/>
  <c r="V145" i="98"/>
  <c r="W152" i="98"/>
  <c r="X152" i="98"/>
  <c r="W148" i="98"/>
  <c r="X148" i="98"/>
  <c r="BP4" i="98"/>
  <c r="BP8" i="98"/>
  <c r="BK224" i="98"/>
  <c r="BR4" i="98"/>
  <c r="BR8" i="98"/>
  <c r="BM4" i="98"/>
  <c r="BS8" i="98"/>
  <c r="BQ4" i="98"/>
  <c r="BQ8" i="98"/>
  <c r="BU4" i="98"/>
  <c r="BJ205" i="98"/>
  <c r="BK205" i="98"/>
  <c r="BJ203" i="98"/>
  <c r="BK203" i="98"/>
  <c r="Q214" i="98"/>
  <c r="AD234" i="98"/>
  <c r="BO4" i="98"/>
  <c r="BO8" i="98"/>
  <c r="BJ109" i="98"/>
  <c r="BK109" i="98"/>
  <c r="Z233" i="98"/>
  <c r="BJ96" i="98"/>
  <c r="BJ105" i="98"/>
  <c r="BJ202" i="98"/>
  <c r="BK202" i="98"/>
  <c r="BJ204" i="98"/>
  <c r="BK204" i="98"/>
  <c r="C218" i="98"/>
  <c r="R216" i="98"/>
  <c r="BJ99" i="98"/>
  <c r="BJ101" i="98"/>
  <c r="BK101" i="98"/>
  <c r="BN4" i="98"/>
  <c r="BJ98" i="98"/>
  <c r="BJ100" i="98"/>
  <c r="BK100" i="98"/>
  <c r="BJ102" i="98"/>
  <c r="BJ103" i="98"/>
  <c r="BK103" i="98"/>
  <c r="Z235" i="98"/>
  <c r="AE213" i="98"/>
  <c r="AE216" i="98"/>
  <c r="Y213" i="98"/>
  <c r="Y209" i="98"/>
  <c r="Y215" i="98"/>
  <c r="Y211" i="98"/>
  <c r="Y208" i="98"/>
  <c r="Y206" i="98"/>
  <c r="Y205" i="98"/>
  <c r="Y207" i="98"/>
  <c r="Y216" i="98"/>
  <c r="Y214" i="98"/>
  <c r="Y212" i="98"/>
  <c r="Y210" i="98"/>
  <c r="BL8" i="98"/>
  <c r="BJ353" i="98"/>
  <c r="BJ198" i="98"/>
  <c r="BK198" i="98"/>
  <c r="BJ173" i="98"/>
  <c r="BK173" i="98"/>
  <c r="BJ171" i="98"/>
  <c r="BK171" i="98"/>
  <c r="BL171" i="98"/>
  <c r="BJ196" i="98"/>
  <c r="BK196" i="98"/>
  <c r="BJ172" i="98"/>
  <c r="BK172" i="98"/>
  <c r="BJ195" i="98"/>
  <c r="BK195" i="98"/>
  <c r="BJ193" i="98"/>
  <c r="BK193" i="98"/>
  <c r="BJ190" i="98"/>
  <c r="BK190" i="98"/>
  <c r="BJ186" i="98"/>
  <c r="BK186" i="98"/>
  <c r="BJ182" i="98"/>
  <c r="BK182" i="98"/>
  <c r="BJ176" i="98"/>
  <c r="BK176" i="98"/>
  <c r="BJ174" i="98"/>
  <c r="BK174" i="98"/>
  <c r="BJ200" i="98"/>
  <c r="BJ194" i="98"/>
  <c r="BK194" i="98"/>
  <c r="BJ192" i="98"/>
  <c r="BK192" i="98"/>
  <c r="BJ188" i="98"/>
  <c r="BK188" i="98"/>
  <c r="BJ184" i="98"/>
  <c r="BK184" i="98"/>
  <c r="BJ180" i="98"/>
  <c r="BK180" i="98"/>
  <c r="BJ177" i="98"/>
  <c r="BK177" i="98"/>
  <c r="BJ175" i="98"/>
  <c r="BK175" i="98"/>
  <c r="X15" i="98"/>
  <c r="X16" i="98"/>
  <c r="W16" i="98"/>
  <c r="W18" i="98"/>
  <c r="X18" i="98"/>
  <c r="T19" i="98"/>
  <c r="U21" i="98"/>
  <c r="U23" i="98"/>
  <c r="U25" i="98"/>
  <c r="U27" i="98"/>
  <c r="T29" i="98"/>
  <c r="AD229" i="98"/>
  <c r="Z229" i="98"/>
  <c r="W229" i="98"/>
  <c r="P155" i="98"/>
  <c r="P153" i="98"/>
  <c r="P151" i="98"/>
  <c r="P149" i="98"/>
  <c r="P147" i="98"/>
  <c r="P145" i="98"/>
  <c r="P154" i="98"/>
  <c r="P152" i="98"/>
  <c r="P150" i="98"/>
  <c r="P148" i="98"/>
  <c r="P146" i="98"/>
  <c r="P144" i="98"/>
  <c r="Q144" i="98"/>
  <c r="R144" i="98"/>
  <c r="Q145" i="98"/>
  <c r="R145" i="98"/>
  <c r="Q146" i="98"/>
  <c r="R146" i="98"/>
  <c r="Q147" i="98"/>
  <c r="R147" i="98"/>
  <c r="Q148" i="98"/>
  <c r="R148" i="98"/>
  <c r="Q149" i="98"/>
  <c r="R149" i="98"/>
  <c r="Q150" i="98"/>
  <c r="R150" i="98"/>
  <c r="Q151" i="98"/>
  <c r="R151" i="98"/>
  <c r="Q152" i="98"/>
  <c r="R152" i="98"/>
  <c r="Q153" i="98"/>
  <c r="R153" i="98"/>
  <c r="Q154" i="98"/>
  <c r="R154" i="98"/>
  <c r="Q155" i="98"/>
  <c r="R155" i="98"/>
  <c r="AB214" i="98"/>
  <c r="AB210" i="98"/>
  <c r="AB216" i="98"/>
  <c r="AB212" i="98"/>
  <c r="AB207" i="98"/>
  <c r="AB208" i="98"/>
  <c r="AB206" i="98"/>
  <c r="BJ97" i="98"/>
  <c r="BK97" i="98"/>
  <c r="BJ93" i="98"/>
  <c r="BK93" i="98"/>
  <c r="BJ84" i="98"/>
  <c r="BK84" i="98"/>
  <c r="BJ82" i="98"/>
  <c r="BJ80" i="98"/>
  <c r="BK80" i="98"/>
  <c r="BJ104" i="98"/>
  <c r="BK104" i="98"/>
  <c r="BJ92" i="98"/>
  <c r="BK92" i="98"/>
  <c r="BJ87" i="98"/>
  <c r="BK87" i="98"/>
  <c r="BJ85" i="98"/>
  <c r="BK85" i="98"/>
  <c r="BJ83" i="98"/>
  <c r="BK83" i="98"/>
  <c r="BJ81" i="98"/>
  <c r="BK81" i="98"/>
  <c r="BJ79" i="98"/>
  <c r="BK79" i="98"/>
  <c r="BL79" i="98"/>
  <c r="BQ7" i="98"/>
  <c r="T16" i="98"/>
  <c r="V16" i="98"/>
  <c r="U18" i="98"/>
  <c r="W20" i="98"/>
  <c r="X20" i="98"/>
  <c r="X21" i="98"/>
  <c r="W21" i="98"/>
  <c r="Z21" i="98"/>
  <c r="W22" i="98"/>
  <c r="X22" i="98"/>
  <c r="X23" i="98"/>
  <c r="W23" i="98"/>
  <c r="W24" i="98"/>
  <c r="X24" i="98"/>
  <c r="X25" i="98"/>
  <c r="W25" i="98"/>
  <c r="W26" i="98"/>
  <c r="X26" i="98"/>
  <c r="X27" i="98"/>
  <c r="W27" i="98"/>
  <c r="W28" i="98"/>
  <c r="X28" i="98"/>
  <c r="Q205" i="98"/>
  <c r="D48" i="98"/>
  <c r="AD227" i="98"/>
  <c r="Z227" i="98"/>
  <c r="W227" i="98"/>
  <c r="BJ231" i="98"/>
  <c r="BJ216" i="98"/>
  <c r="BK216" i="98"/>
  <c r="BJ212" i="98"/>
  <c r="BJ230" i="98"/>
  <c r="BK230" i="98"/>
  <c r="BJ220" i="98"/>
  <c r="BK220" i="98"/>
  <c r="BJ217" i="98"/>
  <c r="BK217" i="98"/>
  <c r="BJ214" i="98"/>
  <c r="BK214" i="98"/>
  <c r="BJ210" i="98"/>
  <c r="BK210" i="98"/>
  <c r="BJ218" i="98"/>
  <c r="BJ208" i="98"/>
  <c r="BK208" i="98"/>
  <c r="BJ207" i="98"/>
  <c r="BK207" i="98"/>
  <c r="BJ225" i="98"/>
  <c r="BK225" i="98"/>
  <c r="BJ215" i="98"/>
  <c r="BK215" i="98"/>
  <c r="BJ213" i="98"/>
  <c r="BK213" i="98"/>
  <c r="BJ211" i="98"/>
  <c r="BK211" i="98"/>
  <c r="BJ209" i="98"/>
  <c r="BK209" i="98"/>
  <c r="BJ206" i="98"/>
  <c r="BJ223" i="98"/>
  <c r="BK223" i="98"/>
  <c r="BJ221" i="98"/>
  <c r="BK221" i="98"/>
  <c r="BJ229" i="98"/>
  <c r="BK229" i="98"/>
  <c r="BJ228" i="98"/>
  <c r="BK228" i="98"/>
  <c r="BJ227" i="98"/>
  <c r="BK227" i="98"/>
  <c r="BJ226" i="98"/>
  <c r="BK226" i="98"/>
  <c r="BJ292" i="98"/>
  <c r="BJ289" i="98"/>
  <c r="BK289" i="98"/>
  <c r="BJ284" i="98"/>
  <c r="BK284" i="98"/>
  <c r="BJ290" i="98"/>
  <c r="BK290" i="98"/>
  <c r="BJ288" i="98"/>
  <c r="BK288" i="98"/>
  <c r="BJ287" i="98"/>
  <c r="BK287" i="98"/>
  <c r="BJ286" i="98"/>
  <c r="BK286" i="98"/>
  <c r="BJ282" i="98"/>
  <c r="BJ285" i="98"/>
  <c r="BK285" i="98"/>
  <c r="BJ278" i="98"/>
  <c r="BJ276" i="98"/>
  <c r="BK276" i="98"/>
  <c r="BJ267" i="98"/>
  <c r="BK267" i="98"/>
  <c r="BJ266" i="98"/>
  <c r="BK266" i="98"/>
  <c r="BJ265" i="98"/>
  <c r="BK265" i="98"/>
  <c r="BJ264" i="98"/>
  <c r="BK264" i="98"/>
  <c r="BJ263" i="98"/>
  <c r="BK263" i="98"/>
  <c r="BL263" i="98"/>
  <c r="BJ291" i="98"/>
  <c r="BK291" i="98"/>
  <c r="BJ279" i="98"/>
  <c r="BK279" i="98"/>
  <c r="BJ277" i="98"/>
  <c r="BJ275" i="98"/>
  <c r="BK275" i="98"/>
  <c r="BJ280" i="98"/>
  <c r="BK280" i="98"/>
  <c r="BJ270" i="98"/>
  <c r="BJ283" i="98"/>
  <c r="BK283" i="98"/>
  <c r="BJ281" i="98"/>
  <c r="BK281" i="98"/>
  <c r="BJ274" i="98"/>
  <c r="BK274" i="98"/>
  <c r="BJ268" i="98"/>
  <c r="BK268" i="98"/>
  <c r="BJ273" i="98"/>
  <c r="BK273" i="98"/>
  <c r="BJ271" i="98"/>
  <c r="BK271" i="98"/>
  <c r="BJ269" i="98"/>
  <c r="BK269" i="98"/>
  <c r="BJ272" i="98"/>
  <c r="BJ347" i="98"/>
  <c r="BJ344" i="98"/>
  <c r="BJ351" i="98"/>
  <c r="BK351" i="98"/>
  <c r="BJ346" i="98"/>
  <c r="BK346" i="98"/>
  <c r="BJ345" i="98"/>
  <c r="BK345" i="98"/>
  <c r="BJ341" i="98"/>
  <c r="BJ333" i="98"/>
  <c r="BK333" i="98"/>
  <c r="BJ330" i="98"/>
  <c r="BK330" i="98"/>
  <c r="BJ327" i="98"/>
  <c r="BK327" i="98"/>
  <c r="BJ324" i="98"/>
  <c r="BK324" i="98"/>
  <c r="BL324" i="98"/>
  <c r="BJ335" i="98"/>
  <c r="BJ328" i="98"/>
  <c r="BK328" i="98"/>
  <c r="BJ326" i="98"/>
  <c r="BJ325" i="98"/>
  <c r="BK325" i="98"/>
  <c r="BJ348" i="98"/>
  <c r="BK348" i="98"/>
  <c r="BJ342" i="98"/>
  <c r="BK342" i="98"/>
  <c r="BJ336" i="98"/>
  <c r="BK336" i="98"/>
  <c r="BJ352" i="98"/>
  <c r="BK352" i="98"/>
  <c r="BJ350" i="98"/>
  <c r="BJ349" i="98"/>
  <c r="BK349" i="98"/>
  <c r="BJ343" i="98"/>
  <c r="BK343" i="98"/>
  <c r="BJ337" i="98"/>
  <c r="BK337" i="98"/>
  <c r="BJ331" i="98"/>
  <c r="BK331" i="98"/>
  <c r="BJ339" i="98"/>
  <c r="BK339" i="98"/>
  <c r="BJ334" i="98"/>
  <c r="BK334" i="98"/>
  <c r="BJ332" i="98"/>
  <c r="BJ340" i="98"/>
  <c r="BK340" i="98"/>
  <c r="BJ338" i="98"/>
  <c r="BJ329" i="98"/>
  <c r="Z63" i="98"/>
  <c r="BJ89" i="98"/>
  <c r="BK89" i="98"/>
  <c r="BJ91" i="98"/>
  <c r="BK91" i="98"/>
  <c r="BJ95" i="98"/>
  <c r="BK95" i="98"/>
  <c r="BJ106" i="98"/>
  <c r="BJ179" i="98"/>
  <c r="BK179" i="98"/>
  <c r="BJ181" i="98"/>
  <c r="BK181" i="98"/>
  <c r="BJ183" i="98"/>
  <c r="BK183" i="98"/>
  <c r="BJ185" i="98"/>
  <c r="BK185" i="98"/>
  <c r="BJ187" i="98"/>
  <c r="BK187" i="98"/>
  <c r="BJ189" i="98"/>
  <c r="BK189" i="98"/>
  <c r="BJ191" i="98"/>
  <c r="BK191" i="98"/>
  <c r="AL195" i="98"/>
  <c r="AB205" i="98"/>
  <c r="AB209" i="98"/>
  <c r="AB211" i="98"/>
  <c r="AB213" i="98"/>
  <c r="AB215" i="98"/>
  <c r="BJ219" i="98"/>
  <c r="BK219" i="98"/>
  <c r="BJ222" i="98"/>
  <c r="BK222" i="98"/>
  <c r="BJ321" i="98"/>
  <c r="BK321" i="98"/>
  <c r="BJ318" i="98"/>
  <c r="BK318" i="98"/>
  <c r="BJ316" i="98"/>
  <c r="BK316" i="98"/>
  <c r="BJ315" i="98"/>
  <c r="BK315" i="98"/>
  <c r="BJ314" i="98"/>
  <c r="BK314" i="98"/>
  <c r="BJ313" i="98"/>
  <c r="BK313" i="98"/>
  <c r="BJ311" i="98"/>
  <c r="BK311" i="98"/>
  <c r="BJ309" i="98"/>
  <c r="BK309" i="98"/>
  <c r="BJ323" i="98"/>
  <c r="BK323" i="98"/>
  <c r="BJ319" i="98"/>
  <c r="BK319" i="98"/>
  <c r="BJ317" i="98"/>
  <c r="BJ312" i="98"/>
  <c r="BJ310" i="98"/>
  <c r="BK310" i="98"/>
  <c r="BJ308" i="98"/>
  <c r="BK308" i="98"/>
  <c r="BJ300" i="98"/>
  <c r="BK300" i="98"/>
  <c r="BJ298" i="98"/>
  <c r="BK298" i="98"/>
  <c r="BJ295" i="98"/>
  <c r="BK295" i="98"/>
  <c r="BJ322" i="98"/>
  <c r="BK322" i="98"/>
  <c r="BJ303" i="98"/>
  <c r="BK303" i="98"/>
  <c r="BJ302" i="98"/>
  <c r="BJ301" i="98"/>
  <c r="BK301" i="98"/>
  <c r="BJ297" i="98"/>
  <c r="BK297" i="98"/>
  <c r="BJ294" i="98"/>
  <c r="BK294" i="98"/>
  <c r="BJ296" i="98"/>
  <c r="BK296" i="98"/>
  <c r="BJ307" i="98"/>
  <c r="BK307" i="98"/>
  <c r="BJ306" i="98"/>
  <c r="BK306" i="98"/>
  <c r="BJ305" i="98"/>
  <c r="BK305" i="98"/>
  <c r="BJ304" i="98"/>
  <c r="BK304" i="98"/>
  <c r="BJ299" i="98"/>
  <c r="BK299" i="98"/>
  <c r="BJ293" i="98"/>
  <c r="BK293" i="98"/>
  <c r="BL293" i="98"/>
  <c r="BJ320" i="98"/>
  <c r="BK320" i="98"/>
  <c r="X17" i="98"/>
  <c r="W17" i="98"/>
  <c r="T18" i="98"/>
  <c r="U19" i="98"/>
  <c r="U20" i="98"/>
  <c r="T21" i="98"/>
  <c r="U22" i="98"/>
  <c r="T23" i="98"/>
  <c r="U24" i="98"/>
  <c r="T25" i="98"/>
  <c r="V25" i="98"/>
  <c r="U26" i="98"/>
  <c r="T27" i="98"/>
  <c r="U28" i="98"/>
  <c r="W29" i="98"/>
  <c r="Z29" i="98"/>
  <c r="W230" i="98"/>
  <c r="AD230" i="98"/>
  <c r="Z230" i="98"/>
  <c r="W232" i="98"/>
  <c r="AD232" i="98"/>
  <c r="AD236" i="98"/>
  <c r="Z236" i="98"/>
  <c r="W236" i="98"/>
  <c r="Z232" i="98"/>
  <c r="BJ14" i="98"/>
  <c r="W15" i="98"/>
  <c r="T17" i="98"/>
  <c r="X19" i="98"/>
  <c r="W19" i="98"/>
  <c r="T20" i="98"/>
  <c r="T22" i="98"/>
  <c r="T24" i="98"/>
  <c r="T26" i="98"/>
  <c r="T28" i="98"/>
  <c r="U29" i="98"/>
  <c r="Q206" i="98"/>
  <c r="BK4" i="98"/>
  <c r="AF39" i="98"/>
  <c r="R15" i="98"/>
  <c r="BJ86" i="98"/>
  <c r="BJ88" i="98"/>
  <c r="BK88" i="98"/>
  <c r="BJ90" i="98"/>
  <c r="BJ94" i="98"/>
  <c r="BJ108" i="98"/>
  <c r="BK108" i="98"/>
  <c r="X153" i="98"/>
  <c r="BJ178" i="98"/>
  <c r="BK178" i="98"/>
  <c r="BJ197" i="98"/>
  <c r="BK197" i="98"/>
  <c r="BJ199" i="98"/>
  <c r="BK199" i="98"/>
  <c r="BJ201" i="98"/>
  <c r="BK201" i="98"/>
  <c r="BL201" i="98"/>
  <c r="U231" i="98"/>
  <c r="C216" i="98"/>
  <c r="R214" i="98"/>
  <c r="C212" i="98"/>
  <c r="R210" i="98"/>
  <c r="U235" i="98"/>
  <c r="U234" i="98"/>
  <c r="U233" i="98"/>
  <c r="U232" i="98"/>
  <c r="U230" i="98"/>
  <c r="C214" i="98"/>
  <c r="R212" i="98"/>
  <c r="C210" i="98"/>
  <c r="R208" i="98"/>
  <c r="U229" i="98"/>
  <c r="U228" i="98"/>
  <c r="U227" i="98"/>
  <c r="U226" i="98"/>
  <c r="C217" i="98"/>
  <c r="R215" i="98"/>
  <c r="C213" i="98"/>
  <c r="R211" i="98"/>
  <c r="C209" i="98"/>
  <c r="R207" i="98"/>
  <c r="U225" i="98"/>
  <c r="C215" i="98"/>
  <c r="R213" i="98"/>
  <c r="C211" i="98"/>
  <c r="R209" i="98"/>
  <c r="C207" i="98"/>
  <c r="R205" i="98"/>
  <c r="E40" i="98"/>
  <c r="BN5" i="98"/>
  <c r="BN7" i="98"/>
  <c r="W231" i="98"/>
  <c r="Z231" i="98"/>
  <c r="AD231" i="98"/>
  <c r="X145" i="98"/>
  <c r="X151" i="98"/>
  <c r="E36" i="98"/>
  <c r="E37" i="98"/>
  <c r="BK5" i="98"/>
  <c r="BK7" i="98"/>
  <c r="AD228" i="98"/>
  <c r="Z228" i="98"/>
  <c r="X154" i="98"/>
  <c r="V216" i="98"/>
  <c r="V212" i="98"/>
  <c r="V213" i="98"/>
  <c r="V209" i="98"/>
  <c r="V207" i="98"/>
  <c r="DN229" i="98"/>
  <c r="DO242" i="98"/>
  <c r="E243" i="98"/>
  <c r="P229" i="98"/>
  <c r="S229" i="98"/>
  <c r="P228" i="98"/>
  <c r="S228" i="98"/>
  <c r="P227" i="98"/>
  <c r="S227" i="98"/>
  <c r="P234" i="98"/>
  <c r="S234" i="98"/>
  <c r="P235" i="98"/>
  <c r="S235" i="98"/>
  <c r="P233" i="98"/>
  <c r="S233" i="98"/>
  <c r="P232" i="98"/>
  <c r="S232" i="98"/>
  <c r="P230" i="98"/>
  <c r="S230" i="98"/>
  <c r="DM235" i="98"/>
  <c r="DN232" i="98"/>
  <c r="DN235" i="98"/>
  <c r="AD233" i="98"/>
  <c r="AD235" i="98"/>
  <c r="U236" i="98"/>
  <c r="Q231" i="98"/>
  <c r="R231" i="98"/>
  <c r="V375" i="98"/>
  <c r="Q233" i="98"/>
  <c r="Q232" i="98"/>
  <c r="Q227" i="98"/>
  <c r="Q228" i="98"/>
  <c r="R228" i="98"/>
  <c r="V372" i="98"/>
  <c r="AG410" i="98"/>
  <c r="B385" i="98"/>
  <c r="AG409" i="98"/>
  <c r="B384" i="98"/>
  <c r="N400" i="98"/>
  <c r="BJ11" i="98"/>
  <c r="BJ13" i="98"/>
  <c r="N391" i="98"/>
  <c r="F446" i="98"/>
  <c r="N389" i="98"/>
  <c r="H40" i="71"/>
  <c r="G60" i="71"/>
  <c r="G62" i="71"/>
  <c r="G50" i="71"/>
  <c r="G41" i="71"/>
  <c r="G70" i="71"/>
  <c r="G42" i="71"/>
  <c r="G51" i="71"/>
  <c r="G68" i="71"/>
  <c r="G66" i="71"/>
  <c r="G67" i="71"/>
  <c r="G74" i="71"/>
  <c r="G59" i="71"/>
  <c r="G61" i="71"/>
  <c r="G71" i="71"/>
  <c r="G72" i="71"/>
  <c r="G73" i="71"/>
  <c r="G44" i="71"/>
  <c r="G77" i="71"/>
  <c r="G65" i="71"/>
  <c r="G45" i="71"/>
  <c r="G78" i="71"/>
  <c r="G63" i="71"/>
  <c r="G69" i="71"/>
  <c r="G43" i="71"/>
  <c r="G47" i="71"/>
  <c r="G48" i="71"/>
  <c r="G38" i="71"/>
  <c r="G90" i="72"/>
  <c r="E90" i="72"/>
  <c r="B90" i="72"/>
  <c r="E20" i="23"/>
  <c r="D40" i="72"/>
  <c r="E9" i="47"/>
  <c r="D41" i="72"/>
  <c r="E21" i="25"/>
  <c r="I14" i="74"/>
  <c r="BJ358" i="98"/>
  <c r="BK358" i="98"/>
  <c r="BJ357" i="98"/>
  <c r="BJ365" i="98"/>
  <c r="BK365" i="98"/>
  <c r="BJ377" i="98"/>
  <c r="BK377" i="98"/>
  <c r="BJ382" i="98"/>
  <c r="BK382" i="98"/>
  <c r="BJ124" i="98"/>
  <c r="BJ115" i="98"/>
  <c r="BK115" i="98"/>
  <c r="BJ123" i="98"/>
  <c r="BK123" i="98"/>
  <c r="BJ137" i="98"/>
  <c r="BM8" i="98"/>
  <c r="BJ369" i="98"/>
  <c r="BJ355" i="98"/>
  <c r="BK355" i="98"/>
  <c r="BJ368" i="98"/>
  <c r="BJ378" i="98"/>
  <c r="BK378" i="98"/>
  <c r="BJ118" i="98"/>
  <c r="BK118" i="98"/>
  <c r="BJ133" i="98"/>
  <c r="BK133" i="98"/>
  <c r="Q226" i="98"/>
  <c r="Q234" i="98"/>
  <c r="V21" i="98"/>
  <c r="BJ354" i="98"/>
  <c r="BK354" i="98"/>
  <c r="BL354" i="98"/>
  <c r="BM354" i="98"/>
  <c r="BJ362" i="98"/>
  <c r="BJ371" i="98"/>
  <c r="BJ364" i="98"/>
  <c r="BK364" i="98"/>
  <c r="BJ359" i="98"/>
  <c r="BK359" i="98"/>
  <c r="BJ367" i="98"/>
  <c r="BJ383" i="98"/>
  <c r="BJ380" i="98"/>
  <c r="BJ112" i="98"/>
  <c r="BK112" i="98"/>
  <c r="BJ120" i="98"/>
  <c r="BK120" i="98"/>
  <c r="BJ128" i="98"/>
  <c r="BK128" i="98"/>
  <c r="BJ111" i="98"/>
  <c r="BK111" i="98"/>
  <c r="BJ119" i="98"/>
  <c r="BK119" i="98"/>
  <c r="BJ127" i="98"/>
  <c r="BK127" i="98"/>
  <c r="BJ135" i="98"/>
  <c r="BK135" i="98"/>
  <c r="BJ139" i="98"/>
  <c r="BJ372" i="98"/>
  <c r="BK372" i="98"/>
  <c r="BJ370" i="98"/>
  <c r="BK370" i="98"/>
  <c r="BJ376" i="98"/>
  <c r="BK376" i="98"/>
  <c r="BJ116" i="98"/>
  <c r="BK116" i="98"/>
  <c r="BJ132" i="98"/>
  <c r="BK132" i="98"/>
  <c r="BJ131" i="98"/>
  <c r="BK131" i="98"/>
  <c r="V17" i="98"/>
  <c r="V18" i="98"/>
  <c r="BJ360" i="98"/>
  <c r="BK360" i="98"/>
  <c r="BJ361" i="98"/>
  <c r="BJ379" i="98"/>
  <c r="BK379" i="98"/>
  <c r="BJ110" i="98"/>
  <c r="BK110" i="98"/>
  <c r="BL110" i="98"/>
  <c r="BM110" i="98"/>
  <c r="BJ126" i="98"/>
  <c r="BK126" i="98"/>
  <c r="BJ134" i="98"/>
  <c r="BJ117" i="98"/>
  <c r="BJ125" i="98"/>
  <c r="BK125" i="98"/>
  <c r="BJ138" i="98"/>
  <c r="BK138" i="98"/>
  <c r="BU8" i="98"/>
  <c r="Q229" i="98"/>
  <c r="Q230" i="98"/>
  <c r="R230" i="98"/>
  <c r="V374" i="98"/>
  <c r="Q235" i="98"/>
  <c r="V23" i="98"/>
  <c r="BJ356" i="98"/>
  <c r="BJ374" i="98"/>
  <c r="BJ375" i="98"/>
  <c r="BK375" i="98"/>
  <c r="BJ366" i="98"/>
  <c r="BK366" i="98"/>
  <c r="BJ363" i="98"/>
  <c r="BK363" i="98"/>
  <c r="BJ373" i="98"/>
  <c r="BK373" i="98"/>
  <c r="BJ384" i="98"/>
  <c r="BK384" i="98"/>
  <c r="BJ114" i="98"/>
  <c r="BJ122" i="98"/>
  <c r="BK122" i="98"/>
  <c r="BJ130" i="98"/>
  <c r="BK130" i="98"/>
  <c r="BJ113" i="98"/>
  <c r="BJ121" i="98"/>
  <c r="BJ129" i="98"/>
  <c r="AE207" i="98"/>
  <c r="Q225" i="98"/>
  <c r="S209" i="98"/>
  <c r="S210" i="98"/>
  <c r="T210" i="98"/>
  <c r="U210" i="98"/>
  <c r="S215" i="98"/>
  <c r="T215" i="98"/>
  <c r="U215" i="98"/>
  <c r="T207" i="98"/>
  <c r="U207" i="98"/>
  <c r="BL80" i="98"/>
  <c r="W209" i="98"/>
  <c r="X209" i="98"/>
  <c r="BK124" i="98"/>
  <c r="BK134" i="98"/>
  <c r="BK99" i="98"/>
  <c r="BK105" i="98"/>
  <c r="W207" i="98"/>
  <c r="X207" i="98"/>
  <c r="BK114" i="98"/>
  <c r="V26" i="98"/>
  <c r="Y367" i="98"/>
  <c r="R227" i="98"/>
  <c r="V371" i="98"/>
  <c r="V22" i="98"/>
  <c r="P236" i="98"/>
  <c r="S236" i="98"/>
  <c r="G86" i="98"/>
  <c r="V19" i="98"/>
  <c r="S213" i="98"/>
  <c r="T213" i="98"/>
  <c r="U213" i="98"/>
  <c r="BK329" i="98"/>
  <c r="S205" i="98"/>
  <c r="T205" i="98"/>
  <c r="U205" i="98"/>
  <c r="S212" i="98"/>
  <c r="T212" i="98"/>
  <c r="U212" i="98"/>
  <c r="S208" i="98"/>
  <c r="T208" i="98"/>
  <c r="U208" i="98"/>
  <c r="BK86" i="98"/>
  <c r="BK200" i="98"/>
  <c r="S214" i="98"/>
  <c r="T214" i="98"/>
  <c r="U214" i="98"/>
  <c r="BK326" i="98"/>
  <c r="BK347" i="98"/>
  <c r="BL264" i="98"/>
  <c r="BM264" i="98"/>
  <c r="S206" i="98"/>
  <c r="S216" i="98"/>
  <c r="T216" i="98"/>
  <c r="U216" i="98"/>
  <c r="S211" i="98"/>
  <c r="T211" i="98"/>
  <c r="U211" i="98"/>
  <c r="BK353" i="98"/>
  <c r="BM201" i="98"/>
  <c r="R233" i="98"/>
  <c r="V377" i="98"/>
  <c r="Z234" i="98"/>
  <c r="BK338" i="98"/>
  <c r="AE205" i="98"/>
  <c r="AF205" i="98"/>
  <c r="AG205" i="98"/>
  <c r="AE210" i="98"/>
  <c r="AF210" i="98"/>
  <c r="AG210" i="98"/>
  <c r="AE208" i="98"/>
  <c r="V205" i="98"/>
  <c r="V208" i="98"/>
  <c r="W208" i="98"/>
  <c r="X208" i="98"/>
  <c r="V206" i="98"/>
  <c r="P225" i="98"/>
  <c r="V211" i="98"/>
  <c r="W211" i="98"/>
  <c r="X211" i="98"/>
  <c r="V210" i="98"/>
  <c r="T209" i="98"/>
  <c r="U209" i="98"/>
  <c r="W234" i="98"/>
  <c r="BK302" i="98"/>
  <c r="BK312" i="98"/>
  <c r="BK350" i="98"/>
  <c r="BK335" i="98"/>
  <c r="Z25" i="98"/>
  <c r="Z23" i="98"/>
  <c r="BL172" i="98"/>
  <c r="BL173" i="98"/>
  <c r="BN173" i="98"/>
  <c r="BK98" i="98"/>
  <c r="AE206" i="98"/>
  <c r="AF206" i="98"/>
  <c r="AG206" i="98"/>
  <c r="AE214" i="98"/>
  <c r="AE211" i="98"/>
  <c r="AF211" i="98"/>
  <c r="AG211" i="98"/>
  <c r="BK102" i="98"/>
  <c r="W216" i="98"/>
  <c r="X216" i="98"/>
  <c r="R229" i="98"/>
  <c r="V373" i="98"/>
  <c r="R235" i="98"/>
  <c r="V379" i="98"/>
  <c r="V215" i="98"/>
  <c r="W215" i="98"/>
  <c r="X215" i="98"/>
  <c r="V214" i="98"/>
  <c r="W214" i="98"/>
  <c r="X214" i="98"/>
  <c r="Z19" i="98"/>
  <c r="BL294" i="98"/>
  <c r="BM294" i="98"/>
  <c r="BK317" i="98"/>
  <c r="BK332" i="98"/>
  <c r="BK341" i="98"/>
  <c r="BK344" i="98"/>
  <c r="AE212" i="98"/>
  <c r="AE209" i="98"/>
  <c r="AF209" i="98"/>
  <c r="AG209" i="98"/>
  <c r="BK362" i="98"/>
  <c r="BK380" i="98"/>
  <c r="BK277" i="98"/>
  <c r="AC208" i="98"/>
  <c r="AD208" i="98"/>
  <c r="BK368" i="98"/>
  <c r="BK94" i="98"/>
  <c r="BK292" i="98"/>
  <c r="W205" i="98"/>
  <c r="X205" i="98"/>
  <c r="BK90" i="98"/>
  <c r="BK106" i="98"/>
  <c r="BL325" i="98"/>
  <c r="BM325" i="98"/>
  <c r="BK82" i="98"/>
  <c r="BK356" i="98"/>
  <c r="BK374" i="98"/>
  <c r="BK272" i="98"/>
  <c r="BK206" i="98"/>
  <c r="BK218" i="98"/>
  <c r="AF216" i="98"/>
  <c r="AG216" i="98"/>
  <c r="BK282" i="98"/>
  <c r="BK212" i="98"/>
  <c r="AC216" i="98"/>
  <c r="AD216" i="98"/>
  <c r="BK96" i="98"/>
  <c r="Z216" i="98"/>
  <c r="AA216" i="98"/>
  <c r="AF214" i="98"/>
  <c r="AG214" i="98"/>
  <c r="BK369" i="98"/>
  <c r="BK361" i="98"/>
  <c r="Z211" i="98"/>
  <c r="AA211" i="98"/>
  <c r="BK139" i="98"/>
  <c r="AC211" i="98"/>
  <c r="AD211" i="98"/>
  <c r="Z214" i="98"/>
  <c r="AA214" i="98"/>
  <c r="Z209" i="98"/>
  <c r="AA209" i="98"/>
  <c r="V27" i="98"/>
  <c r="Z28" i="98"/>
  <c r="Z17" i="98"/>
  <c r="Z27" i="98"/>
  <c r="Z16" i="98"/>
  <c r="BM80" i="98"/>
  <c r="BL81" i="98"/>
  <c r="BM81" i="98"/>
  <c r="V236" i="98"/>
  <c r="X236" i="98"/>
  <c r="AC236" i="98"/>
  <c r="AE236" i="98"/>
  <c r="Y236" i="98"/>
  <c r="AA236" i="98"/>
  <c r="T229" i="98"/>
  <c r="BJ78" i="98"/>
  <c r="BJ74" i="98"/>
  <c r="BJ72" i="98"/>
  <c r="BJ70" i="98"/>
  <c r="BJ68" i="98"/>
  <c r="BJ65" i="98"/>
  <c r="BJ60" i="98"/>
  <c r="BJ57" i="98"/>
  <c r="BK57" i="98"/>
  <c r="BJ76" i="98"/>
  <c r="BJ75" i="98"/>
  <c r="BJ73" i="98"/>
  <c r="BK73" i="98"/>
  <c r="BJ71" i="98"/>
  <c r="BK71" i="98"/>
  <c r="BJ69" i="98"/>
  <c r="BK69" i="98"/>
  <c r="BJ67" i="98"/>
  <c r="BK67" i="98"/>
  <c r="BJ62" i="98"/>
  <c r="BJ61" i="98"/>
  <c r="BK61" i="98"/>
  <c r="BJ58" i="98"/>
  <c r="BJ56" i="98"/>
  <c r="BJ77" i="98"/>
  <c r="BJ66" i="98"/>
  <c r="BJ54" i="98"/>
  <c r="BJ52" i="98"/>
  <c r="BJ64" i="98"/>
  <c r="BJ63" i="98"/>
  <c r="BK63" i="98"/>
  <c r="BJ59" i="98"/>
  <c r="BJ55" i="98"/>
  <c r="BJ53" i="98"/>
  <c r="BK53" i="98"/>
  <c r="BJ51" i="98"/>
  <c r="BK51" i="98"/>
  <c r="BL51" i="98"/>
  <c r="BM51" i="98"/>
  <c r="B400" i="98"/>
  <c r="AA367" i="98"/>
  <c r="W213" i="98"/>
  <c r="X213" i="98"/>
  <c r="V227" i="98"/>
  <c r="X227" i="98"/>
  <c r="AC227" i="98"/>
  <c r="AE227" i="98"/>
  <c r="Y227" i="98"/>
  <c r="AA227" i="98"/>
  <c r="AC234" i="98"/>
  <c r="AE234" i="98"/>
  <c r="Y234" i="98"/>
  <c r="V234" i="98"/>
  <c r="AC231" i="98"/>
  <c r="AE231" i="98"/>
  <c r="Y231" i="98"/>
  <c r="AA231" i="98"/>
  <c r="V231" i="98"/>
  <c r="X231" i="98"/>
  <c r="AD226" i="98"/>
  <c r="Z226" i="98"/>
  <c r="W226" i="98"/>
  <c r="AK343" i="98"/>
  <c r="Y153" i="98"/>
  <c r="AK339" i="98"/>
  <c r="Y149" i="98"/>
  <c r="AK335" i="98"/>
  <c r="Y145" i="98"/>
  <c r="AC215" i="98"/>
  <c r="AD215" i="98"/>
  <c r="AL216" i="98"/>
  <c r="AM215" i="98"/>
  <c r="AI215" i="98"/>
  <c r="AJ214" i="98"/>
  <c r="AK213" i="98"/>
  <c r="AL212" i="98"/>
  <c r="AM211" i="98"/>
  <c r="AI211" i="98"/>
  <c r="AJ210" i="98"/>
  <c r="AK209" i="98"/>
  <c r="AM208" i="98"/>
  <c r="AI208" i="98"/>
  <c r="AJ216" i="98"/>
  <c r="AK215" i="98"/>
  <c r="AL214" i="98"/>
  <c r="AM213" i="98"/>
  <c r="AI213" i="98"/>
  <c r="AJ212" i="98"/>
  <c r="AK211" i="98"/>
  <c r="AL210" i="98"/>
  <c r="AM209" i="98"/>
  <c r="AI209" i="98"/>
  <c r="AK208" i="98"/>
  <c r="AI216" i="98"/>
  <c r="AM214" i="98"/>
  <c r="AL213" i="98"/>
  <c r="AI212" i="98"/>
  <c r="AM210" i="98"/>
  <c r="AL209" i="98"/>
  <c r="AJ207" i="98"/>
  <c r="AK206" i="98"/>
  <c r="AK205" i="98"/>
  <c r="AM216" i="98"/>
  <c r="AL215" i="98"/>
  <c r="AI214" i="98"/>
  <c r="AM212" i="98"/>
  <c r="AL211" i="98"/>
  <c r="AI210" i="98"/>
  <c r="AJ208" i="98"/>
  <c r="AL207" i="98"/>
  <c r="AM206" i="98"/>
  <c r="AI206" i="98"/>
  <c r="AM205" i="98"/>
  <c r="AI205" i="98"/>
  <c r="AK207" i="98"/>
  <c r="AJ206" i="98"/>
  <c r="AK216" i="98"/>
  <c r="AK214" i="98"/>
  <c r="AK212" i="98"/>
  <c r="AK210" i="98"/>
  <c r="AL205" i="98"/>
  <c r="AL208" i="98"/>
  <c r="AI207" i="98"/>
  <c r="AJ205" i="98"/>
  <c r="AJ215" i="98"/>
  <c r="AJ213" i="98"/>
  <c r="AJ211" i="98"/>
  <c r="AJ209" i="98"/>
  <c r="AM207" i="98"/>
  <c r="AL206" i="98"/>
  <c r="AK345" i="98"/>
  <c r="Y155" i="98"/>
  <c r="AD225" i="98"/>
  <c r="Z225" i="98"/>
  <c r="W225" i="98"/>
  <c r="AC210" i="98"/>
  <c r="AD210" i="98"/>
  <c r="U338" i="98"/>
  <c r="S148" i="98"/>
  <c r="U335" i="98"/>
  <c r="S145" i="98"/>
  <c r="U343" i="98"/>
  <c r="S153" i="98"/>
  <c r="Z206" i="98"/>
  <c r="AA206" i="98"/>
  <c r="BK113" i="98"/>
  <c r="BK121" i="98"/>
  <c r="BK129" i="98"/>
  <c r="AF207" i="98"/>
  <c r="AG207" i="98"/>
  <c r="AF213" i="98"/>
  <c r="AG213" i="98"/>
  <c r="R234" i="98"/>
  <c r="V378" i="98"/>
  <c r="T228" i="98"/>
  <c r="P226" i="98"/>
  <c r="S226" i="98"/>
  <c r="W210" i="98"/>
  <c r="X210" i="98"/>
  <c r="R236" i="98"/>
  <c r="V380" i="98"/>
  <c r="V228" i="98"/>
  <c r="X228" i="98"/>
  <c r="AC228" i="98"/>
  <c r="AE228" i="98"/>
  <c r="Y228" i="98"/>
  <c r="AA228" i="98"/>
  <c r="AC230" i="98"/>
  <c r="AE230" i="98"/>
  <c r="Y230" i="98"/>
  <c r="AA230" i="98"/>
  <c r="V230" i="98"/>
  <c r="X230" i="98"/>
  <c r="AC235" i="98"/>
  <c r="AE235" i="98"/>
  <c r="Y235" i="98"/>
  <c r="AA235" i="98"/>
  <c r="V235" i="98"/>
  <c r="X235" i="98"/>
  <c r="V24" i="98"/>
  <c r="AK342" i="98"/>
  <c r="Y152" i="98"/>
  <c r="AK338" i="98"/>
  <c r="Y148" i="98"/>
  <c r="AK334" i="98"/>
  <c r="Y144" i="98"/>
  <c r="AC213" i="98"/>
  <c r="AD213" i="98"/>
  <c r="BK270" i="98"/>
  <c r="BK278" i="98"/>
  <c r="BK231" i="98"/>
  <c r="Z24" i="98"/>
  <c r="Z20" i="98"/>
  <c r="BM79" i="98"/>
  <c r="T231" i="98"/>
  <c r="AC207" i="98"/>
  <c r="AD207" i="98"/>
  <c r="AC214" i="98"/>
  <c r="AD214" i="98"/>
  <c r="U340" i="98"/>
  <c r="S150" i="98"/>
  <c r="U337" i="98"/>
  <c r="S147" i="98"/>
  <c r="U345" i="98"/>
  <c r="S155" i="98"/>
  <c r="BL202" i="98"/>
  <c r="BM202" i="98"/>
  <c r="Z208" i="98"/>
  <c r="AA208" i="98"/>
  <c r="Z213" i="98"/>
  <c r="AA213" i="98"/>
  <c r="BK357" i="98"/>
  <c r="BK137" i="98"/>
  <c r="AF208" i="98"/>
  <c r="AG208" i="98"/>
  <c r="B399" i="98"/>
  <c r="Z367" i="98"/>
  <c r="Q471" i="98"/>
  <c r="F24" i="76"/>
  <c r="V229" i="98"/>
  <c r="X229" i="98"/>
  <c r="AC229" i="98"/>
  <c r="AE229" i="98"/>
  <c r="Y229" i="98"/>
  <c r="AA229" i="98"/>
  <c r="AC232" i="98"/>
  <c r="AE232" i="98"/>
  <c r="Y232" i="98"/>
  <c r="AA232" i="98"/>
  <c r="V232" i="98"/>
  <c r="X232" i="98"/>
  <c r="T15" i="98"/>
  <c r="S15" i="98"/>
  <c r="U15" i="98"/>
  <c r="AK341" i="98"/>
  <c r="Y151" i="98"/>
  <c r="AK337" i="98"/>
  <c r="Y147" i="98"/>
  <c r="AC205" i="98"/>
  <c r="AD205" i="98"/>
  <c r="W206" i="98"/>
  <c r="X206" i="98"/>
  <c r="AC212" i="98"/>
  <c r="AD212" i="98"/>
  <c r="U334" i="98"/>
  <c r="S144" i="98"/>
  <c r="U342" i="98"/>
  <c r="S152" i="98"/>
  <c r="U339" i="98"/>
  <c r="S149" i="98"/>
  <c r="Z210" i="98"/>
  <c r="AA210" i="98"/>
  <c r="Z207" i="98"/>
  <c r="AA207" i="98"/>
  <c r="BL111" i="98"/>
  <c r="BK117" i="98"/>
  <c r="B424" i="98"/>
  <c r="B459" i="98"/>
  <c r="Z392" i="98"/>
  <c r="AL367" i="98"/>
  <c r="AZ367" i="98"/>
  <c r="CQ15" i="98"/>
  <c r="R232" i="98"/>
  <c r="V376" i="98"/>
  <c r="T230" i="98"/>
  <c r="W212" i="98"/>
  <c r="X212" i="98"/>
  <c r="BJ5" i="98"/>
  <c r="E48" i="98"/>
  <c r="BJ169" i="98"/>
  <c r="BJ167" i="98"/>
  <c r="BK167" i="98"/>
  <c r="BJ165" i="98"/>
  <c r="BK165" i="98"/>
  <c r="BJ163" i="98"/>
  <c r="BK163" i="98"/>
  <c r="BJ161" i="98"/>
  <c r="BK161" i="98"/>
  <c r="BJ159" i="98"/>
  <c r="BK159" i="98"/>
  <c r="BJ157" i="98"/>
  <c r="BJ156" i="98"/>
  <c r="BK156" i="98"/>
  <c r="BJ170" i="98"/>
  <c r="BK170" i="98"/>
  <c r="BJ168" i="98"/>
  <c r="BK168" i="98"/>
  <c r="BJ166" i="98"/>
  <c r="BK166" i="98"/>
  <c r="BJ164" i="98"/>
  <c r="BK164" i="98"/>
  <c r="BJ162" i="98"/>
  <c r="BK162" i="98"/>
  <c r="BJ160" i="98"/>
  <c r="BK160" i="98"/>
  <c r="BJ158" i="98"/>
  <c r="BK158" i="98"/>
  <c r="BJ142" i="98"/>
  <c r="BK142" i="98"/>
  <c r="BJ141" i="98"/>
  <c r="BK141" i="98"/>
  <c r="BJ140" i="98"/>
  <c r="BK140" i="98"/>
  <c r="BL140" i="98"/>
  <c r="BN140" i="98"/>
  <c r="BJ154" i="98"/>
  <c r="BK154" i="98"/>
  <c r="BJ153" i="98"/>
  <c r="BK153" i="98"/>
  <c r="BJ152" i="98"/>
  <c r="BK152" i="98"/>
  <c r="BJ151" i="98"/>
  <c r="BK151" i="98"/>
  <c r="BJ150" i="98"/>
  <c r="BK150" i="98"/>
  <c r="BJ149" i="98"/>
  <c r="BK149" i="98"/>
  <c r="BJ148" i="98"/>
  <c r="BK148" i="98"/>
  <c r="BJ147" i="98"/>
  <c r="BK147" i="98"/>
  <c r="BJ146" i="98"/>
  <c r="BK146" i="98"/>
  <c r="BJ145" i="98"/>
  <c r="BK145" i="98"/>
  <c r="BJ144" i="98"/>
  <c r="BK144" i="98"/>
  <c r="BJ143" i="98"/>
  <c r="BK143" i="98"/>
  <c r="BJ155" i="98"/>
  <c r="V225" i="98"/>
  <c r="U237" i="98"/>
  <c r="Y225" i="98"/>
  <c r="AC225" i="98"/>
  <c r="V226" i="98"/>
  <c r="AC226" i="98"/>
  <c r="Y226" i="98"/>
  <c r="AC233" i="98"/>
  <c r="AE233" i="98"/>
  <c r="Y233" i="98"/>
  <c r="AA233" i="98"/>
  <c r="V233" i="98"/>
  <c r="X233" i="98"/>
  <c r="BK8" i="98"/>
  <c r="BV4" i="98"/>
  <c r="V28" i="98"/>
  <c r="V20" i="98"/>
  <c r="BN354" i="98"/>
  <c r="BN324" i="98"/>
  <c r="BN263" i="98"/>
  <c r="BN293" i="98"/>
  <c r="BN171" i="98"/>
  <c r="BN80" i="98"/>
  <c r="BN79" i="98"/>
  <c r="BN202" i="98"/>
  <c r="BN110" i="98"/>
  <c r="BN201" i="98"/>
  <c r="AK344" i="98"/>
  <c r="Y154" i="98"/>
  <c r="AK340" i="98"/>
  <c r="Y150" i="98"/>
  <c r="AK336" i="98"/>
  <c r="Y146" i="98"/>
  <c r="BM293" i="98"/>
  <c r="BN8" i="98"/>
  <c r="AC209" i="98"/>
  <c r="AD209" i="98"/>
  <c r="BM324" i="98"/>
  <c r="BM263" i="98"/>
  <c r="Z26" i="98"/>
  <c r="Z22" i="98"/>
  <c r="BJ262" i="98"/>
  <c r="BK262" i="98"/>
  <c r="BJ261" i="98"/>
  <c r="BK261" i="98"/>
  <c r="BJ260" i="98"/>
  <c r="BK260" i="98"/>
  <c r="BJ259" i="98"/>
  <c r="BK259" i="98"/>
  <c r="BJ258" i="98"/>
  <c r="BK258" i="98"/>
  <c r="BJ257" i="98"/>
  <c r="BK257" i="98"/>
  <c r="BJ252" i="98"/>
  <c r="BK252" i="98"/>
  <c r="BJ245" i="98"/>
  <c r="BK245" i="98"/>
  <c r="BJ244" i="98"/>
  <c r="BK244" i="98"/>
  <c r="BJ242" i="98"/>
  <c r="BK242" i="98"/>
  <c r="BJ241" i="98"/>
  <c r="BK241" i="98"/>
  <c r="BJ254" i="98"/>
  <c r="BK254" i="98"/>
  <c r="BJ251" i="98"/>
  <c r="BK251" i="98"/>
  <c r="BJ239" i="98"/>
  <c r="BK239" i="98"/>
  <c r="BJ235" i="98"/>
  <c r="BK235" i="98"/>
  <c r="BJ234" i="98"/>
  <c r="BK234" i="98"/>
  <c r="BJ233" i="98"/>
  <c r="BK233" i="98"/>
  <c r="BJ232" i="98"/>
  <c r="BK232" i="98"/>
  <c r="BL232" i="98"/>
  <c r="BJ256" i="98"/>
  <c r="BK256" i="98"/>
  <c r="BJ240" i="98"/>
  <c r="BK240" i="98"/>
  <c r="BJ236" i="98"/>
  <c r="BK236" i="98"/>
  <c r="BJ255" i="98"/>
  <c r="BK255" i="98"/>
  <c r="BJ253" i="98"/>
  <c r="BK253" i="98"/>
  <c r="BJ249" i="98"/>
  <c r="BK249" i="98"/>
  <c r="BJ247" i="98"/>
  <c r="BK247" i="98"/>
  <c r="BJ243" i="98"/>
  <c r="BK243" i="98"/>
  <c r="BJ238" i="98"/>
  <c r="BK238" i="98"/>
  <c r="BJ250" i="98"/>
  <c r="BK250" i="98"/>
  <c r="BJ248" i="98"/>
  <c r="BK248" i="98"/>
  <c r="BJ246" i="98"/>
  <c r="BK246" i="98"/>
  <c r="BJ237" i="98"/>
  <c r="BK237" i="98"/>
  <c r="AC206" i="98"/>
  <c r="AD206" i="98"/>
  <c r="U336" i="98"/>
  <c r="S146" i="98"/>
  <c r="U344" i="98"/>
  <c r="S154" i="98"/>
  <c r="U341" i="98"/>
  <c r="S151" i="98"/>
  <c r="V29" i="98"/>
  <c r="Z18" i="98"/>
  <c r="BM171" i="98"/>
  <c r="BO171" i="98"/>
  <c r="CZ171" i="98"/>
  <c r="Z212" i="98"/>
  <c r="AA212" i="98"/>
  <c r="Z205" i="98"/>
  <c r="AA205" i="98"/>
  <c r="Z215" i="98"/>
  <c r="AA215" i="98"/>
  <c r="BK371" i="98"/>
  <c r="BK367" i="98"/>
  <c r="BK383" i="98"/>
  <c r="AF212" i="98"/>
  <c r="AG212" i="98"/>
  <c r="AF215" i="98"/>
  <c r="AG215" i="98"/>
  <c r="G84" i="71"/>
  <c r="D90" i="72"/>
  <c r="I9" i="51"/>
  <c r="I10" i="51"/>
  <c r="J36" i="76"/>
  <c r="BL112" i="98"/>
  <c r="BM112" i="98"/>
  <c r="BN172" i="98"/>
  <c r="BN294" i="98"/>
  <c r="T227" i="98"/>
  <c r="BL355" i="98"/>
  <c r="T235" i="98"/>
  <c r="S217" i="98"/>
  <c r="T206" i="98"/>
  <c r="U206" i="98"/>
  <c r="AH206" i="98"/>
  <c r="X234" i="98"/>
  <c r="BL295" i="98"/>
  <c r="BM295" i="98"/>
  <c r="BL265" i="98"/>
  <c r="BN265" i="98"/>
  <c r="BN264" i="98"/>
  <c r="BL326" i="98"/>
  <c r="BN326" i="98"/>
  <c r="BN325" i="98"/>
  <c r="BO325" i="98"/>
  <c r="CZ325" i="98"/>
  <c r="BL356" i="98"/>
  <c r="BM356" i="98"/>
  <c r="BO201" i="98"/>
  <c r="CZ201" i="98"/>
  <c r="BM172" i="98"/>
  <c r="BO172" i="98"/>
  <c r="CZ172" i="98"/>
  <c r="S225" i="98"/>
  <c r="R225" i="98"/>
  <c r="BL82" i="98"/>
  <c r="BM82" i="98"/>
  <c r="BN51" i="98"/>
  <c r="BO51" i="98"/>
  <c r="CZ51" i="98"/>
  <c r="AH208" i="98"/>
  <c r="D210" i="98"/>
  <c r="AH211" i="98"/>
  <c r="X340" i="98"/>
  <c r="AH216" i="98"/>
  <c r="X345" i="98"/>
  <c r="T234" i="98"/>
  <c r="T233" i="98"/>
  <c r="AA234" i="98"/>
  <c r="BL221" i="98"/>
  <c r="BM221" i="98"/>
  <c r="AH214" i="98"/>
  <c r="D216" i="98"/>
  <c r="AH209" i="98"/>
  <c r="X338" i="98"/>
  <c r="BO324" i="98"/>
  <c r="CZ324" i="98"/>
  <c r="BK157" i="98"/>
  <c r="AB230" i="98"/>
  <c r="Y339" i="98"/>
  <c r="CH173" i="98"/>
  <c r="BK77" i="98"/>
  <c r="BK169" i="98"/>
  <c r="AN216" i="98"/>
  <c r="AN345" i="98"/>
  <c r="AN211" i="98"/>
  <c r="E213" i="98"/>
  <c r="BK59" i="98"/>
  <c r="BO80" i="98"/>
  <c r="CZ80" i="98"/>
  <c r="AB229" i="98"/>
  <c r="Y338" i="98"/>
  <c r="AI373" i="98"/>
  <c r="AH212" i="98"/>
  <c r="X341" i="98"/>
  <c r="X226" i="98"/>
  <c r="X217" i="98"/>
  <c r="K198" i="98"/>
  <c r="BL203" i="98"/>
  <c r="BL204" i="98"/>
  <c r="AB228" i="98"/>
  <c r="Y337" i="98"/>
  <c r="CH138" i="98"/>
  <c r="AB236" i="98"/>
  <c r="AH207" i="98"/>
  <c r="X336" i="98"/>
  <c r="BO294" i="98"/>
  <c r="CZ294" i="98"/>
  <c r="AB227" i="98"/>
  <c r="AB231" i="98"/>
  <c r="Y340" i="98"/>
  <c r="AH215" i="98"/>
  <c r="X344" i="98"/>
  <c r="BL174" i="98"/>
  <c r="BM174" i="98"/>
  <c r="BO263" i="98"/>
  <c r="CZ263" i="98"/>
  <c r="BO293" i="98"/>
  <c r="CZ293" i="98"/>
  <c r="BN112" i="98"/>
  <c r="BO112" i="98"/>
  <c r="CZ112" i="98"/>
  <c r="BO110" i="98"/>
  <c r="CZ110" i="98"/>
  <c r="AD217" i="98"/>
  <c r="K200" i="98"/>
  <c r="BK55" i="98"/>
  <c r="BK75" i="98"/>
  <c r="BK65" i="98"/>
  <c r="V15" i="98"/>
  <c r="V30" i="98"/>
  <c r="R56" i="98"/>
  <c r="AC237" i="98"/>
  <c r="BK155" i="98"/>
  <c r="BM111" i="98"/>
  <c r="U346" i="98"/>
  <c r="AB232" i="98"/>
  <c r="B425" i="98"/>
  <c r="B460" i="98"/>
  <c r="AA392" i="98"/>
  <c r="AM367" i="98"/>
  <c r="BA367" i="98"/>
  <c r="CT15" i="98"/>
  <c r="V345" i="98"/>
  <c r="U405" i="98"/>
  <c r="T155" i="98"/>
  <c r="D155" i="98"/>
  <c r="C191" i="98"/>
  <c r="V340" i="98"/>
  <c r="U400" i="98"/>
  <c r="T150" i="98"/>
  <c r="D150" i="98"/>
  <c r="C186" i="98"/>
  <c r="AL334" i="98"/>
  <c r="Z144" i="98"/>
  <c r="AL342" i="98"/>
  <c r="AM342" i="98"/>
  <c r="Z152" i="98"/>
  <c r="J152" i="98"/>
  <c r="D188" i="98"/>
  <c r="BM173" i="98"/>
  <c r="BO173" i="98"/>
  <c r="CZ173" i="98"/>
  <c r="R226" i="98"/>
  <c r="T226" i="98"/>
  <c r="AD237" i="98"/>
  <c r="AE225" i="98"/>
  <c r="AI217" i="98"/>
  <c r="L197" i="98"/>
  <c r="AN205" i="98"/>
  <c r="AK217" i="98"/>
  <c r="L199" i="98"/>
  <c r="AN208" i="98"/>
  <c r="B426" i="98"/>
  <c r="AN367" i="98"/>
  <c r="BB367" i="98"/>
  <c r="BK54" i="98"/>
  <c r="BK58" i="98"/>
  <c r="BK76" i="98"/>
  <c r="BK68" i="98"/>
  <c r="BK78" i="98"/>
  <c r="BO354" i="98"/>
  <c r="CZ354" i="98"/>
  <c r="V341" i="98"/>
  <c r="U401" i="98"/>
  <c r="T151" i="98"/>
  <c r="D151" i="98"/>
  <c r="C187" i="98"/>
  <c r="V336" i="98"/>
  <c r="U396" i="98"/>
  <c r="T146" i="98"/>
  <c r="D146" i="98"/>
  <c r="C182" i="98"/>
  <c r="BM232" i="98"/>
  <c r="BL233" i="98"/>
  <c r="BL234" i="98"/>
  <c r="AL336" i="98"/>
  <c r="AM336" i="98"/>
  <c r="Z146" i="98"/>
  <c r="J146" i="98"/>
  <c r="D182" i="98"/>
  <c r="AL344" i="98"/>
  <c r="AM344" i="98"/>
  <c r="Z154" i="98"/>
  <c r="J154" i="98"/>
  <c r="D190" i="98"/>
  <c r="BN111" i="98"/>
  <c r="BN81" i="98"/>
  <c r="BO81" i="98"/>
  <c r="CZ81" i="98"/>
  <c r="BN356" i="98"/>
  <c r="BO356" i="98"/>
  <c r="CZ356" i="98"/>
  <c r="Y237" i="98"/>
  <c r="BM140" i="98"/>
  <c r="BO140" i="98"/>
  <c r="CZ140" i="98"/>
  <c r="BL141" i="98"/>
  <c r="BL113" i="98"/>
  <c r="BL114" i="98"/>
  <c r="BL115" i="98"/>
  <c r="V342" i="98"/>
  <c r="U402" i="98"/>
  <c r="T152" i="98"/>
  <c r="D152" i="98"/>
  <c r="C188" i="98"/>
  <c r="AL337" i="98"/>
  <c r="AM337" i="98"/>
  <c r="Z147" i="98"/>
  <c r="J147" i="98"/>
  <c r="D183" i="98"/>
  <c r="BO79" i="98"/>
  <c r="CZ79" i="98"/>
  <c r="BM265" i="98"/>
  <c r="BO265" i="98"/>
  <c r="CZ265" i="98"/>
  <c r="BL266" i="98"/>
  <c r="AK346" i="98"/>
  <c r="V335" i="98"/>
  <c r="U395" i="98"/>
  <c r="T145" i="98"/>
  <c r="D145" i="98"/>
  <c r="C181" i="98"/>
  <c r="AL217" i="98"/>
  <c r="L200" i="98"/>
  <c r="AM217" i="98"/>
  <c r="L201" i="98"/>
  <c r="AN214" i="98"/>
  <c r="AN212" i="98"/>
  <c r="AN215" i="98"/>
  <c r="AL339" i="98"/>
  <c r="AM339" i="98"/>
  <c r="Z149" i="98"/>
  <c r="J149" i="98"/>
  <c r="D185" i="98"/>
  <c r="AA226" i="98"/>
  <c r="T236" i="98"/>
  <c r="BK66" i="98"/>
  <c r="BK70" i="98"/>
  <c r="Z15" i="98"/>
  <c r="Z30" i="98"/>
  <c r="AH210" i="98"/>
  <c r="CH148" i="98"/>
  <c r="V337" i="98"/>
  <c r="U397" i="98"/>
  <c r="T147" i="98"/>
  <c r="D147" i="98"/>
  <c r="C183" i="98"/>
  <c r="AL338" i="98"/>
  <c r="AM338" i="98"/>
  <c r="Z148" i="98"/>
  <c r="J148" i="98"/>
  <c r="D184" i="98"/>
  <c r="AH213" i="98"/>
  <c r="X225" i="98"/>
  <c r="W237" i="98"/>
  <c r="AL345" i="98"/>
  <c r="AM345" i="98"/>
  <c r="Z155" i="98"/>
  <c r="J155" i="98"/>
  <c r="D191" i="98"/>
  <c r="AJ217" i="98"/>
  <c r="L198" i="98"/>
  <c r="AN206" i="98"/>
  <c r="AN210" i="98"/>
  <c r="AN209" i="98"/>
  <c r="BO264" i="98"/>
  <c r="CZ264" i="98"/>
  <c r="AE226" i="98"/>
  <c r="BK64" i="98"/>
  <c r="BK62" i="98"/>
  <c r="BK60" i="98"/>
  <c r="BK72" i="98"/>
  <c r="BL357" i="98"/>
  <c r="BL358" i="98"/>
  <c r="AA217" i="98"/>
  <c r="K199" i="98"/>
  <c r="V344" i="98"/>
  <c r="U404" i="98"/>
  <c r="T154" i="98"/>
  <c r="D154" i="98"/>
  <c r="C190" i="98"/>
  <c r="AL340" i="98"/>
  <c r="AM340" i="98"/>
  <c r="Z150" i="98"/>
  <c r="J150" i="98"/>
  <c r="D186" i="98"/>
  <c r="BN232" i="98"/>
  <c r="AB233" i="98"/>
  <c r="Y342" i="98"/>
  <c r="V237" i="98"/>
  <c r="BV5" i="98"/>
  <c r="BJ7" i="98"/>
  <c r="BJ8" i="98"/>
  <c r="V339" i="98"/>
  <c r="T149" i="98"/>
  <c r="D149" i="98"/>
  <c r="C185" i="98"/>
  <c r="S156" i="98"/>
  <c r="E23" i="76"/>
  <c r="V334" i="98"/>
  <c r="U394" i="98"/>
  <c r="T144" i="98"/>
  <c r="AL341" i="98"/>
  <c r="AM341" i="98"/>
  <c r="Z151" i="98"/>
  <c r="J151" i="98"/>
  <c r="D187" i="98"/>
  <c r="AB234" i="98"/>
  <c r="AG217" i="98"/>
  <c r="K201" i="98"/>
  <c r="AH205" i="98"/>
  <c r="BL83" i="98"/>
  <c r="BO202" i="98"/>
  <c r="CZ202" i="98"/>
  <c r="AB235" i="98"/>
  <c r="Y344" i="98"/>
  <c r="V343" i="98"/>
  <c r="T153" i="98"/>
  <c r="D153" i="98"/>
  <c r="C189" i="98"/>
  <c r="V338" i="98"/>
  <c r="T148" i="98"/>
  <c r="D148" i="98"/>
  <c r="C184" i="98"/>
  <c r="Z237" i="98"/>
  <c r="AA225" i="98"/>
  <c r="AN207" i="98"/>
  <c r="AN213" i="98"/>
  <c r="AL335" i="98"/>
  <c r="AM335" i="98"/>
  <c r="Z145" i="98"/>
  <c r="J145" i="98"/>
  <c r="D181" i="98"/>
  <c r="AL343" i="98"/>
  <c r="AM343" i="98"/>
  <c r="Z153" i="98"/>
  <c r="J153" i="98"/>
  <c r="D189" i="98"/>
  <c r="T232" i="98"/>
  <c r="BK52" i="98"/>
  <c r="BL52" i="98"/>
  <c r="BK56" i="98"/>
  <c r="BK74" i="98"/>
  <c r="D218" i="98"/>
  <c r="Y336" i="98"/>
  <c r="T225" i="98"/>
  <c r="U217" i="98"/>
  <c r="K197" i="98"/>
  <c r="K202" i="98"/>
  <c r="BN355" i="98"/>
  <c r="BM355" i="98"/>
  <c r="D213" i="98"/>
  <c r="BL296" i="98"/>
  <c r="BL297" i="98"/>
  <c r="BM326" i="98"/>
  <c r="BO326" i="98"/>
  <c r="CZ326" i="98"/>
  <c r="CH92" i="98"/>
  <c r="BN295" i="98"/>
  <c r="BO295" i="98"/>
  <c r="CZ295" i="98"/>
  <c r="X343" i="98"/>
  <c r="CE307" i="98"/>
  <c r="BL327" i="98"/>
  <c r="BL328" i="98"/>
  <c r="BL329" i="98"/>
  <c r="BM329" i="98"/>
  <c r="BL175" i="98"/>
  <c r="BL176" i="98"/>
  <c r="BL177" i="98"/>
  <c r="BL178" i="98"/>
  <c r="BN174" i="98"/>
  <c r="BO174" i="98"/>
  <c r="CZ174" i="98"/>
  <c r="X337" i="98"/>
  <c r="V397" i="98"/>
  <c r="S237" i="98"/>
  <c r="CH167" i="98"/>
  <c r="CH105" i="98"/>
  <c r="X237" i="98"/>
  <c r="CH103" i="98"/>
  <c r="CH90" i="98"/>
  <c r="CH80" i="98"/>
  <c r="Y343" i="98"/>
  <c r="CH321" i="98"/>
  <c r="Y345" i="98"/>
  <c r="CH378" i="98"/>
  <c r="AN340" i="98"/>
  <c r="CH95" i="98"/>
  <c r="CH108" i="98"/>
  <c r="CH84" i="98"/>
  <c r="V369" i="98"/>
  <c r="BN82" i="98"/>
  <c r="BO82" i="98"/>
  <c r="CZ82" i="98"/>
  <c r="AB226" i="98"/>
  <c r="Y335" i="98"/>
  <c r="BN221" i="98"/>
  <c r="BO221" i="98"/>
  <c r="CZ221" i="98"/>
  <c r="CH96" i="98"/>
  <c r="CH99" i="98"/>
  <c r="CH81" i="98"/>
  <c r="W396" i="98"/>
  <c r="CH111" i="98"/>
  <c r="CH198" i="98"/>
  <c r="CH139" i="98"/>
  <c r="CH127" i="98"/>
  <c r="CH120" i="98"/>
  <c r="CH128" i="98"/>
  <c r="CH135" i="98"/>
  <c r="CH184" i="98"/>
  <c r="CH112" i="98"/>
  <c r="CH119" i="98"/>
  <c r="CH197" i="98"/>
  <c r="CH114" i="98"/>
  <c r="CH122" i="98"/>
  <c r="CH113" i="98"/>
  <c r="CH136" i="98"/>
  <c r="CH140" i="98"/>
  <c r="CH183" i="98"/>
  <c r="CH186" i="98"/>
  <c r="CH116" i="98"/>
  <c r="CH124" i="98"/>
  <c r="CH132" i="98"/>
  <c r="CH115" i="98"/>
  <c r="CH123" i="98"/>
  <c r="CH131" i="98"/>
  <c r="CH137" i="98"/>
  <c r="W397" i="98"/>
  <c r="CH200" i="98"/>
  <c r="CH130" i="98"/>
  <c r="CH121" i="98"/>
  <c r="CH129" i="98"/>
  <c r="AI372" i="98"/>
  <c r="CH168" i="98"/>
  <c r="CH191" i="98"/>
  <c r="CH172" i="98"/>
  <c r="CH110" i="98"/>
  <c r="CH118" i="98"/>
  <c r="CH126" i="98"/>
  <c r="CH134" i="98"/>
  <c r="CH117" i="98"/>
  <c r="CH125" i="98"/>
  <c r="CH133" i="98"/>
  <c r="D211" i="98"/>
  <c r="CH143" i="98"/>
  <c r="CH151" i="98"/>
  <c r="CH158" i="98"/>
  <c r="CH157" i="98"/>
  <c r="W398" i="98"/>
  <c r="CH144" i="98"/>
  <c r="CH152" i="98"/>
  <c r="CH160" i="98"/>
  <c r="CH159" i="98"/>
  <c r="CH147" i="98"/>
  <c r="CH155" i="98"/>
  <c r="CH166" i="98"/>
  <c r="CH165" i="98"/>
  <c r="D217" i="98"/>
  <c r="CH216" i="98"/>
  <c r="CH207" i="98"/>
  <c r="CH224" i="98"/>
  <c r="CH209" i="98"/>
  <c r="CH212" i="98"/>
  <c r="D214" i="98"/>
  <c r="BL205" i="98"/>
  <c r="BL206" i="98"/>
  <c r="D209" i="98"/>
  <c r="CH199" i="98"/>
  <c r="CH185" i="98"/>
  <c r="CH175" i="98"/>
  <c r="CH188" i="98"/>
  <c r="CH174" i="98"/>
  <c r="CH190" i="98"/>
  <c r="CH196" i="98"/>
  <c r="AI374" i="98"/>
  <c r="CH145" i="98"/>
  <c r="CH149" i="98"/>
  <c r="CH153" i="98"/>
  <c r="CH141" i="98"/>
  <c r="CH162" i="98"/>
  <c r="CH170" i="98"/>
  <c r="CH161" i="98"/>
  <c r="CH169" i="98"/>
  <c r="E218" i="98"/>
  <c r="CH179" i="98"/>
  <c r="CH187" i="98"/>
  <c r="CH177" i="98"/>
  <c r="CH192" i="98"/>
  <c r="CH176" i="98"/>
  <c r="CH193" i="98"/>
  <c r="CH171" i="98"/>
  <c r="W399" i="98"/>
  <c r="CH146" i="98"/>
  <c r="CH150" i="98"/>
  <c r="CH154" i="98"/>
  <c r="CH142" i="98"/>
  <c r="CH164" i="98"/>
  <c r="CH156" i="98"/>
  <c r="CH163" i="98"/>
  <c r="CH89" i="98"/>
  <c r="CH86" i="98"/>
  <c r="CH85" i="98"/>
  <c r="CH97" i="98"/>
  <c r="CH178" i="98"/>
  <c r="CH181" i="98"/>
  <c r="CH189" i="98"/>
  <c r="CH180" i="98"/>
  <c r="CH194" i="98"/>
  <c r="CH182" i="98"/>
  <c r="CH195" i="98"/>
  <c r="BO111" i="98"/>
  <c r="CZ111" i="98"/>
  <c r="BM204" i="98"/>
  <c r="BN204" i="98"/>
  <c r="CH98" i="98"/>
  <c r="CH107" i="98"/>
  <c r="CH106" i="98"/>
  <c r="CH109" i="98"/>
  <c r="CH94" i="98"/>
  <c r="CH83" i="98"/>
  <c r="CH104" i="98"/>
  <c r="CH93" i="98"/>
  <c r="CH205" i="98"/>
  <c r="CH211" i="98"/>
  <c r="CH206" i="98"/>
  <c r="CH210" i="98"/>
  <c r="CH231" i="98"/>
  <c r="CH201" i="98"/>
  <c r="CH215" i="98"/>
  <c r="CH228" i="98"/>
  <c r="CH214" i="98"/>
  <c r="AI375" i="98"/>
  <c r="BM203" i="98"/>
  <c r="BN203" i="98"/>
  <c r="CH102" i="98"/>
  <c r="CH91" i="98"/>
  <c r="CH101" i="98"/>
  <c r="CH88" i="98"/>
  <c r="CH79" i="98"/>
  <c r="CH87" i="98"/>
  <c r="CH82" i="98"/>
  <c r="CH203" i="98"/>
  <c r="CH219" i="98"/>
  <c r="CH229" i="98"/>
  <c r="CH220" i="98"/>
  <c r="Y341" i="98"/>
  <c r="CH262" i="98"/>
  <c r="CH202" i="98"/>
  <c r="CH223" i="98"/>
  <c r="CH225" i="98"/>
  <c r="CH226" i="98"/>
  <c r="CH218" i="98"/>
  <c r="CH230" i="98"/>
  <c r="W400" i="98"/>
  <c r="T237" i="98"/>
  <c r="D243" i="98"/>
  <c r="CH204" i="98"/>
  <c r="CH221" i="98"/>
  <c r="CH213" i="98"/>
  <c r="CH222" i="98"/>
  <c r="CH227" i="98"/>
  <c r="CH208" i="98"/>
  <c r="CH217" i="98"/>
  <c r="CH381" i="98"/>
  <c r="CH368" i="98"/>
  <c r="CH361" i="98"/>
  <c r="CH358" i="98"/>
  <c r="BM358" i="98"/>
  <c r="BN358" i="98"/>
  <c r="BL359" i="98"/>
  <c r="V405" i="98"/>
  <c r="CE383" i="98"/>
  <c r="CE381" i="98"/>
  <c r="CE384" i="98"/>
  <c r="AH380" i="98"/>
  <c r="CE382" i="98"/>
  <c r="CE377" i="98"/>
  <c r="CE374" i="98"/>
  <c r="CE373" i="98"/>
  <c r="CE372" i="98"/>
  <c r="CE379" i="98"/>
  <c r="CE375" i="98"/>
  <c r="CE370" i="98"/>
  <c r="CE369" i="98"/>
  <c r="CE368" i="98"/>
  <c r="CE366" i="98"/>
  <c r="CE364" i="98"/>
  <c r="CE371" i="98"/>
  <c r="CE365" i="98"/>
  <c r="CE363" i="98"/>
  <c r="CE362" i="98"/>
  <c r="CE361" i="98"/>
  <c r="CE360" i="98"/>
  <c r="CE359" i="98"/>
  <c r="CE358" i="98"/>
  <c r="CE357" i="98"/>
  <c r="CE356" i="98"/>
  <c r="CE355" i="98"/>
  <c r="CE354" i="98"/>
  <c r="CE367" i="98"/>
  <c r="CE378" i="98"/>
  <c r="CE380" i="98"/>
  <c r="CE376" i="98"/>
  <c r="BM52" i="98"/>
  <c r="BL53" i="98"/>
  <c r="BN52" i="98"/>
  <c r="AN336" i="98"/>
  <c r="E209" i="98"/>
  <c r="U373" i="98"/>
  <c r="W338" i="98"/>
  <c r="X334" i="98"/>
  <c r="AH217" i="98"/>
  <c r="D207" i="98"/>
  <c r="BJ39" i="98"/>
  <c r="BK39" i="98"/>
  <c r="BJ34" i="98"/>
  <c r="BK34" i="98"/>
  <c r="BJ32" i="98"/>
  <c r="BK32" i="98"/>
  <c r="BJ24" i="98"/>
  <c r="BK24" i="98"/>
  <c r="BJ20" i="98"/>
  <c r="BK20" i="98"/>
  <c r="BL20" i="98"/>
  <c r="BJ37" i="98"/>
  <c r="BK37" i="98"/>
  <c r="BJ36" i="98"/>
  <c r="BK36" i="98"/>
  <c r="BJ35" i="98"/>
  <c r="BK35" i="98"/>
  <c r="BJ33" i="98"/>
  <c r="BK33" i="98"/>
  <c r="BJ27" i="98"/>
  <c r="BK27" i="98"/>
  <c r="BJ26" i="98"/>
  <c r="BK26" i="98"/>
  <c r="BJ22" i="98"/>
  <c r="BK22" i="98"/>
  <c r="BJ47" i="98"/>
  <c r="BK47" i="98"/>
  <c r="BJ46" i="98"/>
  <c r="BK46" i="98"/>
  <c r="BJ45" i="98"/>
  <c r="BK45" i="98"/>
  <c r="BJ44" i="98"/>
  <c r="BK44" i="98"/>
  <c r="BJ43" i="98"/>
  <c r="BK43" i="98"/>
  <c r="BJ42" i="98"/>
  <c r="BK42" i="98"/>
  <c r="BJ41" i="98"/>
  <c r="BK41" i="98"/>
  <c r="BJ40" i="98"/>
  <c r="BK40" i="98"/>
  <c r="BJ31" i="98"/>
  <c r="BK31" i="98"/>
  <c r="BJ50" i="98"/>
  <c r="BK50" i="98"/>
  <c r="BJ48" i="98"/>
  <c r="BK48" i="98"/>
  <c r="BJ29" i="98"/>
  <c r="BK29" i="98"/>
  <c r="BJ30" i="98"/>
  <c r="BK30" i="98"/>
  <c r="BJ28" i="98"/>
  <c r="BK28" i="98"/>
  <c r="BJ49" i="98"/>
  <c r="BK49" i="98"/>
  <c r="BJ38" i="98"/>
  <c r="BK38" i="98"/>
  <c r="BJ25" i="98"/>
  <c r="BK25" i="98"/>
  <c r="BJ23" i="98"/>
  <c r="BK23" i="98"/>
  <c r="BJ21" i="98"/>
  <c r="BK21" i="98"/>
  <c r="W402" i="98"/>
  <c r="AI377" i="98"/>
  <c r="CH292" i="98"/>
  <c r="CH289" i="98"/>
  <c r="CH284" i="98"/>
  <c r="CH290" i="98"/>
  <c r="CH288" i="98"/>
  <c r="CH287" i="98"/>
  <c r="CH286" i="98"/>
  <c r="CH282" i="98"/>
  <c r="CH285" i="98"/>
  <c r="CH278" i="98"/>
  <c r="CH276" i="98"/>
  <c r="CH267" i="98"/>
  <c r="CH266" i="98"/>
  <c r="CH265" i="98"/>
  <c r="CH264" i="98"/>
  <c r="CH263" i="98"/>
  <c r="CH291" i="98"/>
  <c r="CH279" i="98"/>
  <c r="CH277" i="98"/>
  <c r="CH275" i="98"/>
  <c r="CH283" i="98"/>
  <c r="CH281" i="98"/>
  <c r="CH270" i="98"/>
  <c r="CH280" i="98"/>
  <c r="CH274" i="98"/>
  <c r="CH268" i="98"/>
  <c r="CH272" i="98"/>
  <c r="CH273" i="98"/>
  <c r="CH271" i="98"/>
  <c r="CH269" i="98"/>
  <c r="AN338" i="98"/>
  <c r="E211" i="98"/>
  <c r="U372" i="98"/>
  <c r="W337" i="98"/>
  <c r="BM115" i="98"/>
  <c r="BN115" i="98"/>
  <c r="V404" i="98"/>
  <c r="AH379" i="98"/>
  <c r="CE348" i="98"/>
  <c r="CE343" i="98"/>
  <c r="CE353" i="98"/>
  <c r="CE352" i="98"/>
  <c r="CE351" i="98"/>
  <c r="CE350" i="98"/>
  <c r="CE349" i="98"/>
  <c r="CE346" i="98"/>
  <c r="CE345" i="98"/>
  <c r="CE344" i="98"/>
  <c r="CE342" i="98"/>
  <c r="CE331" i="98"/>
  <c r="CE329" i="98"/>
  <c r="CE347" i="98"/>
  <c r="CE340" i="98"/>
  <c r="CE339" i="98"/>
  <c r="CE338" i="98"/>
  <c r="CE337" i="98"/>
  <c r="CE336" i="98"/>
  <c r="CE334" i="98"/>
  <c r="CE332" i="98"/>
  <c r="CE341" i="98"/>
  <c r="CE333" i="98"/>
  <c r="CE326" i="98"/>
  <c r="CE324" i="98"/>
  <c r="CE330" i="98"/>
  <c r="CE328" i="98"/>
  <c r="CE327" i="98"/>
  <c r="CE325" i="98"/>
  <c r="CE335" i="98"/>
  <c r="AN343" i="98"/>
  <c r="E216" i="98"/>
  <c r="U370" i="98"/>
  <c r="W335" i="98"/>
  <c r="BM327" i="98"/>
  <c r="AH372" i="98"/>
  <c r="BM141" i="98"/>
  <c r="BN141" i="98"/>
  <c r="BL142" i="98"/>
  <c r="BL143" i="98"/>
  <c r="BM175" i="98"/>
  <c r="BN175" i="98"/>
  <c r="AE237" i="98"/>
  <c r="E244" i="98"/>
  <c r="E245" i="98"/>
  <c r="X335" i="98"/>
  <c r="D208" i="98"/>
  <c r="BL84" i="98"/>
  <c r="BL85" i="98"/>
  <c r="AB225" i="98"/>
  <c r="AA237" i="98"/>
  <c r="T157" i="98"/>
  <c r="D144" i="98"/>
  <c r="U374" i="98"/>
  <c r="W339" i="98"/>
  <c r="AN339" i="98"/>
  <c r="E212" i="98"/>
  <c r="X339" i="98"/>
  <c r="D212" i="98"/>
  <c r="V400" i="98"/>
  <c r="AH375" i="98"/>
  <c r="CE225" i="98"/>
  <c r="CE223" i="98"/>
  <c r="CE221" i="98"/>
  <c r="CE219" i="98"/>
  <c r="CE218" i="98"/>
  <c r="CE215" i="98"/>
  <c r="CE211" i="98"/>
  <c r="CE208" i="98"/>
  <c r="CE229" i="98"/>
  <c r="CE228" i="98"/>
  <c r="CE227" i="98"/>
  <c r="CE226" i="98"/>
  <c r="CE224" i="98"/>
  <c r="CE222" i="98"/>
  <c r="CE213" i="98"/>
  <c r="CE209" i="98"/>
  <c r="CE220" i="98"/>
  <c r="CE214" i="98"/>
  <c r="CE210" i="98"/>
  <c r="CE204" i="98"/>
  <c r="CE202" i="98"/>
  <c r="CE201" i="98"/>
  <c r="CE231" i="98"/>
  <c r="CE216" i="98"/>
  <c r="CE212" i="98"/>
  <c r="CE206" i="98"/>
  <c r="CE205" i="98"/>
  <c r="CE203" i="98"/>
  <c r="CE230" i="98"/>
  <c r="CE217" i="98"/>
  <c r="CE207" i="98"/>
  <c r="U377" i="98"/>
  <c r="W342" i="98"/>
  <c r="BM233" i="98"/>
  <c r="BN233" i="98"/>
  <c r="BL235" i="98"/>
  <c r="BO232" i="98"/>
  <c r="CZ232" i="98"/>
  <c r="U376" i="98"/>
  <c r="W341" i="98"/>
  <c r="Z157" i="98"/>
  <c r="J144" i="98"/>
  <c r="U375" i="98"/>
  <c r="W340" i="98"/>
  <c r="U399" i="98"/>
  <c r="U378" i="98"/>
  <c r="W343" i="98"/>
  <c r="CH303" i="98"/>
  <c r="U369" i="98"/>
  <c r="W334" i="98"/>
  <c r="V346" i="98"/>
  <c r="U379" i="98"/>
  <c r="W344" i="98"/>
  <c r="AN335" i="98"/>
  <c r="E208" i="98"/>
  <c r="S59" i="98"/>
  <c r="S62" i="98"/>
  <c r="S60" i="98"/>
  <c r="S63" i="98"/>
  <c r="AA63" i="98"/>
  <c r="F98" i="98"/>
  <c r="D108" i="98"/>
  <c r="W63" i="98"/>
  <c r="F97" i="98"/>
  <c r="C108" i="98"/>
  <c r="E22" i="76"/>
  <c r="E217" i="98"/>
  <c r="AN344" i="98"/>
  <c r="BM266" i="98"/>
  <c r="BN266" i="98"/>
  <c r="BL267" i="98"/>
  <c r="BN329" i="98"/>
  <c r="BM114" i="98"/>
  <c r="BN114" i="98"/>
  <c r="BM234" i="98"/>
  <c r="BN234" i="98"/>
  <c r="B461" i="98"/>
  <c r="AB392" i="98"/>
  <c r="CW15" i="98"/>
  <c r="AN337" i="98"/>
  <c r="E210" i="98"/>
  <c r="AN334" i="98"/>
  <c r="AN217" i="98"/>
  <c r="E207" i="98"/>
  <c r="U398" i="98"/>
  <c r="V396" i="98"/>
  <c r="AH371" i="98"/>
  <c r="CE109" i="98"/>
  <c r="CE108" i="98"/>
  <c r="CE107" i="98"/>
  <c r="CE106" i="98"/>
  <c r="CE105" i="98"/>
  <c r="CE103" i="98"/>
  <c r="CE102" i="98"/>
  <c r="CE100" i="98"/>
  <c r="CE98" i="98"/>
  <c r="CE94" i="98"/>
  <c r="CE91" i="98"/>
  <c r="CE89" i="98"/>
  <c r="CE86" i="98"/>
  <c r="CE101" i="98"/>
  <c r="CE99" i="98"/>
  <c r="CE96" i="98"/>
  <c r="CE95" i="98"/>
  <c r="CE90" i="98"/>
  <c r="CE88" i="98"/>
  <c r="CE93" i="98"/>
  <c r="CE87" i="98"/>
  <c r="CE83" i="98"/>
  <c r="CE79" i="98"/>
  <c r="CE92" i="98"/>
  <c r="CE82" i="98"/>
  <c r="CE104" i="98"/>
  <c r="CE85" i="98"/>
  <c r="CE81" i="98"/>
  <c r="CE97" i="98"/>
  <c r="CE84" i="98"/>
  <c r="CE80" i="98"/>
  <c r="AL346" i="98"/>
  <c r="AM334" i="98"/>
  <c r="AM346" i="98"/>
  <c r="D341" i="98"/>
  <c r="Q470" i="98"/>
  <c r="F23" i="76"/>
  <c r="CH240" i="98"/>
  <c r="AN342" i="98"/>
  <c r="E215" i="98"/>
  <c r="W404" i="98"/>
  <c r="CH347" i="98"/>
  <c r="CH344" i="98"/>
  <c r="CH351" i="98"/>
  <c r="CH346" i="98"/>
  <c r="CH345" i="98"/>
  <c r="CH341" i="98"/>
  <c r="CH333" i="98"/>
  <c r="CH330" i="98"/>
  <c r="CH327" i="98"/>
  <c r="CH324" i="98"/>
  <c r="CH353" i="98"/>
  <c r="CH335" i="98"/>
  <c r="CH328" i="98"/>
  <c r="CH326" i="98"/>
  <c r="CH325" i="98"/>
  <c r="AI379" i="98"/>
  <c r="CH352" i="98"/>
  <c r="CH350" i="98"/>
  <c r="CH349" i="98"/>
  <c r="CH343" i="98"/>
  <c r="CH342" i="98"/>
  <c r="CH336" i="98"/>
  <c r="CH348" i="98"/>
  <c r="CH339" i="98"/>
  <c r="CH337" i="98"/>
  <c r="CH331" i="98"/>
  <c r="CH340" i="98"/>
  <c r="CH338" i="98"/>
  <c r="CH329" i="98"/>
  <c r="CH334" i="98"/>
  <c r="CH332" i="98"/>
  <c r="BM83" i="98"/>
  <c r="BN83" i="98"/>
  <c r="D379" i="98"/>
  <c r="E34" i="76"/>
  <c r="V398" i="98"/>
  <c r="AH373" i="98"/>
  <c r="CE155" i="98"/>
  <c r="CE169" i="98"/>
  <c r="CE165" i="98"/>
  <c r="CE161" i="98"/>
  <c r="CE157" i="98"/>
  <c r="CE153" i="98"/>
  <c r="CE151" i="98"/>
  <c r="CE149" i="98"/>
  <c r="CE147" i="98"/>
  <c r="CE145" i="98"/>
  <c r="CE143" i="98"/>
  <c r="CE167" i="98"/>
  <c r="CE163" i="98"/>
  <c r="CE159" i="98"/>
  <c r="CE156" i="98"/>
  <c r="CE154" i="98"/>
  <c r="CE152" i="98"/>
  <c r="CE150" i="98"/>
  <c r="CE148" i="98"/>
  <c r="CE146" i="98"/>
  <c r="CE144" i="98"/>
  <c r="CE170" i="98"/>
  <c r="CE166" i="98"/>
  <c r="CE162" i="98"/>
  <c r="CE158" i="98"/>
  <c r="CE141" i="98"/>
  <c r="CE142" i="98"/>
  <c r="CE168" i="98"/>
  <c r="CE164" i="98"/>
  <c r="CE160" i="98"/>
  <c r="CE140" i="98"/>
  <c r="BM357" i="98"/>
  <c r="BN357" i="98"/>
  <c r="D215" i="98"/>
  <c r="X342" i="98"/>
  <c r="BL116" i="98"/>
  <c r="V401" i="98"/>
  <c r="AH376" i="98"/>
  <c r="CE253" i="98"/>
  <c r="CE250" i="98"/>
  <c r="CE248" i="98"/>
  <c r="CE246" i="98"/>
  <c r="CE243" i="98"/>
  <c r="CE240" i="98"/>
  <c r="CE237" i="98"/>
  <c r="CE236" i="98"/>
  <c r="CE256" i="98"/>
  <c r="CE255" i="98"/>
  <c r="CE249" i="98"/>
  <c r="CE247" i="98"/>
  <c r="CE238" i="98"/>
  <c r="CE251" i="98"/>
  <c r="CE242" i="98"/>
  <c r="CE239" i="98"/>
  <c r="CE262" i="98"/>
  <c r="CE260" i="98"/>
  <c r="CE258" i="98"/>
  <c r="CE254" i="98"/>
  <c r="CE252" i="98"/>
  <c r="CE244" i="98"/>
  <c r="CE235" i="98"/>
  <c r="CE233" i="98"/>
  <c r="CE261" i="98"/>
  <c r="CE259" i="98"/>
  <c r="CE257" i="98"/>
  <c r="CE245" i="98"/>
  <c r="CE241" i="98"/>
  <c r="CE234" i="98"/>
  <c r="CE232" i="98"/>
  <c r="E214" i="98"/>
  <c r="AN341" i="98"/>
  <c r="BM113" i="98"/>
  <c r="BN113" i="98"/>
  <c r="U371" i="98"/>
  <c r="W336" i="98"/>
  <c r="L202" i="98"/>
  <c r="U403" i="98"/>
  <c r="V370" i="98"/>
  <c r="V384" i="98"/>
  <c r="F380" i="98"/>
  <c r="R237" i="98"/>
  <c r="U380" i="98"/>
  <c r="W345" i="98"/>
  <c r="C31" i="76"/>
  <c r="C30" i="76"/>
  <c r="W401" i="98"/>
  <c r="CH312" i="98"/>
  <c r="D380" i="98"/>
  <c r="E35" i="76"/>
  <c r="E24" i="76"/>
  <c r="CH315" i="98"/>
  <c r="CE302" i="98"/>
  <c r="BO355" i="98"/>
  <c r="CZ355" i="98"/>
  <c r="AI371" i="98"/>
  <c r="CH100" i="98"/>
  <c r="P471" i="98"/>
  <c r="CH305" i="98"/>
  <c r="CE137" i="98"/>
  <c r="CE318" i="98"/>
  <c r="CE316" i="98"/>
  <c r="CE293" i="98"/>
  <c r="CE120" i="98"/>
  <c r="CE317" i="98"/>
  <c r="CE320" i="98"/>
  <c r="CE300" i="98"/>
  <c r="CE321" i="98"/>
  <c r="CE124" i="98"/>
  <c r="CE301" i="98"/>
  <c r="CE298" i="98"/>
  <c r="CE306" i="98"/>
  <c r="CE309" i="98"/>
  <c r="V403" i="98"/>
  <c r="CE123" i="98"/>
  <c r="CE295" i="98"/>
  <c r="CE304" i="98"/>
  <c r="CE305" i="98"/>
  <c r="AH378" i="98"/>
  <c r="CE115" i="98"/>
  <c r="CE323" i="98"/>
  <c r="CE319" i="98"/>
  <c r="CE312" i="98"/>
  <c r="CE299" i="98"/>
  <c r="CE314" i="98"/>
  <c r="CE297" i="98"/>
  <c r="CE315" i="98"/>
  <c r="CE322" i="98"/>
  <c r="CE116" i="98"/>
  <c r="CE111" i="98"/>
  <c r="CE131" i="98"/>
  <c r="CE303" i="98"/>
  <c r="CE310" i="98"/>
  <c r="CE308" i="98"/>
  <c r="CE296" i="98"/>
  <c r="CE311" i="98"/>
  <c r="CE294" i="98"/>
  <c r="CE313" i="98"/>
  <c r="CE139" i="98"/>
  <c r="CE132" i="98"/>
  <c r="CE127" i="98"/>
  <c r="BL298" i="98"/>
  <c r="BN297" i="98"/>
  <c r="BN328" i="98"/>
  <c r="BO328" i="98"/>
  <c r="CZ328" i="98"/>
  <c r="CH294" i="98"/>
  <c r="CH298" i="98"/>
  <c r="CH309" i="98"/>
  <c r="AI378" i="98"/>
  <c r="BL330" i="98"/>
  <c r="BL331" i="98"/>
  <c r="BN331" i="98"/>
  <c r="BM328" i="98"/>
  <c r="CH293" i="98"/>
  <c r="CH297" i="98"/>
  <c r="CH300" i="98"/>
  <c r="CH311" i="98"/>
  <c r="W403" i="98"/>
  <c r="CE112" i="98"/>
  <c r="CE128" i="98"/>
  <c r="CE119" i="98"/>
  <c r="CE135" i="98"/>
  <c r="BN327" i="98"/>
  <c r="BO327" i="98"/>
  <c r="CZ327" i="98"/>
  <c r="CH306" i="98"/>
  <c r="CH307" i="98"/>
  <c r="CH317" i="98"/>
  <c r="CH316" i="98"/>
  <c r="BM296" i="98"/>
  <c r="BN296" i="98"/>
  <c r="CE110" i="98"/>
  <c r="CE118" i="98"/>
  <c r="CE126" i="98"/>
  <c r="CE134" i="98"/>
  <c r="CE117" i="98"/>
  <c r="CE125" i="98"/>
  <c r="CE133" i="98"/>
  <c r="CE138" i="98"/>
  <c r="CH355" i="98"/>
  <c r="CH380" i="98"/>
  <c r="BM297" i="98"/>
  <c r="BN298" i="98"/>
  <c r="CE114" i="98"/>
  <c r="CE122" i="98"/>
  <c r="CE130" i="98"/>
  <c r="CE113" i="98"/>
  <c r="CE121" i="98"/>
  <c r="CE129" i="98"/>
  <c r="CE136" i="98"/>
  <c r="CH372" i="98"/>
  <c r="AI380" i="98"/>
  <c r="CH254" i="98"/>
  <c r="CH238" i="98"/>
  <c r="CH242" i="98"/>
  <c r="CH248" i="98"/>
  <c r="CH261" i="98"/>
  <c r="CH78" i="98"/>
  <c r="CH74" i="98"/>
  <c r="CH374" i="98"/>
  <c r="CH359" i="98"/>
  <c r="CH375" i="98"/>
  <c r="CH382" i="98"/>
  <c r="BM205" i="98"/>
  <c r="CH299" i="98"/>
  <c r="CH296" i="98"/>
  <c r="CH301" i="98"/>
  <c r="CH322" i="98"/>
  <c r="CH308" i="98"/>
  <c r="CH319" i="98"/>
  <c r="CH313" i="98"/>
  <c r="CH318" i="98"/>
  <c r="CH354" i="98"/>
  <c r="CH362" i="98"/>
  <c r="CH369" i="98"/>
  <c r="CH366" i="98"/>
  <c r="CH363" i="98"/>
  <c r="CH373" i="98"/>
  <c r="CH377" i="98"/>
  <c r="CH376" i="98"/>
  <c r="W405" i="98"/>
  <c r="BL332" i="98"/>
  <c r="BN332" i="98"/>
  <c r="CH360" i="98"/>
  <c r="CH364" i="98"/>
  <c r="CH367" i="98"/>
  <c r="CH383" i="98"/>
  <c r="CH304" i="98"/>
  <c r="CH320" i="98"/>
  <c r="CH302" i="98"/>
  <c r="CH295" i="98"/>
  <c r="CH310" i="98"/>
  <c r="CH323" i="98"/>
  <c r="CH314" i="98"/>
  <c r="CH356" i="98"/>
  <c r="CH384" i="98"/>
  <c r="CH357" i="98"/>
  <c r="CH370" i="98"/>
  <c r="CH365" i="98"/>
  <c r="CH371" i="98"/>
  <c r="CH379" i="98"/>
  <c r="BO357" i="98"/>
  <c r="CZ357" i="98"/>
  <c r="CH249" i="98"/>
  <c r="CH232" i="98"/>
  <c r="CH252" i="98"/>
  <c r="BO175" i="98"/>
  <c r="CZ175" i="98"/>
  <c r="BO115" i="98"/>
  <c r="CZ115" i="98"/>
  <c r="BO203" i="98"/>
  <c r="CZ203" i="98"/>
  <c r="BO204" i="98"/>
  <c r="CZ204" i="98"/>
  <c r="CH255" i="98"/>
  <c r="CH235" i="98"/>
  <c r="CH259" i="98"/>
  <c r="CH67" i="98"/>
  <c r="CH253" i="98"/>
  <c r="CH250" i="98"/>
  <c r="CH234" i="98"/>
  <c r="CH241" i="98"/>
  <c r="CH257" i="98"/>
  <c r="AI376" i="98"/>
  <c r="CH243" i="98"/>
  <c r="CH246" i="98"/>
  <c r="CH256" i="98"/>
  <c r="CH239" i="98"/>
  <c r="CH245" i="98"/>
  <c r="CH260" i="98"/>
  <c r="CH247" i="98"/>
  <c r="CH237" i="98"/>
  <c r="CH236" i="98"/>
  <c r="CH233" i="98"/>
  <c r="CH251" i="98"/>
  <c r="CH244" i="98"/>
  <c r="CH258" i="98"/>
  <c r="CH52" i="98"/>
  <c r="CH56" i="98"/>
  <c r="CH65" i="98"/>
  <c r="BN205" i="98"/>
  <c r="BO266" i="98"/>
  <c r="CZ266" i="98"/>
  <c r="CH55" i="98"/>
  <c r="CH75" i="98"/>
  <c r="CH51" i="98"/>
  <c r="CH66" i="98"/>
  <c r="CH71" i="98"/>
  <c r="CH70" i="98"/>
  <c r="BO141" i="98"/>
  <c r="CZ141" i="98"/>
  <c r="BL54" i="98"/>
  <c r="BM54" i="98"/>
  <c r="BO329" i="98"/>
  <c r="CZ329" i="98"/>
  <c r="CH63" i="98"/>
  <c r="CH61" i="98"/>
  <c r="CH57" i="98"/>
  <c r="AI370" i="98"/>
  <c r="BO52" i="98"/>
  <c r="CZ52" i="98"/>
  <c r="CH53" i="98"/>
  <c r="CH64" i="98"/>
  <c r="CH77" i="98"/>
  <c r="CH62" i="98"/>
  <c r="CH73" i="98"/>
  <c r="CH60" i="98"/>
  <c r="CH72" i="98"/>
  <c r="W395" i="98"/>
  <c r="CH59" i="98"/>
  <c r="CH54" i="98"/>
  <c r="CH58" i="98"/>
  <c r="CH69" i="98"/>
  <c r="CH76" i="98"/>
  <c r="CH68" i="98"/>
  <c r="U406" i="98"/>
  <c r="BM116" i="98"/>
  <c r="BN116" i="98"/>
  <c r="BM178" i="98"/>
  <c r="BN178" i="98"/>
  <c r="AA62" i="98"/>
  <c r="F88" i="98"/>
  <c r="D107" i="98"/>
  <c r="W62" i="98"/>
  <c r="F87" i="98"/>
  <c r="C107" i="98"/>
  <c r="E21" i="76"/>
  <c r="AG369" i="98"/>
  <c r="W346" i="98"/>
  <c r="C341" i="98"/>
  <c r="AH403" i="98"/>
  <c r="CB37" i="98"/>
  <c r="CB36" i="98"/>
  <c r="CB35" i="98"/>
  <c r="CB33" i="98"/>
  <c r="CB27" i="98"/>
  <c r="CB26" i="98"/>
  <c r="CB22" i="98"/>
  <c r="CB39" i="98"/>
  <c r="CB34" i="98"/>
  <c r="CB32" i="98"/>
  <c r="CB24" i="98"/>
  <c r="CB20" i="98"/>
  <c r="CB50" i="98"/>
  <c r="CB48" i="98"/>
  <c r="CB29" i="98"/>
  <c r="CB30" i="98"/>
  <c r="CB28" i="98"/>
  <c r="CB49" i="98"/>
  <c r="CB38" i="98"/>
  <c r="CB25" i="98"/>
  <c r="CB23" i="98"/>
  <c r="CB21" i="98"/>
  <c r="CB47" i="98"/>
  <c r="CB46" i="98"/>
  <c r="CB45" i="98"/>
  <c r="CB44" i="98"/>
  <c r="CB43" i="98"/>
  <c r="CB42" i="98"/>
  <c r="CB41" i="98"/>
  <c r="CB40" i="98"/>
  <c r="CB31" i="98"/>
  <c r="AG375" i="98"/>
  <c r="CB230" i="98"/>
  <c r="CB220" i="98"/>
  <c r="CB217" i="98"/>
  <c r="CB214" i="98"/>
  <c r="CB210" i="98"/>
  <c r="CB231" i="98"/>
  <c r="CB216" i="98"/>
  <c r="CB212" i="98"/>
  <c r="CB229" i="98"/>
  <c r="CB228" i="98"/>
  <c r="CB227" i="98"/>
  <c r="CB226" i="98"/>
  <c r="CB224" i="98"/>
  <c r="CB222" i="98"/>
  <c r="CB219" i="98"/>
  <c r="CB213" i="98"/>
  <c r="CB209" i="98"/>
  <c r="CB207" i="98"/>
  <c r="CB225" i="98"/>
  <c r="CB223" i="98"/>
  <c r="CB221" i="98"/>
  <c r="CB215" i="98"/>
  <c r="CB211" i="98"/>
  <c r="CB204" i="98"/>
  <c r="CB202" i="98"/>
  <c r="CB201" i="98"/>
  <c r="CB218" i="98"/>
  <c r="CB205" i="98"/>
  <c r="CB203" i="98"/>
  <c r="CB208" i="98"/>
  <c r="CB206" i="98"/>
  <c r="BM206" i="98"/>
  <c r="BN206" i="98"/>
  <c r="BL207" i="98"/>
  <c r="BL208" i="98"/>
  <c r="BL209" i="98"/>
  <c r="BM331" i="98"/>
  <c r="C180" i="98"/>
  <c r="C192" i="98"/>
  <c r="D156" i="98"/>
  <c r="AG372" i="98"/>
  <c r="CB139" i="98"/>
  <c r="CB138" i="98"/>
  <c r="CB137" i="98"/>
  <c r="CB136" i="98"/>
  <c r="CB135" i="98"/>
  <c r="CB133" i="98"/>
  <c r="CB131" i="98"/>
  <c r="CB129" i="98"/>
  <c r="CB127" i="98"/>
  <c r="CB125" i="98"/>
  <c r="CB123" i="98"/>
  <c r="CB121" i="98"/>
  <c r="CB119" i="98"/>
  <c r="CB117" i="98"/>
  <c r="CB115" i="98"/>
  <c r="CB113" i="98"/>
  <c r="CB111" i="98"/>
  <c r="CB134" i="98"/>
  <c r="CB132" i="98"/>
  <c r="CB130" i="98"/>
  <c r="CB128" i="98"/>
  <c r="CB126" i="98"/>
  <c r="CB124" i="98"/>
  <c r="CB122" i="98"/>
  <c r="CB120" i="98"/>
  <c r="CB118" i="98"/>
  <c r="CB116" i="98"/>
  <c r="CB114" i="98"/>
  <c r="CB112" i="98"/>
  <c r="CB110" i="98"/>
  <c r="D219" i="98"/>
  <c r="BL333" i="98"/>
  <c r="BL334" i="98"/>
  <c r="BL236" i="98"/>
  <c r="BM143" i="98"/>
  <c r="BN143" i="98"/>
  <c r="BO113" i="98"/>
  <c r="CZ113" i="98"/>
  <c r="BL268" i="98"/>
  <c r="BL117" i="98"/>
  <c r="AN346" i="98"/>
  <c r="D342" i="98"/>
  <c r="BO114" i="98"/>
  <c r="CZ114" i="98"/>
  <c r="T344" i="98"/>
  <c r="T343" i="98"/>
  <c r="T341" i="98"/>
  <c r="T335" i="98"/>
  <c r="T340" i="98"/>
  <c r="T339" i="98"/>
  <c r="T338" i="98"/>
  <c r="T337" i="98"/>
  <c r="T334" i="98"/>
  <c r="T345" i="98"/>
  <c r="T342" i="98"/>
  <c r="T336" i="98"/>
  <c r="AA59" i="98"/>
  <c r="F64" i="98"/>
  <c r="D105" i="98"/>
  <c r="W59" i="98"/>
  <c r="F63" i="98"/>
  <c r="C105" i="98"/>
  <c r="E19" i="76"/>
  <c r="AG379" i="98"/>
  <c r="CB347" i="98"/>
  <c r="CB344" i="98"/>
  <c r="CB352" i="98"/>
  <c r="CB348" i="98"/>
  <c r="CB343" i="98"/>
  <c r="CB335" i="98"/>
  <c r="CB328" i="98"/>
  <c r="CB326" i="98"/>
  <c r="CB325" i="98"/>
  <c r="CB350" i="98"/>
  <c r="CB349" i="98"/>
  <c r="CB341" i="98"/>
  <c r="CB333" i="98"/>
  <c r="CB330" i="98"/>
  <c r="CB327" i="98"/>
  <c r="CB324" i="98"/>
  <c r="CB353" i="98"/>
  <c r="CB351" i="98"/>
  <c r="CB340" i="98"/>
  <c r="CB339" i="98"/>
  <c r="CB338" i="98"/>
  <c r="CB337" i="98"/>
  <c r="CB334" i="98"/>
  <c r="CB329" i="98"/>
  <c r="CB332" i="98"/>
  <c r="CB331" i="98"/>
  <c r="CB342" i="98"/>
  <c r="CB346" i="98"/>
  <c r="CB336" i="98"/>
  <c r="CB345" i="98"/>
  <c r="U384" i="98"/>
  <c r="F379" i="98"/>
  <c r="P470" i="98"/>
  <c r="Y334" i="98"/>
  <c r="AB237" i="98"/>
  <c r="D244" i="98"/>
  <c r="D245" i="98"/>
  <c r="AH405" i="98"/>
  <c r="BM84" i="98"/>
  <c r="BN84" i="98"/>
  <c r="BL86" i="98"/>
  <c r="BL87" i="98"/>
  <c r="BM142" i="98"/>
  <c r="BN142" i="98"/>
  <c r="BN330" i="98"/>
  <c r="AG371" i="98"/>
  <c r="CB104" i="98"/>
  <c r="CB92" i="98"/>
  <c r="CB87" i="98"/>
  <c r="CB85" i="98"/>
  <c r="CB83" i="98"/>
  <c r="CB81" i="98"/>
  <c r="CB79" i="98"/>
  <c r="CB97" i="98"/>
  <c r="CB93" i="98"/>
  <c r="CB84" i="98"/>
  <c r="CB82" i="98"/>
  <c r="CB80" i="98"/>
  <c r="CB109" i="98"/>
  <c r="CB105" i="98"/>
  <c r="CB101" i="98"/>
  <c r="CB99" i="98"/>
  <c r="CB106" i="98"/>
  <c r="CB95" i="98"/>
  <c r="CB91" i="98"/>
  <c r="CB89" i="98"/>
  <c r="CB107" i="98"/>
  <c r="CB103" i="98"/>
  <c r="CB102" i="98"/>
  <c r="CB100" i="98"/>
  <c r="CB98" i="98"/>
  <c r="CB96" i="98"/>
  <c r="CB108" i="98"/>
  <c r="CB94" i="98"/>
  <c r="CB90" i="98"/>
  <c r="CB88" i="98"/>
  <c r="CB86" i="98"/>
  <c r="BM332" i="98"/>
  <c r="BM267" i="98"/>
  <c r="BN267" i="98"/>
  <c r="AJ345" i="98"/>
  <c r="AJ343" i="98"/>
  <c r="AJ340" i="98"/>
  <c r="AJ339" i="98"/>
  <c r="AJ338" i="98"/>
  <c r="AJ337" i="98"/>
  <c r="AJ336" i="98"/>
  <c r="AJ334" i="98"/>
  <c r="AJ342" i="98"/>
  <c r="AJ344" i="98"/>
  <c r="AJ335" i="98"/>
  <c r="AJ341" i="98"/>
  <c r="D180" i="98"/>
  <c r="D192" i="98"/>
  <c r="J156" i="98"/>
  <c r="BL179" i="98"/>
  <c r="BL180" i="98"/>
  <c r="AG376" i="98"/>
  <c r="CB254" i="98"/>
  <c r="CB251" i="98"/>
  <c r="CB239" i="98"/>
  <c r="CB235" i="98"/>
  <c r="CB234" i="98"/>
  <c r="CB233" i="98"/>
  <c r="CB232" i="98"/>
  <c r="CB262" i="98"/>
  <c r="CB261" i="98"/>
  <c r="CB260" i="98"/>
  <c r="CB259" i="98"/>
  <c r="CB258" i="98"/>
  <c r="CB257" i="98"/>
  <c r="CB252" i="98"/>
  <c r="CB245" i="98"/>
  <c r="CB244" i="98"/>
  <c r="CB242" i="98"/>
  <c r="CB241" i="98"/>
  <c r="CB250" i="98"/>
  <c r="CB248" i="98"/>
  <c r="CB246" i="98"/>
  <c r="CB243" i="98"/>
  <c r="CB237" i="98"/>
  <c r="CB255" i="98"/>
  <c r="CB253" i="98"/>
  <c r="CB249" i="98"/>
  <c r="CB247" i="98"/>
  <c r="CB238" i="98"/>
  <c r="CB240" i="98"/>
  <c r="CB236" i="98"/>
  <c r="CB256" i="98"/>
  <c r="BM235" i="98"/>
  <c r="BN235" i="98"/>
  <c r="AG377" i="98"/>
  <c r="CB290" i="98"/>
  <c r="CB288" i="98"/>
  <c r="CB287" i="98"/>
  <c r="CB286" i="98"/>
  <c r="CB282" i="98"/>
  <c r="CB292" i="98"/>
  <c r="CB289" i="98"/>
  <c r="CB284" i="98"/>
  <c r="CB283" i="98"/>
  <c r="CB281" i="98"/>
  <c r="CB279" i="98"/>
  <c r="CB277" i="98"/>
  <c r="CB275" i="98"/>
  <c r="CB280" i="98"/>
  <c r="CB278" i="98"/>
  <c r="CB276" i="98"/>
  <c r="CB267" i="98"/>
  <c r="CB266" i="98"/>
  <c r="CB265" i="98"/>
  <c r="CB264" i="98"/>
  <c r="CB263" i="98"/>
  <c r="CB273" i="98"/>
  <c r="CB271" i="98"/>
  <c r="CB291" i="98"/>
  <c r="CB285" i="98"/>
  <c r="CB272" i="98"/>
  <c r="CB269" i="98"/>
  <c r="CB274" i="98"/>
  <c r="CB270" i="98"/>
  <c r="CB268" i="98"/>
  <c r="V399" i="98"/>
  <c r="AH374" i="98"/>
  <c r="CE199" i="98"/>
  <c r="CE195" i="98"/>
  <c r="CE194" i="98"/>
  <c r="CE192" i="98"/>
  <c r="CE191" i="98"/>
  <c r="CE190" i="98"/>
  <c r="CE189" i="98"/>
  <c r="CE188" i="98"/>
  <c r="CE187" i="98"/>
  <c r="CE186" i="98"/>
  <c r="CE185" i="98"/>
  <c r="CE184" i="98"/>
  <c r="CE183" i="98"/>
  <c r="CE182" i="98"/>
  <c r="CE181" i="98"/>
  <c r="CE180" i="98"/>
  <c r="CE179" i="98"/>
  <c r="CE176" i="98"/>
  <c r="CE174" i="98"/>
  <c r="CE200" i="98"/>
  <c r="CE197" i="98"/>
  <c r="CE193" i="98"/>
  <c r="CE178" i="98"/>
  <c r="CE177" i="98"/>
  <c r="CE175" i="98"/>
  <c r="CE196" i="98"/>
  <c r="CE173" i="98"/>
  <c r="CE198" i="98"/>
  <c r="CE171" i="98"/>
  <c r="CE172" i="98"/>
  <c r="AG374" i="98"/>
  <c r="CB196" i="98"/>
  <c r="CB172" i="98"/>
  <c r="CB198" i="98"/>
  <c r="CB173" i="98"/>
  <c r="CB171" i="98"/>
  <c r="CB197" i="98"/>
  <c r="CB191" i="98"/>
  <c r="CB187" i="98"/>
  <c r="CB183" i="98"/>
  <c r="CB179" i="98"/>
  <c r="CB199" i="98"/>
  <c r="CB189" i="98"/>
  <c r="CB185" i="98"/>
  <c r="CB181" i="98"/>
  <c r="CB178" i="98"/>
  <c r="CB200" i="98"/>
  <c r="CB192" i="98"/>
  <c r="CB190" i="98"/>
  <c r="CB188" i="98"/>
  <c r="CB186" i="98"/>
  <c r="CB184" i="98"/>
  <c r="CB182" i="98"/>
  <c r="CB180" i="98"/>
  <c r="CB175" i="98"/>
  <c r="CB195" i="98"/>
  <c r="CB174" i="98"/>
  <c r="CB194" i="98"/>
  <c r="CB177" i="98"/>
  <c r="CB193" i="98"/>
  <c r="CB176" i="98"/>
  <c r="AO344" i="98"/>
  <c r="AO341" i="98"/>
  <c r="AO343" i="98"/>
  <c r="AO335" i="98"/>
  <c r="AO345" i="98"/>
  <c r="AO340" i="98"/>
  <c r="AO339" i="98"/>
  <c r="AO338" i="98"/>
  <c r="AO337" i="98"/>
  <c r="AO334" i="98"/>
  <c r="AO336" i="98"/>
  <c r="AO342" i="98"/>
  <c r="AG370" i="98"/>
  <c r="CB76" i="98"/>
  <c r="CB75" i="98"/>
  <c r="CB73" i="98"/>
  <c r="CB71" i="98"/>
  <c r="CB69" i="98"/>
  <c r="CB67" i="98"/>
  <c r="CB62" i="98"/>
  <c r="CB61" i="98"/>
  <c r="CB58" i="98"/>
  <c r="CB56" i="98"/>
  <c r="CB78" i="98"/>
  <c r="CB74" i="98"/>
  <c r="CB72" i="98"/>
  <c r="CB70" i="98"/>
  <c r="CB68" i="98"/>
  <c r="CB65" i="98"/>
  <c r="CB60" i="98"/>
  <c r="CB57" i="98"/>
  <c r="CB77" i="98"/>
  <c r="CB66" i="98"/>
  <c r="CB54" i="98"/>
  <c r="CB52" i="98"/>
  <c r="CB64" i="98"/>
  <c r="CB63" i="98"/>
  <c r="CB59" i="98"/>
  <c r="CB55" i="98"/>
  <c r="CB53" i="98"/>
  <c r="CB51" i="98"/>
  <c r="V394" i="98"/>
  <c r="AH369" i="98"/>
  <c r="X346" i="98"/>
  <c r="C342" i="98"/>
  <c r="AH404" i="98"/>
  <c r="CE49" i="98"/>
  <c r="CE38" i="98"/>
  <c r="CE30" i="98"/>
  <c r="CE29" i="98"/>
  <c r="CE28" i="98"/>
  <c r="CE23" i="98"/>
  <c r="CE50" i="98"/>
  <c r="CE48" i="98"/>
  <c r="CE47" i="98"/>
  <c r="CE46" i="98"/>
  <c r="CE45" i="98"/>
  <c r="CE44" i="98"/>
  <c r="CE43" i="98"/>
  <c r="CE42" i="98"/>
  <c r="CE41" i="98"/>
  <c r="CE40" i="98"/>
  <c r="CE31" i="98"/>
  <c r="CE25" i="98"/>
  <c r="CE21" i="98"/>
  <c r="CE37" i="98"/>
  <c r="CE35" i="98"/>
  <c r="CE26" i="98"/>
  <c r="CE24" i="98"/>
  <c r="CE22" i="98"/>
  <c r="CE20" i="98"/>
  <c r="CE39" i="98"/>
  <c r="CE34" i="98"/>
  <c r="CE27" i="98"/>
  <c r="CE36" i="98"/>
  <c r="CE33" i="98"/>
  <c r="CE32" i="98"/>
  <c r="BM359" i="98"/>
  <c r="BN359" i="98"/>
  <c r="CB384" i="98"/>
  <c r="CB382" i="98"/>
  <c r="CB381" i="98"/>
  <c r="CB379" i="98"/>
  <c r="CB377" i="98"/>
  <c r="CB380" i="98"/>
  <c r="CB378" i="98"/>
  <c r="CB376" i="98"/>
  <c r="CB374" i="98"/>
  <c r="CB371" i="98"/>
  <c r="CB367" i="98"/>
  <c r="CB375" i="98"/>
  <c r="CB372" i="98"/>
  <c r="CB383" i="98"/>
  <c r="CB360" i="98"/>
  <c r="CB356" i="98"/>
  <c r="CB373" i="98"/>
  <c r="CB369" i="98"/>
  <c r="CB362" i="98"/>
  <c r="CB358" i="98"/>
  <c r="CB354" i="98"/>
  <c r="CB366" i="98"/>
  <c r="AG380" i="98"/>
  <c r="CB364" i="98"/>
  <c r="CB370" i="98"/>
  <c r="CB368" i="98"/>
  <c r="CB361" i="98"/>
  <c r="CB357" i="98"/>
  <c r="CB365" i="98"/>
  <c r="CB363" i="98"/>
  <c r="CB359" i="98"/>
  <c r="CB355" i="98"/>
  <c r="BM85" i="98"/>
  <c r="BN85" i="98"/>
  <c r="BL144" i="98"/>
  <c r="BL360" i="98"/>
  <c r="AH377" i="98"/>
  <c r="V402" i="98"/>
  <c r="CE285" i="98"/>
  <c r="CE281" i="98"/>
  <c r="CE291" i="98"/>
  <c r="CE283" i="98"/>
  <c r="CE280" i="98"/>
  <c r="CE292" i="98"/>
  <c r="CE289" i="98"/>
  <c r="CE288" i="98"/>
  <c r="CE286" i="98"/>
  <c r="CE284" i="98"/>
  <c r="CE272" i="98"/>
  <c r="CE287" i="98"/>
  <c r="CE274" i="98"/>
  <c r="CE273" i="98"/>
  <c r="CE271" i="98"/>
  <c r="CE270" i="98"/>
  <c r="CE269" i="98"/>
  <c r="CE268" i="98"/>
  <c r="CE279" i="98"/>
  <c r="CE275" i="98"/>
  <c r="CE277" i="98"/>
  <c r="CE276" i="98"/>
  <c r="CE266" i="98"/>
  <c r="CE264" i="98"/>
  <c r="CE290" i="98"/>
  <c r="CE282" i="98"/>
  <c r="CE278" i="98"/>
  <c r="CE267" i="98"/>
  <c r="CE265" i="98"/>
  <c r="CE263" i="98"/>
  <c r="BO83" i="98"/>
  <c r="CZ83" i="98"/>
  <c r="E219" i="98"/>
  <c r="BO234" i="98"/>
  <c r="CZ234" i="98"/>
  <c r="W60" i="98"/>
  <c r="F77" i="98"/>
  <c r="C106" i="98"/>
  <c r="E20" i="76"/>
  <c r="AA60" i="98"/>
  <c r="F78" i="98"/>
  <c r="D106" i="98"/>
  <c r="AG378" i="98"/>
  <c r="CB323" i="98"/>
  <c r="CB319" i="98"/>
  <c r="CB317" i="98"/>
  <c r="CB312" i="98"/>
  <c r="CB310" i="98"/>
  <c r="CB308" i="98"/>
  <c r="CB321" i="98"/>
  <c r="CB318" i="98"/>
  <c r="CB316" i="98"/>
  <c r="CB315" i="98"/>
  <c r="CB314" i="98"/>
  <c r="CB313" i="98"/>
  <c r="CB311" i="98"/>
  <c r="CB309" i="98"/>
  <c r="CB303" i="98"/>
  <c r="CB302" i="98"/>
  <c r="CB301" i="98"/>
  <c r="CB320" i="98"/>
  <c r="CB300" i="98"/>
  <c r="CB298" i="98"/>
  <c r="CB295" i="98"/>
  <c r="CB322" i="98"/>
  <c r="CB306" i="98"/>
  <c r="CB304" i="98"/>
  <c r="CB305" i="98"/>
  <c r="CB299" i="98"/>
  <c r="CB296" i="98"/>
  <c r="CB293" i="98"/>
  <c r="CB297" i="98"/>
  <c r="CB294" i="98"/>
  <c r="CB307" i="98"/>
  <c r="BO233" i="98"/>
  <c r="CZ233" i="98"/>
  <c r="V395" i="98"/>
  <c r="AH370" i="98"/>
  <c r="CE66" i="98"/>
  <c r="CE59" i="98"/>
  <c r="CE55" i="98"/>
  <c r="CE53" i="98"/>
  <c r="CE51" i="98"/>
  <c r="CE77" i="98"/>
  <c r="CE64" i="98"/>
  <c r="CE63" i="98"/>
  <c r="CE54" i="98"/>
  <c r="CE52" i="98"/>
  <c r="CE75" i="98"/>
  <c r="CE71" i="98"/>
  <c r="CE67" i="98"/>
  <c r="CE78" i="98"/>
  <c r="CE76" i="98"/>
  <c r="CE74" i="98"/>
  <c r="CE70" i="98"/>
  <c r="CE65" i="98"/>
  <c r="CE58" i="98"/>
  <c r="CE73" i="98"/>
  <c r="CE69" i="98"/>
  <c r="CE57" i="98"/>
  <c r="CE72" i="98"/>
  <c r="CE68" i="98"/>
  <c r="CE62" i="98"/>
  <c r="CE61" i="98"/>
  <c r="CE60" i="98"/>
  <c r="CE56" i="98"/>
  <c r="BM177" i="98"/>
  <c r="BN177" i="98"/>
  <c r="BM176" i="98"/>
  <c r="BN176" i="98"/>
  <c r="BM20" i="98"/>
  <c r="BL21" i="98"/>
  <c r="BL22" i="98"/>
  <c r="BN20" i="98"/>
  <c r="AG373" i="98"/>
  <c r="CB170" i="98"/>
  <c r="CB168" i="98"/>
  <c r="CB166" i="98"/>
  <c r="CB164" i="98"/>
  <c r="CB162" i="98"/>
  <c r="CB160" i="98"/>
  <c r="CB158" i="98"/>
  <c r="CB169" i="98"/>
  <c r="CB167" i="98"/>
  <c r="CB165" i="98"/>
  <c r="CB163" i="98"/>
  <c r="CB161" i="98"/>
  <c r="CB159" i="98"/>
  <c r="CB157" i="98"/>
  <c r="CB156" i="98"/>
  <c r="CB155" i="98"/>
  <c r="CB142" i="98"/>
  <c r="CB141" i="98"/>
  <c r="CB140" i="98"/>
  <c r="CB154" i="98"/>
  <c r="CB153" i="98"/>
  <c r="CB152" i="98"/>
  <c r="CB151" i="98"/>
  <c r="CB150" i="98"/>
  <c r="CB149" i="98"/>
  <c r="CB148" i="98"/>
  <c r="CB147" i="98"/>
  <c r="CB146" i="98"/>
  <c r="CB145" i="98"/>
  <c r="CB144" i="98"/>
  <c r="CB143" i="98"/>
  <c r="BM53" i="98"/>
  <c r="BN53" i="98"/>
  <c r="BO358" i="98"/>
  <c r="CZ358" i="98"/>
  <c r="BO205" i="98"/>
  <c r="CZ205" i="98"/>
  <c r="BO296" i="98"/>
  <c r="CZ296" i="98"/>
  <c r="BO297" i="98"/>
  <c r="CZ297" i="98"/>
  <c r="BL299" i="98"/>
  <c r="BM298" i="98"/>
  <c r="BO298" i="98"/>
  <c r="CZ298" i="98"/>
  <c r="BM330" i="98"/>
  <c r="BO330" i="98"/>
  <c r="CZ330" i="98"/>
  <c r="BN54" i="98"/>
  <c r="BO116" i="98"/>
  <c r="CZ116" i="98"/>
  <c r="BL55" i="98"/>
  <c r="BO85" i="98"/>
  <c r="CZ85" i="98"/>
  <c r="BO206" i="98"/>
  <c r="CZ206" i="98"/>
  <c r="BL145" i="98"/>
  <c r="BL146" i="98"/>
  <c r="BO143" i="98"/>
  <c r="CZ143" i="98"/>
  <c r="BO331" i="98"/>
  <c r="CZ331" i="98"/>
  <c r="BO178" i="98"/>
  <c r="CZ178" i="98"/>
  <c r="BO84" i="98"/>
  <c r="CZ84" i="98"/>
  <c r="AO346" i="98"/>
  <c r="D343" i="98"/>
  <c r="BM209" i="98"/>
  <c r="BN209" i="98"/>
  <c r="BM334" i="98"/>
  <c r="BN334" i="98"/>
  <c r="BM22" i="98"/>
  <c r="BN22" i="98"/>
  <c r="BO20" i="98"/>
  <c r="V406" i="98"/>
  <c r="BM179" i="98"/>
  <c r="BN179" i="98"/>
  <c r="BL181" i="98"/>
  <c r="BL182" i="98"/>
  <c r="AJ346" i="98"/>
  <c r="D340" i="98"/>
  <c r="Q469" i="98"/>
  <c r="F22" i="76"/>
  <c r="BM87" i="98"/>
  <c r="BN87" i="98"/>
  <c r="BL88" i="98"/>
  <c r="BL89" i="98"/>
  <c r="W394" i="98"/>
  <c r="W406" i="98"/>
  <c r="AI369" i="98"/>
  <c r="AI384" i="98"/>
  <c r="Y346" i="98"/>
  <c r="C343" i="98"/>
  <c r="CH39" i="98"/>
  <c r="CH34" i="98"/>
  <c r="CH32" i="98"/>
  <c r="CH24" i="98"/>
  <c r="CH20" i="98"/>
  <c r="CH37" i="98"/>
  <c r="CH36" i="98"/>
  <c r="CH35" i="98"/>
  <c r="CH33" i="98"/>
  <c r="CH27" i="98"/>
  <c r="CH26" i="98"/>
  <c r="CH22" i="98"/>
  <c r="CH47" i="98"/>
  <c r="CH46" i="98"/>
  <c r="CH45" i="98"/>
  <c r="CH44" i="98"/>
  <c r="CH43" i="98"/>
  <c r="CH42" i="98"/>
  <c r="CH41" i="98"/>
  <c r="CH40" i="98"/>
  <c r="CH31" i="98"/>
  <c r="CH50" i="98"/>
  <c r="CH48" i="98"/>
  <c r="CH29" i="98"/>
  <c r="CH30" i="98"/>
  <c r="CH28" i="98"/>
  <c r="CH49" i="98"/>
  <c r="CH38" i="98"/>
  <c r="CH25" i="98"/>
  <c r="CH23" i="98"/>
  <c r="CH21" i="98"/>
  <c r="Q343" i="98"/>
  <c r="Q345" i="98"/>
  <c r="Q342" i="98"/>
  <c r="Q344" i="98"/>
  <c r="Q340" i="98"/>
  <c r="Q339" i="98"/>
  <c r="Q338" i="98"/>
  <c r="Q337" i="98"/>
  <c r="Q336" i="98"/>
  <c r="Q334" i="98"/>
  <c r="Q341" i="98"/>
  <c r="Q335" i="98"/>
  <c r="C109" i="98"/>
  <c r="BY383" i="98"/>
  <c r="AF380" i="98"/>
  <c r="T380" i="98"/>
  <c r="T405" i="98"/>
  <c r="BY382" i="98"/>
  <c r="BY380" i="98"/>
  <c r="BY376" i="98"/>
  <c r="BY375" i="98"/>
  <c r="BY381" i="98"/>
  <c r="BY378" i="98"/>
  <c r="BY374" i="98"/>
  <c r="BY373" i="98"/>
  <c r="BY372" i="98"/>
  <c r="BY371" i="98"/>
  <c r="BY379" i="98"/>
  <c r="BY365" i="98"/>
  <c r="BY363" i="98"/>
  <c r="BY362" i="98"/>
  <c r="BY361" i="98"/>
  <c r="BY360" i="98"/>
  <c r="BY359" i="98"/>
  <c r="BY358" i="98"/>
  <c r="BY357" i="98"/>
  <c r="BY356" i="98"/>
  <c r="BY355" i="98"/>
  <c r="BY354" i="98"/>
  <c r="BY377" i="98"/>
  <c r="BY370" i="98"/>
  <c r="BY369" i="98"/>
  <c r="BY368" i="98"/>
  <c r="BY366" i="98"/>
  <c r="BY364" i="98"/>
  <c r="BY367" i="98"/>
  <c r="T399" i="98"/>
  <c r="T374" i="98"/>
  <c r="AF374" i="98"/>
  <c r="BY200" i="98"/>
  <c r="BY197" i="98"/>
  <c r="BY193" i="98"/>
  <c r="BY178" i="98"/>
  <c r="BY177" i="98"/>
  <c r="BY175" i="98"/>
  <c r="BY199" i="98"/>
  <c r="BY195" i="98"/>
  <c r="BY194" i="98"/>
  <c r="BY192" i="98"/>
  <c r="BY191" i="98"/>
  <c r="BY190" i="98"/>
  <c r="BY189" i="98"/>
  <c r="BY188" i="98"/>
  <c r="BY187" i="98"/>
  <c r="BY186" i="98"/>
  <c r="BY185" i="98"/>
  <c r="BY184" i="98"/>
  <c r="BY183" i="98"/>
  <c r="BY182" i="98"/>
  <c r="BY181" i="98"/>
  <c r="BY180" i="98"/>
  <c r="BY179" i="98"/>
  <c r="BY176" i="98"/>
  <c r="BY174" i="98"/>
  <c r="BY172" i="98"/>
  <c r="BY198" i="98"/>
  <c r="BY196" i="98"/>
  <c r="BY171" i="98"/>
  <c r="BY173" i="98"/>
  <c r="T403" i="98"/>
  <c r="AF378" i="98"/>
  <c r="T378" i="98"/>
  <c r="BY320" i="98"/>
  <c r="BY322" i="98"/>
  <c r="BY307" i="98"/>
  <c r="BY323" i="98"/>
  <c r="BY317" i="98"/>
  <c r="BY312" i="98"/>
  <c r="BY308" i="98"/>
  <c r="BY306" i="98"/>
  <c r="BY304" i="98"/>
  <c r="BY299" i="98"/>
  <c r="BY296" i="98"/>
  <c r="BY293" i="98"/>
  <c r="BY319" i="98"/>
  <c r="BY310" i="98"/>
  <c r="BY305" i="98"/>
  <c r="BY297" i="98"/>
  <c r="BY294" i="98"/>
  <c r="BY303" i="98"/>
  <c r="BY301" i="98"/>
  <c r="BY302" i="98"/>
  <c r="BY295" i="98"/>
  <c r="BY321" i="98"/>
  <c r="BY315" i="98"/>
  <c r="BY298" i="98"/>
  <c r="BY314" i="98"/>
  <c r="BY313" i="98"/>
  <c r="BY311" i="98"/>
  <c r="BY309" i="98"/>
  <c r="BY300" i="98"/>
  <c r="BY318" i="98"/>
  <c r="BY316" i="98"/>
  <c r="CB386" i="98"/>
  <c r="BL118" i="98"/>
  <c r="BM21" i="98"/>
  <c r="BN21" i="98"/>
  <c r="BL23" i="98"/>
  <c r="BO176" i="98"/>
  <c r="CZ176" i="98"/>
  <c r="BM144" i="98"/>
  <c r="BN144" i="98"/>
  <c r="BO359" i="98"/>
  <c r="CZ359" i="98"/>
  <c r="CE386" i="98"/>
  <c r="BO267" i="98"/>
  <c r="CZ267" i="98"/>
  <c r="BO332" i="98"/>
  <c r="CZ332" i="98"/>
  <c r="BL269" i="98"/>
  <c r="AG344" i="98"/>
  <c r="AG341" i="98"/>
  <c r="AG343" i="98"/>
  <c r="AG335" i="98"/>
  <c r="AG345" i="98"/>
  <c r="AG340" i="98"/>
  <c r="AG339" i="98"/>
  <c r="AG338" i="98"/>
  <c r="AG337" i="98"/>
  <c r="AG334" i="98"/>
  <c r="AG336" i="98"/>
  <c r="AG342" i="98"/>
  <c r="D109" i="98"/>
  <c r="T394" i="98"/>
  <c r="AF369" i="98"/>
  <c r="T369" i="98"/>
  <c r="T346" i="98"/>
  <c r="BY50" i="98"/>
  <c r="BY48" i="98"/>
  <c r="BY47" i="98"/>
  <c r="BY46" i="98"/>
  <c r="BY45" i="98"/>
  <c r="BY44" i="98"/>
  <c r="BY43" i="98"/>
  <c r="BY42" i="98"/>
  <c r="BY41" i="98"/>
  <c r="BY40" i="98"/>
  <c r="BY31" i="98"/>
  <c r="BY25" i="98"/>
  <c r="BY21" i="98"/>
  <c r="BY49" i="98"/>
  <c r="BY38" i="98"/>
  <c r="BY30" i="98"/>
  <c r="BY29" i="98"/>
  <c r="BY28" i="98"/>
  <c r="BY23" i="98"/>
  <c r="BY39" i="98"/>
  <c r="BY34" i="98"/>
  <c r="BY27" i="98"/>
  <c r="BY36" i="98"/>
  <c r="BY33" i="98"/>
  <c r="BY32" i="98"/>
  <c r="BY37" i="98"/>
  <c r="BY35" i="98"/>
  <c r="BY26" i="98"/>
  <c r="BY24" i="98"/>
  <c r="BY22" i="98"/>
  <c r="BY20" i="98"/>
  <c r="T400" i="98"/>
  <c r="AF375" i="98"/>
  <c r="T375" i="98"/>
  <c r="BY229" i="98"/>
  <c r="BY228" i="98"/>
  <c r="BY227" i="98"/>
  <c r="BY226" i="98"/>
  <c r="BY224" i="98"/>
  <c r="BY222" i="98"/>
  <c r="BY213" i="98"/>
  <c r="BY209" i="98"/>
  <c r="BY225" i="98"/>
  <c r="BY223" i="98"/>
  <c r="BY221" i="98"/>
  <c r="BY219" i="98"/>
  <c r="BY218" i="98"/>
  <c r="BY215" i="98"/>
  <c r="BY211" i="98"/>
  <c r="BY208" i="98"/>
  <c r="BY217" i="98"/>
  <c r="BY206" i="98"/>
  <c r="BY205" i="98"/>
  <c r="BY203" i="98"/>
  <c r="BY230" i="98"/>
  <c r="BY204" i="98"/>
  <c r="BY202" i="98"/>
  <c r="BY201" i="98"/>
  <c r="BY220" i="98"/>
  <c r="BY231" i="98"/>
  <c r="BY207" i="98"/>
  <c r="BY216" i="98"/>
  <c r="BY214" i="98"/>
  <c r="BY212" i="98"/>
  <c r="BY210" i="98"/>
  <c r="T404" i="98"/>
  <c r="AF379" i="98"/>
  <c r="T379" i="98"/>
  <c r="BY353" i="98"/>
  <c r="BY352" i="98"/>
  <c r="BY351" i="98"/>
  <c r="BY350" i="98"/>
  <c r="BY349" i="98"/>
  <c r="BY346" i="98"/>
  <c r="BY345" i="98"/>
  <c r="BY348" i="98"/>
  <c r="BY343" i="98"/>
  <c r="BY340" i="98"/>
  <c r="BY339" i="98"/>
  <c r="BY338" i="98"/>
  <c r="BY337" i="98"/>
  <c r="BY336" i="98"/>
  <c r="BY334" i="98"/>
  <c r="BY332" i="98"/>
  <c r="BY342" i="98"/>
  <c r="BY331" i="98"/>
  <c r="BY329" i="98"/>
  <c r="BY347" i="98"/>
  <c r="BY335" i="98"/>
  <c r="BY327" i="98"/>
  <c r="BY325" i="98"/>
  <c r="BY341" i="98"/>
  <c r="BY333" i="98"/>
  <c r="BY328" i="98"/>
  <c r="BY344" i="98"/>
  <c r="BY326" i="98"/>
  <c r="BY324" i="98"/>
  <c r="BY330" i="98"/>
  <c r="BM333" i="98"/>
  <c r="BN333" i="98"/>
  <c r="AG384" i="98"/>
  <c r="BM180" i="98"/>
  <c r="BN180" i="98"/>
  <c r="AH343" i="98"/>
  <c r="AH345" i="98"/>
  <c r="AH342" i="98"/>
  <c r="AH344" i="98"/>
  <c r="AH340" i="98"/>
  <c r="AH339" i="98"/>
  <c r="AH338" i="98"/>
  <c r="AH337" i="98"/>
  <c r="AH336" i="98"/>
  <c r="AH334" i="98"/>
  <c r="AH341" i="98"/>
  <c r="AH335" i="98"/>
  <c r="BL335" i="98"/>
  <c r="BL336" i="98"/>
  <c r="T396" i="98"/>
  <c r="T371" i="98"/>
  <c r="AF371" i="98"/>
  <c r="BY101" i="98"/>
  <c r="BY99" i="98"/>
  <c r="BY96" i="98"/>
  <c r="BY95" i="98"/>
  <c r="BY90" i="98"/>
  <c r="BY88" i="98"/>
  <c r="BY109" i="98"/>
  <c r="BY108" i="98"/>
  <c r="BY107" i="98"/>
  <c r="BY106" i="98"/>
  <c r="BY105" i="98"/>
  <c r="BY103" i="98"/>
  <c r="BY102" i="98"/>
  <c r="BY100" i="98"/>
  <c r="BY98" i="98"/>
  <c r="BY94" i="98"/>
  <c r="BY91" i="98"/>
  <c r="BY89" i="98"/>
  <c r="BY86" i="98"/>
  <c r="BY92" i="98"/>
  <c r="BY82" i="98"/>
  <c r="BY104" i="98"/>
  <c r="BY85" i="98"/>
  <c r="BY81" i="98"/>
  <c r="BY97" i="98"/>
  <c r="BY84" i="98"/>
  <c r="BY80" i="98"/>
  <c r="BY93" i="98"/>
  <c r="BY87" i="98"/>
  <c r="BY83" i="98"/>
  <c r="BY79" i="98"/>
  <c r="T397" i="98"/>
  <c r="AF372" i="98"/>
  <c r="T372" i="98"/>
  <c r="BY134" i="98"/>
  <c r="BY132" i="98"/>
  <c r="BY130" i="98"/>
  <c r="BY128" i="98"/>
  <c r="BY126" i="98"/>
  <c r="BY124" i="98"/>
  <c r="BY122" i="98"/>
  <c r="BY120" i="98"/>
  <c r="BY118" i="98"/>
  <c r="BY116" i="98"/>
  <c r="BY114" i="98"/>
  <c r="BY112" i="98"/>
  <c r="BY110" i="98"/>
  <c r="BY138" i="98"/>
  <c r="BY137" i="98"/>
  <c r="BY136" i="98"/>
  <c r="BY135" i="98"/>
  <c r="BY133" i="98"/>
  <c r="BY131" i="98"/>
  <c r="BY129" i="98"/>
  <c r="BY127" i="98"/>
  <c r="BY125" i="98"/>
  <c r="BY123" i="98"/>
  <c r="BY121" i="98"/>
  <c r="BY119" i="98"/>
  <c r="BY117" i="98"/>
  <c r="BY115" i="98"/>
  <c r="BY113" i="98"/>
  <c r="BY111" i="98"/>
  <c r="BY139" i="98"/>
  <c r="T395" i="98"/>
  <c r="AF370" i="98"/>
  <c r="T370" i="98"/>
  <c r="BY77" i="98"/>
  <c r="BY64" i="98"/>
  <c r="BY63" i="98"/>
  <c r="BY54" i="98"/>
  <c r="BY52" i="98"/>
  <c r="BY66" i="98"/>
  <c r="BY59" i="98"/>
  <c r="BY55" i="98"/>
  <c r="BY53" i="98"/>
  <c r="BY51" i="98"/>
  <c r="BY78" i="98"/>
  <c r="BY76" i="98"/>
  <c r="BY74" i="98"/>
  <c r="BY70" i="98"/>
  <c r="BY65" i="98"/>
  <c r="BY58" i="98"/>
  <c r="BY73" i="98"/>
  <c r="BY69" i="98"/>
  <c r="BY57" i="98"/>
  <c r="BY72" i="98"/>
  <c r="BY68" i="98"/>
  <c r="BY62" i="98"/>
  <c r="BY61" i="98"/>
  <c r="BY60" i="98"/>
  <c r="BY56" i="98"/>
  <c r="BY75" i="98"/>
  <c r="BY71" i="98"/>
  <c r="BY67" i="98"/>
  <c r="BM117" i="98"/>
  <c r="BN117" i="98"/>
  <c r="BM268" i="98"/>
  <c r="BN268" i="98"/>
  <c r="S345" i="98"/>
  <c r="S343" i="98"/>
  <c r="S340" i="98"/>
  <c r="S339" i="98"/>
  <c r="S338" i="98"/>
  <c r="S337" i="98"/>
  <c r="S336" i="98"/>
  <c r="S334" i="98"/>
  <c r="S342" i="98"/>
  <c r="S344" i="98"/>
  <c r="S335" i="98"/>
  <c r="S341" i="98"/>
  <c r="BO53" i="98"/>
  <c r="CZ53" i="98"/>
  <c r="BO54" i="98"/>
  <c r="CZ54" i="98"/>
  <c r="BL24" i="98"/>
  <c r="BO177" i="98"/>
  <c r="CZ177" i="98"/>
  <c r="R344" i="98"/>
  <c r="R345" i="98"/>
  <c r="R335" i="98"/>
  <c r="R341" i="98"/>
  <c r="R342" i="98"/>
  <c r="R336" i="98"/>
  <c r="R338" i="98"/>
  <c r="R340" i="98"/>
  <c r="R334" i="98"/>
  <c r="R339" i="98"/>
  <c r="R343" i="98"/>
  <c r="R337" i="98"/>
  <c r="BM360" i="98"/>
  <c r="BN360" i="98"/>
  <c r="BL361" i="98"/>
  <c r="BL362" i="98"/>
  <c r="BM208" i="98"/>
  <c r="BN208" i="98"/>
  <c r="AH384" i="98"/>
  <c r="BO235" i="98"/>
  <c r="CZ235" i="98"/>
  <c r="BO142" i="98"/>
  <c r="CZ142" i="98"/>
  <c r="BM86" i="98"/>
  <c r="BN86" i="98"/>
  <c r="T402" i="98"/>
  <c r="AF377" i="98"/>
  <c r="T377" i="98"/>
  <c r="BY291" i="98"/>
  <c r="BY283" i="98"/>
  <c r="BY280" i="98"/>
  <c r="BY285" i="98"/>
  <c r="BY281" i="98"/>
  <c r="BY290" i="98"/>
  <c r="BY282" i="98"/>
  <c r="BY274" i="98"/>
  <c r="BY273" i="98"/>
  <c r="BY271" i="98"/>
  <c r="BY270" i="98"/>
  <c r="BY269" i="98"/>
  <c r="BY268" i="98"/>
  <c r="BY272" i="98"/>
  <c r="BY292" i="98"/>
  <c r="BY288" i="98"/>
  <c r="BY284" i="98"/>
  <c r="BY278" i="98"/>
  <c r="BY266" i="98"/>
  <c r="BY264" i="98"/>
  <c r="BY286" i="98"/>
  <c r="BY276" i="98"/>
  <c r="BY267" i="98"/>
  <c r="BY265" i="98"/>
  <c r="BY263" i="98"/>
  <c r="BY289" i="98"/>
  <c r="BY287" i="98"/>
  <c r="BY279" i="98"/>
  <c r="BY275" i="98"/>
  <c r="BY277" i="98"/>
  <c r="T398" i="98"/>
  <c r="T373" i="98"/>
  <c r="AF373" i="98"/>
  <c r="BY155" i="98"/>
  <c r="BY168" i="98"/>
  <c r="BY164" i="98"/>
  <c r="BY160" i="98"/>
  <c r="BY154" i="98"/>
  <c r="BY152" i="98"/>
  <c r="BY150" i="98"/>
  <c r="BY148" i="98"/>
  <c r="BY146" i="98"/>
  <c r="BY144" i="98"/>
  <c r="BY170" i="98"/>
  <c r="BY166" i="98"/>
  <c r="BY162" i="98"/>
  <c r="BY158" i="98"/>
  <c r="BY153" i="98"/>
  <c r="BY151" i="98"/>
  <c r="BY149" i="98"/>
  <c r="BY147" i="98"/>
  <c r="BY145" i="98"/>
  <c r="BY143" i="98"/>
  <c r="BY156" i="98"/>
  <c r="BY142" i="98"/>
  <c r="BY167" i="98"/>
  <c r="BY163" i="98"/>
  <c r="BY159" i="98"/>
  <c r="BY140" i="98"/>
  <c r="BY169" i="98"/>
  <c r="BY165" i="98"/>
  <c r="BY161" i="98"/>
  <c r="BY157" i="98"/>
  <c r="BY141" i="98"/>
  <c r="T401" i="98"/>
  <c r="AF376" i="98"/>
  <c r="T376" i="98"/>
  <c r="BY256" i="98"/>
  <c r="BY255" i="98"/>
  <c r="BY249" i="98"/>
  <c r="BY247" i="98"/>
  <c r="BY238" i="98"/>
  <c r="BY253" i="98"/>
  <c r="BY250" i="98"/>
  <c r="BY248" i="98"/>
  <c r="BY246" i="98"/>
  <c r="BY243" i="98"/>
  <c r="BY240" i="98"/>
  <c r="BY237" i="98"/>
  <c r="BY236" i="98"/>
  <c r="BY262" i="98"/>
  <c r="BY260" i="98"/>
  <c r="BY258" i="98"/>
  <c r="BY245" i="98"/>
  <c r="BY234" i="98"/>
  <c r="BY232" i="98"/>
  <c r="BY261" i="98"/>
  <c r="BY259" i="98"/>
  <c r="BY257" i="98"/>
  <c r="BY254" i="98"/>
  <c r="BY252" i="98"/>
  <c r="BY244" i="98"/>
  <c r="BY241" i="98"/>
  <c r="BY235" i="98"/>
  <c r="BY233" i="98"/>
  <c r="BY251" i="98"/>
  <c r="BY239" i="98"/>
  <c r="BY242" i="98"/>
  <c r="BM236" i="98"/>
  <c r="BN236" i="98"/>
  <c r="BL237" i="98"/>
  <c r="BL238" i="98"/>
  <c r="BM207" i="98"/>
  <c r="BN207" i="98"/>
  <c r="BL210" i="98"/>
  <c r="BL211" i="98"/>
  <c r="AI344" i="98"/>
  <c r="AI345" i="98"/>
  <c r="AI335" i="98"/>
  <c r="AI341" i="98"/>
  <c r="AI342" i="98"/>
  <c r="AI336" i="98"/>
  <c r="AI338" i="98"/>
  <c r="AI340" i="98"/>
  <c r="AI334" i="98"/>
  <c r="AI343" i="98"/>
  <c r="AI337" i="98"/>
  <c r="AI339" i="98"/>
  <c r="BL119" i="98"/>
  <c r="BN299" i="98"/>
  <c r="BM299" i="98"/>
  <c r="BL300" i="98"/>
  <c r="BL301" i="98"/>
  <c r="BO268" i="98"/>
  <c r="CZ268" i="98"/>
  <c r="BM145" i="98"/>
  <c r="BL120" i="98"/>
  <c r="BL121" i="98"/>
  <c r="BL56" i="98"/>
  <c r="BL57" i="98"/>
  <c r="BM57" i="98"/>
  <c r="BN55" i="98"/>
  <c r="BM55" i="98"/>
  <c r="BO86" i="98"/>
  <c r="CZ86" i="98"/>
  <c r="BO117" i="98"/>
  <c r="CZ117" i="98"/>
  <c r="BO333" i="98"/>
  <c r="CZ333" i="98"/>
  <c r="BL147" i="98"/>
  <c r="BL148" i="98"/>
  <c r="BM148" i="98"/>
  <c r="BM146" i="98"/>
  <c r="BN146" i="98"/>
  <c r="BO207" i="98"/>
  <c r="CZ207" i="98"/>
  <c r="BO144" i="98"/>
  <c r="CZ144" i="98"/>
  <c r="BO21" i="98"/>
  <c r="CZ21" i="98"/>
  <c r="BN145" i="98"/>
  <c r="AH346" i="98"/>
  <c r="D338" i="98"/>
  <c r="Q467" i="98"/>
  <c r="F20" i="76"/>
  <c r="BM211" i="98"/>
  <c r="BN211" i="98"/>
  <c r="BL212" i="98"/>
  <c r="BM336" i="98"/>
  <c r="BN336" i="98"/>
  <c r="BL337" i="98"/>
  <c r="BM237" i="98"/>
  <c r="BN237" i="98"/>
  <c r="BL239" i="98"/>
  <c r="R399" i="98"/>
  <c r="R374" i="98"/>
  <c r="AD374" i="98"/>
  <c r="BS199" i="98"/>
  <c r="BS195" i="98"/>
  <c r="BS194" i="98"/>
  <c r="BS192" i="98"/>
  <c r="BS191" i="98"/>
  <c r="BS190" i="98"/>
  <c r="BS189" i="98"/>
  <c r="BS188" i="98"/>
  <c r="BS187" i="98"/>
  <c r="BS186" i="98"/>
  <c r="BS185" i="98"/>
  <c r="BS184" i="98"/>
  <c r="BS183" i="98"/>
  <c r="BS182" i="98"/>
  <c r="BS181" i="98"/>
  <c r="BS180" i="98"/>
  <c r="BS179" i="98"/>
  <c r="BS176" i="98"/>
  <c r="BS174" i="98"/>
  <c r="BS200" i="98"/>
  <c r="BS197" i="98"/>
  <c r="BS193" i="98"/>
  <c r="BS178" i="98"/>
  <c r="BS177" i="98"/>
  <c r="BS175" i="98"/>
  <c r="BS198" i="98"/>
  <c r="BS171" i="98"/>
  <c r="BS196" i="98"/>
  <c r="BS173" i="98"/>
  <c r="BS172" i="98"/>
  <c r="R396" i="98"/>
  <c r="AD371" i="98"/>
  <c r="R371" i="98"/>
  <c r="BS109" i="98"/>
  <c r="BS108" i="98"/>
  <c r="BS107" i="98"/>
  <c r="BS106" i="98"/>
  <c r="BS105" i="98"/>
  <c r="BS103" i="98"/>
  <c r="BS102" i="98"/>
  <c r="BS100" i="98"/>
  <c r="BS98" i="98"/>
  <c r="BS94" i="98"/>
  <c r="BS91" i="98"/>
  <c r="BS89" i="98"/>
  <c r="BS86" i="98"/>
  <c r="BS101" i="98"/>
  <c r="BS99" i="98"/>
  <c r="BS96" i="98"/>
  <c r="BS95" i="98"/>
  <c r="BS90" i="98"/>
  <c r="BS88" i="98"/>
  <c r="BS104" i="98"/>
  <c r="BS85" i="98"/>
  <c r="BS81" i="98"/>
  <c r="BS97" i="98"/>
  <c r="BS84" i="98"/>
  <c r="BS80" i="98"/>
  <c r="BS93" i="98"/>
  <c r="BS87" i="98"/>
  <c r="BS83" i="98"/>
  <c r="BS79" i="98"/>
  <c r="BS92" i="98"/>
  <c r="BS82" i="98"/>
  <c r="R405" i="98"/>
  <c r="BS383" i="98"/>
  <c r="AD380" i="98"/>
  <c r="R380" i="98"/>
  <c r="BS379" i="98"/>
  <c r="BS374" i="98"/>
  <c r="BS373" i="98"/>
  <c r="BS372" i="98"/>
  <c r="BS377" i="98"/>
  <c r="BS375" i="98"/>
  <c r="BS381" i="98"/>
  <c r="BS378" i="98"/>
  <c r="BS371" i="98"/>
  <c r="BS370" i="98"/>
  <c r="BS369" i="98"/>
  <c r="BS368" i="98"/>
  <c r="BS366" i="98"/>
  <c r="BS364" i="98"/>
  <c r="BS382" i="98"/>
  <c r="BS380" i="98"/>
  <c r="BS376" i="98"/>
  <c r="BS365" i="98"/>
  <c r="BS363" i="98"/>
  <c r="BS362" i="98"/>
  <c r="BS361" i="98"/>
  <c r="BS360" i="98"/>
  <c r="BS359" i="98"/>
  <c r="BS358" i="98"/>
  <c r="BS357" i="98"/>
  <c r="BS356" i="98"/>
  <c r="BS355" i="98"/>
  <c r="BS354" i="98"/>
  <c r="BS367" i="98"/>
  <c r="AE376" i="98"/>
  <c r="S376" i="98"/>
  <c r="S401" i="98"/>
  <c r="BV262" i="98"/>
  <c r="BV261" i="98"/>
  <c r="BV260" i="98"/>
  <c r="BV259" i="98"/>
  <c r="BV258" i="98"/>
  <c r="BV257" i="98"/>
  <c r="BV252" i="98"/>
  <c r="BV245" i="98"/>
  <c r="BV244" i="98"/>
  <c r="BV242" i="98"/>
  <c r="BV241" i="98"/>
  <c r="BV254" i="98"/>
  <c r="BV251" i="98"/>
  <c r="BV239" i="98"/>
  <c r="BV235" i="98"/>
  <c r="BV234" i="98"/>
  <c r="BV233" i="98"/>
  <c r="BV232" i="98"/>
  <c r="BV240" i="98"/>
  <c r="BV236" i="98"/>
  <c r="BV256" i="98"/>
  <c r="BV237" i="98"/>
  <c r="BV255" i="98"/>
  <c r="BV253" i="98"/>
  <c r="BV249" i="98"/>
  <c r="BV247" i="98"/>
  <c r="BV243" i="98"/>
  <c r="BV238" i="98"/>
  <c r="BV250" i="98"/>
  <c r="BV248" i="98"/>
  <c r="BV246" i="98"/>
  <c r="S394" i="98"/>
  <c r="AE369" i="98"/>
  <c r="S369" i="98"/>
  <c r="S346" i="98"/>
  <c r="BV39" i="98"/>
  <c r="BV34" i="98"/>
  <c r="BV32" i="98"/>
  <c r="BV24" i="98"/>
  <c r="BV20" i="98"/>
  <c r="BV37" i="98"/>
  <c r="BV36" i="98"/>
  <c r="BV35" i="98"/>
  <c r="BV33" i="98"/>
  <c r="BV27" i="98"/>
  <c r="BV26" i="98"/>
  <c r="BV22" i="98"/>
  <c r="BV30" i="98"/>
  <c r="BV28" i="98"/>
  <c r="BV49" i="98"/>
  <c r="BV38" i="98"/>
  <c r="BV25" i="98"/>
  <c r="BV23" i="98"/>
  <c r="BV21" i="98"/>
  <c r="BV47" i="98"/>
  <c r="BV46" i="98"/>
  <c r="BV45" i="98"/>
  <c r="BV44" i="98"/>
  <c r="BV43" i="98"/>
  <c r="BV42" i="98"/>
  <c r="BV41" i="98"/>
  <c r="BV40" i="98"/>
  <c r="BV31" i="98"/>
  <c r="BV50" i="98"/>
  <c r="BV48" i="98"/>
  <c r="BV29" i="98"/>
  <c r="S399" i="98"/>
  <c r="AE374" i="98"/>
  <c r="S374" i="98"/>
  <c r="BV198" i="98"/>
  <c r="BV173" i="98"/>
  <c r="BV171" i="98"/>
  <c r="BV196" i="98"/>
  <c r="BV172" i="98"/>
  <c r="BV200" i="98"/>
  <c r="BV194" i="98"/>
  <c r="BV192" i="98"/>
  <c r="BV188" i="98"/>
  <c r="BV184" i="98"/>
  <c r="BV180" i="98"/>
  <c r="BV177" i="98"/>
  <c r="BV175" i="98"/>
  <c r="BV195" i="98"/>
  <c r="BV193" i="98"/>
  <c r="BV190" i="98"/>
  <c r="BV186" i="98"/>
  <c r="BV182" i="98"/>
  <c r="BV176" i="98"/>
  <c r="BV174" i="98"/>
  <c r="BV199" i="98"/>
  <c r="BV197" i="98"/>
  <c r="BV178" i="98"/>
  <c r="BV191" i="98"/>
  <c r="BV189" i="98"/>
  <c r="BV187" i="98"/>
  <c r="BV185" i="98"/>
  <c r="BV183" i="98"/>
  <c r="BV181" i="98"/>
  <c r="BV179" i="98"/>
  <c r="T384" i="98"/>
  <c r="F378" i="98"/>
  <c r="P469" i="98"/>
  <c r="BM269" i="98"/>
  <c r="BN269" i="98"/>
  <c r="Q395" i="98"/>
  <c r="AC370" i="98"/>
  <c r="Q370" i="98"/>
  <c r="BP76" i="98"/>
  <c r="BP75" i="98"/>
  <c r="BP73" i="98"/>
  <c r="BP71" i="98"/>
  <c r="BP69" i="98"/>
  <c r="BP67" i="98"/>
  <c r="BP62" i="98"/>
  <c r="BP61" i="98"/>
  <c r="BP58" i="98"/>
  <c r="BP56" i="98"/>
  <c r="BP78" i="98"/>
  <c r="BP74" i="98"/>
  <c r="BP72" i="98"/>
  <c r="BP70" i="98"/>
  <c r="BP68" i="98"/>
  <c r="BP65" i="98"/>
  <c r="BP60" i="98"/>
  <c r="BP57" i="98"/>
  <c r="BP59" i="98"/>
  <c r="BP55" i="98"/>
  <c r="BP53" i="98"/>
  <c r="BP51" i="98"/>
  <c r="BP77" i="98"/>
  <c r="BP66" i="98"/>
  <c r="BP54" i="98"/>
  <c r="BP52" i="98"/>
  <c r="BP64" i="98"/>
  <c r="BP63" i="98"/>
  <c r="Q397" i="98"/>
  <c r="AC372" i="98"/>
  <c r="Q372" i="98"/>
  <c r="BP139" i="98"/>
  <c r="BP134" i="98"/>
  <c r="BP132" i="98"/>
  <c r="BP130" i="98"/>
  <c r="BP128" i="98"/>
  <c r="BP126" i="98"/>
  <c r="BP124" i="98"/>
  <c r="BP122" i="98"/>
  <c r="BP120" i="98"/>
  <c r="BP118" i="98"/>
  <c r="BP116" i="98"/>
  <c r="BP114" i="98"/>
  <c r="BP112" i="98"/>
  <c r="BP110" i="98"/>
  <c r="BP138" i="98"/>
  <c r="BP137" i="98"/>
  <c r="BP136" i="98"/>
  <c r="BP135" i="98"/>
  <c r="BP133" i="98"/>
  <c r="BP131" i="98"/>
  <c r="BP129" i="98"/>
  <c r="BP127" i="98"/>
  <c r="BP125" i="98"/>
  <c r="BP123" i="98"/>
  <c r="BP121" i="98"/>
  <c r="BP119" i="98"/>
  <c r="BP117" i="98"/>
  <c r="BP115" i="98"/>
  <c r="BP113" i="98"/>
  <c r="BP111" i="98"/>
  <c r="Q404" i="98"/>
  <c r="Q379" i="98"/>
  <c r="AC379" i="98"/>
  <c r="BP347" i="98"/>
  <c r="BP344" i="98"/>
  <c r="BP350" i="98"/>
  <c r="BP349" i="98"/>
  <c r="BP335" i="98"/>
  <c r="BP328" i="98"/>
  <c r="BP326" i="98"/>
  <c r="BP325" i="98"/>
  <c r="BP352" i="98"/>
  <c r="BP348" i="98"/>
  <c r="BP343" i="98"/>
  <c r="BP341" i="98"/>
  <c r="BP333" i="98"/>
  <c r="BP330" i="98"/>
  <c r="BP327" i="98"/>
  <c r="BP324" i="98"/>
  <c r="BP346" i="98"/>
  <c r="BP332" i="98"/>
  <c r="BP331" i="98"/>
  <c r="BP345" i="98"/>
  <c r="BP340" i="98"/>
  <c r="BP339" i="98"/>
  <c r="BP338" i="98"/>
  <c r="BP337" i="98"/>
  <c r="BP334" i="98"/>
  <c r="BP329" i="98"/>
  <c r="BP351" i="98"/>
  <c r="BP353" i="98"/>
  <c r="BP336" i="98"/>
  <c r="BP342" i="98"/>
  <c r="CH386" i="98"/>
  <c r="BM88" i="98"/>
  <c r="BN88" i="98"/>
  <c r="BM182" i="98"/>
  <c r="BN182" i="98"/>
  <c r="BM119" i="98"/>
  <c r="BN119" i="98"/>
  <c r="AI346" i="98"/>
  <c r="D339" i="98"/>
  <c r="Q468" i="98"/>
  <c r="F21" i="76"/>
  <c r="BO236" i="98"/>
  <c r="CZ236" i="98"/>
  <c r="BO208" i="98"/>
  <c r="CZ208" i="98"/>
  <c r="BM361" i="98"/>
  <c r="BN361" i="98"/>
  <c r="BL270" i="98"/>
  <c r="R394" i="98"/>
  <c r="R346" i="98"/>
  <c r="AD369" i="98"/>
  <c r="R369" i="98"/>
  <c r="BS49" i="98"/>
  <c r="BS38" i="98"/>
  <c r="BS30" i="98"/>
  <c r="BS29" i="98"/>
  <c r="BS28" i="98"/>
  <c r="BS23" i="98"/>
  <c r="BS50" i="98"/>
  <c r="BS48" i="98"/>
  <c r="BS47" i="98"/>
  <c r="BS46" i="98"/>
  <c r="BS45" i="98"/>
  <c r="BS44" i="98"/>
  <c r="BS43" i="98"/>
  <c r="BS42" i="98"/>
  <c r="BS41" i="98"/>
  <c r="BS40" i="98"/>
  <c r="BS31" i="98"/>
  <c r="BS25" i="98"/>
  <c r="BS21" i="98"/>
  <c r="BS36" i="98"/>
  <c r="BS33" i="98"/>
  <c r="BS32" i="98"/>
  <c r="BS37" i="98"/>
  <c r="BS35" i="98"/>
  <c r="BS26" i="98"/>
  <c r="BS24" i="98"/>
  <c r="BS22" i="98"/>
  <c r="BS20" i="98"/>
  <c r="BS39" i="98"/>
  <c r="BS34" i="98"/>
  <c r="BS27" i="98"/>
  <c r="R402" i="98"/>
  <c r="AD377" i="98"/>
  <c r="R377" i="98"/>
  <c r="BS285" i="98"/>
  <c r="BS281" i="98"/>
  <c r="BS291" i="98"/>
  <c r="BS283" i="98"/>
  <c r="BS287" i="98"/>
  <c r="BS272" i="98"/>
  <c r="BS292" i="98"/>
  <c r="BS289" i="98"/>
  <c r="BS288" i="98"/>
  <c r="BS286" i="98"/>
  <c r="BS284" i="98"/>
  <c r="BS280" i="98"/>
  <c r="BS274" i="98"/>
  <c r="BS273" i="98"/>
  <c r="BS271" i="98"/>
  <c r="BS270" i="98"/>
  <c r="BS269" i="98"/>
  <c r="BS268" i="98"/>
  <c r="BS290" i="98"/>
  <c r="BS277" i="98"/>
  <c r="BS282" i="98"/>
  <c r="BS279" i="98"/>
  <c r="BS275" i="98"/>
  <c r="BS276" i="98"/>
  <c r="BS266" i="98"/>
  <c r="BS264" i="98"/>
  <c r="BS278" i="98"/>
  <c r="BS267" i="98"/>
  <c r="BS265" i="98"/>
  <c r="BS263" i="98"/>
  <c r="R404" i="98"/>
  <c r="AD379" i="98"/>
  <c r="R379" i="98"/>
  <c r="BS348" i="98"/>
  <c r="BS343" i="98"/>
  <c r="BS353" i="98"/>
  <c r="BS352" i="98"/>
  <c r="BS351" i="98"/>
  <c r="BS350" i="98"/>
  <c r="BS349" i="98"/>
  <c r="BS346" i="98"/>
  <c r="BS345" i="98"/>
  <c r="BS347" i="98"/>
  <c r="BS342" i="98"/>
  <c r="BS331" i="98"/>
  <c r="BS329" i="98"/>
  <c r="BS344" i="98"/>
  <c r="BS340" i="98"/>
  <c r="BS339" i="98"/>
  <c r="BS338" i="98"/>
  <c r="BS337" i="98"/>
  <c r="BS336" i="98"/>
  <c r="BS334" i="98"/>
  <c r="BS332" i="98"/>
  <c r="BS330" i="98"/>
  <c r="BS328" i="98"/>
  <c r="BS341" i="98"/>
  <c r="BS333" i="98"/>
  <c r="BS326" i="98"/>
  <c r="BS324" i="98"/>
  <c r="BS335" i="98"/>
  <c r="BS327" i="98"/>
  <c r="BS325" i="98"/>
  <c r="S395" i="98"/>
  <c r="AE370" i="98"/>
  <c r="S370" i="98"/>
  <c r="BV78" i="98"/>
  <c r="BV74" i="98"/>
  <c r="BV72" i="98"/>
  <c r="BV70" i="98"/>
  <c r="BV68" i="98"/>
  <c r="BV65" i="98"/>
  <c r="BV60" i="98"/>
  <c r="BV57" i="98"/>
  <c r="BV76" i="98"/>
  <c r="BV75" i="98"/>
  <c r="BV73" i="98"/>
  <c r="BV71" i="98"/>
  <c r="BV69" i="98"/>
  <c r="BV67" i="98"/>
  <c r="BV62" i="98"/>
  <c r="BV61" i="98"/>
  <c r="BV58" i="98"/>
  <c r="BV56" i="98"/>
  <c r="BV64" i="98"/>
  <c r="BV63" i="98"/>
  <c r="BV59" i="98"/>
  <c r="BV55" i="98"/>
  <c r="BV53" i="98"/>
  <c r="BV51" i="98"/>
  <c r="BV77" i="98"/>
  <c r="BV66" i="98"/>
  <c r="BV54" i="98"/>
  <c r="BV52" i="98"/>
  <c r="S396" i="98"/>
  <c r="AE371" i="98"/>
  <c r="S371" i="98"/>
  <c r="BV97" i="98"/>
  <c r="BV93" i="98"/>
  <c r="BV84" i="98"/>
  <c r="BV82" i="98"/>
  <c r="BV80" i="98"/>
  <c r="BV104" i="98"/>
  <c r="BV92" i="98"/>
  <c r="BV87" i="98"/>
  <c r="BV85" i="98"/>
  <c r="BV83" i="98"/>
  <c r="BV81" i="98"/>
  <c r="BV79" i="98"/>
  <c r="BV106" i="98"/>
  <c r="BV95" i="98"/>
  <c r="BV91" i="98"/>
  <c r="BV89" i="98"/>
  <c r="BV107" i="98"/>
  <c r="BV103" i="98"/>
  <c r="BV102" i="98"/>
  <c r="BV100" i="98"/>
  <c r="BV98" i="98"/>
  <c r="BV96" i="98"/>
  <c r="BV108" i="98"/>
  <c r="BV94" i="98"/>
  <c r="BV90" i="98"/>
  <c r="BV88" i="98"/>
  <c r="BV86" i="98"/>
  <c r="BV109" i="98"/>
  <c r="BV105" i="98"/>
  <c r="BV101" i="98"/>
  <c r="BV99" i="98"/>
  <c r="S400" i="98"/>
  <c r="AE375" i="98"/>
  <c r="S375" i="98"/>
  <c r="BV231" i="98"/>
  <c r="BV216" i="98"/>
  <c r="BV212" i="98"/>
  <c r="BV230" i="98"/>
  <c r="BV220" i="98"/>
  <c r="BV217" i="98"/>
  <c r="BV214" i="98"/>
  <c r="BV210" i="98"/>
  <c r="BV208" i="98"/>
  <c r="BV218" i="98"/>
  <c r="BV207" i="98"/>
  <c r="BV224" i="98"/>
  <c r="BV222" i="98"/>
  <c r="BV219" i="98"/>
  <c r="BV225" i="98"/>
  <c r="BV223" i="98"/>
  <c r="BV221" i="98"/>
  <c r="BV206" i="98"/>
  <c r="BV229" i="98"/>
  <c r="BV203" i="98"/>
  <c r="BV226" i="98"/>
  <c r="BV201" i="98"/>
  <c r="BV227" i="98"/>
  <c r="BV215" i="98"/>
  <c r="BV213" i="98"/>
  <c r="BV211" i="98"/>
  <c r="BV209" i="98"/>
  <c r="BV205" i="98"/>
  <c r="BV204" i="98"/>
  <c r="BV202" i="98"/>
  <c r="BV228" i="98"/>
  <c r="BO180" i="98"/>
  <c r="CZ180" i="98"/>
  <c r="AF384" i="98"/>
  <c r="BM118" i="98"/>
  <c r="BN118" i="98"/>
  <c r="Q401" i="98"/>
  <c r="AC376" i="98"/>
  <c r="Q376" i="98"/>
  <c r="BP254" i="98"/>
  <c r="BP251" i="98"/>
  <c r="BP239" i="98"/>
  <c r="BP235" i="98"/>
  <c r="BP234" i="98"/>
  <c r="BP233" i="98"/>
  <c r="BP232" i="98"/>
  <c r="BP262" i="98"/>
  <c r="BP261" i="98"/>
  <c r="BP260" i="98"/>
  <c r="BP259" i="98"/>
  <c r="BP258" i="98"/>
  <c r="BP257" i="98"/>
  <c r="BP252" i="98"/>
  <c r="BP245" i="98"/>
  <c r="BP244" i="98"/>
  <c r="BP242" i="98"/>
  <c r="BP241" i="98"/>
  <c r="BP255" i="98"/>
  <c r="BP253" i="98"/>
  <c r="BP249" i="98"/>
  <c r="BP247" i="98"/>
  <c r="BP238" i="98"/>
  <c r="BP250" i="98"/>
  <c r="BP248" i="98"/>
  <c r="BP246" i="98"/>
  <c r="BP243" i="98"/>
  <c r="BP237" i="98"/>
  <c r="BP256" i="98"/>
  <c r="BP240" i="98"/>
  <c r="BP236" i="98"/>
  <c r="Q398" i="98"/>
  <c r="AC373" i="98"/>
  <c r="Q373" i="98"/>
  <c r="BP170" i="98"/>
  <c r="BP168" i="98"/>
  <c r="BP166" i="98"/>
  <c r="BP164" i="98"/>
  <c r="BP162" i="98"/>
  <c r="BP160" i="98"/>
  <c r="BP158" i="98"/>
  <c r="BP169" i="98"/>
  <c r="BP167" i="98"/>
  <c r="BP165" i="98"/>
  <c r="BP163" i="98"/>
  <c r="BP161" i="98"/>
  <c r="BP159" i="98"/>
  <c r="BP157" i="98"/>
  <c r="BP156" i="98"/>
  <c r="BP155" i="98"/>
  <c r="BP142" i="98"/>
  <c r="BP141" i="98"/>
  <c r="BP140" i="98"/>
  <c r="BP154" i="98"/>
  <c r="BP153" i="98"/>
  <c r="BP152" i="98"/>
  <c r="BP151" i="98"/>
  <c r="BP150" i="98"/>
  <c r="BP149" i="98"/>
  <c r="BP148" i="98"/>
  <c r="BP147" i="98"/>
  <c r="BP146" i="98"/>
  <c r="BP145" i="98"/>
  <c r="BP144" i="98"/>
  <c r="BP143" i="98"/>
  <c r="Q402" i="98"/>
  <c r="AC377" i="98"/>
  <c r="Q377" i="98"/>
  <c r="BP290" i="98"/>
  <c r="BP288" i="98"/>
  <c r="BP287" i="98"/>
  <c r="BP286" i="98"/>
  <c r="BP282" i="98"/>
  <c r="BP292" i="98"/>
  <c r="BP289" i="98"/>
  <c r="BP284" i="98"/>
  <c r="BP279" i="98"/>
  <c r="BP277" i="98"/>
  <c r="BP275" i="98"/>
  <c r="BP283" i="98"/>
  <c r="BP281" i="98"/>
  <c r="BP278" i="98"/>
  <c r="BP276" i="98"/>
  <c r="BP267" i="98"/>
  <c r="BP266" i="98"/>
  <c r="BP265" i="98"/>
  <c r="BP264" i="98"/>
  <c r="BP263" i="98"/>
  <c r="BP272" i="98"/>
  <c r="BP269" i="98"/>
  <c r="BP273" i="98"/>
  <c r="BP271" i="98"/>
  <c r="BP291" i="98"/>
  <c r="BP280" i="98"/>
  <c r="BP274" i="98"/>
  <c r="BP270" i="98"/>
  <c r="BP268" i="98"/>
  <c r="BP285" i="98"/>
  <c r="BO179" i="98"/>
  <c r="CZ179" i="98"/>
  <c r="BO334" i="98"/>
  <c r="CZ334" i="98"/>
  <c r="BM238" i="98"/>
  <c r="BN238" i="98"/>
  <c r="BM89" i="98"/>
  <c r="BN89" i="98"/>
  <c r="BL90" i="98"/>
  <c r="BM362" i="98"/>
  <c r="BN362" i="98"/>
  <c r="BL363" i="98"/>
  <c r="R397" i="98"/>
  <c r="R372" i="98"/>
  <c r="AD372" i="98"/>
  <c r="BS138" i="98"/>
  <c r="BS137" i="98"/>
  <c r="BS136" i="98"/>
  <c r="BS135" i="98"/>
  <c r="BS133" i="98"/>
  <c r="BS131" i="98"/>
  <c r="BS129" i="98"/>
  <c r="BS127" i="98"/>
  <c r="BS125" i="98"/>
  <c r="BS123" i="98"/>
  <c r="BS121" i="98"/>
  <c r="BS119" i="98"/>
  <c r="BS117" i="98"/>
  <c r="BS115" i="98"/>
  <c r="BS113" i="98"/>
  <c r="BS111" i="98"/>
  <c r="BS134" i="98"/>
  <c r="BS132" i="98"/>
  <c r="BS130" i="98"/>
  <c r="BS128" i="98"/>
  <c r="BS126" i="98"/>
  <c r="BS124" i="98"/>
  <c r="BS122" i="98"/>
  <c r="BS120" i="98"/>
  <c r="BS118" i="98"/>
  <c r="BS116" i="98"/>
  <c r="BS114" i="98"/>
  <c r="BS112" i="98"/>
  <c r="BS110" i="98"/>
  <c r="BS139" i="98"/>
  <c r="R400" i="98"/>
  <c r="R375" i="98"/>
  <c r="AD375" i="98"/>
  <c r="BS225" i="98"/>
  <c r="BS223" i="98"/>
  <c r="BS221" i="98"/>
  <c r="BS219" i="98"/>
  <c r="BS218" i="98"/>
  <c r="BS215" i="98"/>
  <c r="BS211" i="98"/>
  <c r="BS208" i="98"/>
  <c r="BS229" i="98"/>
  <c r="BS228" i="98"/>
  <c r="BS227" i="98"/>
  <c r="BS226" i="98"/>
  <c r="BS224" i="98"/>
  <c r="BS222" i="98"/>
  <c r="BS213" i="98"/>
  <c r="BS209" i="98"/>
  <c r="BS231" i="98"/>
  <c r="BS216" i="98"/>
  <c r="BS212" i="98"/>
  <c r="BS204" i="98"/>
  <c r="BS202" i="98"/>
  <c r="BS201" i="98"/>
  <c r="BS220" i="98"/>
  <c r="BS214" i="98"/>
  <c r="BS210" i="98"/>
  <c r="BS206" i="98"/>
  <c r="BS205" i="98"/>
  <c r="BS203" i="98"/>
  <c r="BS230" i="98"/>
  <c r="BS217" i="98"/>
  <c r="BS207" i="98"/>
  <c r="R401" i="98"/>
  <c r="AD376" i="98"/>
  <c r="R376" i="98"/>
  <c r="BS253" i="98"/>
  <c r="BS250" i="98"/>
  <c r="BS248" i="98"/>
  <c r="BS246" i="98"/>
  <c r="BS243" i="98"/>
  <c r="BS240" i="98"/>
  <c r="BS237" i="98"/>
  <c r="BS236" i="98"/>
  <c r="BS256" i="98"/>
  <c r="BS255" i="98"/>
  <c r="BS249" i="98"/>
  <c r="BS247" i="98"/>
  <c r="BS238" i="98"/>
  <c r="BS251" i="98"/>
  <c r="BS242" i="98"/>
  <c r="BS239" i="98"/>
  <c r="BS262" i="98"/>
  <c r="BS260" i="98"/>
  <c r="BS258" i="98"/>
  <c r="BS254" i="98"/>
  <c r="BS252" i="98"/>
  <c r="BS244" i="98"/>
  <c r="BS235" i="98"/>
  <c r="BS233" i="98"/>
  <c r="BS261" i="98"/>
  <c r="BS259" i="98"/>
  <c r="BS257" i="98"/>
  <c r="BS245" i="98"/>
  <c r="BS241" i="98"/>
  <c r="BS234" i="98"/>
  <c r="BS232" i="98"/>
  <c r="BM24" i="98"/>
  <c r="BN24" i="98"/>
  <c r="S404" i="98"/>
  <c r="AE379" i="98"/>
  <c r="BV347" i="98"/>
  <c r="BV344" i="98"/>
  <c r="BV353" i="98"/>
  <c r="BV341" i="98"/>
  <c r="BV333" i="98"/>
  <c r="BV330" i="98"/>
  <c r="BV327" i="98"/>
  <c r="BV324" i="98"/>
  <c r="S379" i="98"/>
  <c r="BV351" i="98"/>
  <c r="BV346" i="98"/>
  <c r="BV345" i="98"/>
  <c r="BV335" i="98"/>
  <c r="BV328" i="98"/>
  <c r="BV326" i="98"/>
  <c r="BV325" i="98"/>
  <c r="BV342" i="98"/>
  <c r="BV336" i="98"/>
  <c r="BV352" i="98"/>
  <c r="BV338" i="98"/>
  <c r="BV332" i="98"/>
  <c r="BV350" i="98"/>
  <c r="BV348" i="98"/>
  <c r="BV340" i="98"/>
  <c r="BV334" i="98"/>
  <c r="BV329" i="98"/>
  <c r="BV343" i="98"/>
  <c r="BV331" i="98"/>
  <c r="BV349" i="98"/>
  <c r="BV339" i="98"/>
  <c r="BV337" i="98"/>
  <c r="S397" i="98"/>
  <c r="AE372" i="98"/>
  <c r="S372" i="98"/>
  <c r="BV139" i="98"/>
  <c r="BV134" i="98"/>
  <c r="BV132" i="98"/>
  <c r="BV130" i="98"/>
  <c r="BV128" i="98"/>
  <c r="BV126" i="98"/>
  <c r="BV124" i="98"/>
  <c r="BV122" i="98"/>
  <c r="BV120" i="98"/>
  <c r="BV118" i="98"/>
  <c r="BV116" i="98"/>
  <c r="BV114" i="98"/>
  <c r="BV112" i="98"/>
  <c r="BV110" i="98"/>
  <c r="BV138" i="98"/>
  <c r="BV137" i="98"/>
  <c r="BV136" i="98"/>
  <c r="BV135" i="98"/>
  <c r="BV133" i="98"/>
  <c r="BV131" i="98"/>
  <c r="BV129" i="98"/>
  <c r="BV127" i="98"/>
  <c r="BV125" i="98"/>
  <c r="BV123" i="98"/>
  <c r="BV121" i="98"/>
  <c r="BV119" i="98"/>
  <c r="BV117" i="98"/>
  <c r="BV115" i="98"/>
  <c r="BV113" i="98"/>
  <c r="BV111" i="98"/>
  <c r="S403" i="98"/>
  <c r="S378" i="98"/>
  <c r="AE378" i="98"/>
  <c r="BV321" i="98"/>
  <c r="BV318" i="98"/>
  <c r="BV316" i="98"/>
  <c r="BV315" i="98"/>
  <c r="BV314" i="98"/>
  <c r="BV313" i="98"/>
  <c r="BV311" i="98"/>
  <c r="BV309" i="98"/>
  <c r="BV323" i="98"/>
  <c r="BV319" i="98"/>
  <c r="BV317" i="98"/>
  <c r="BV312" i="98"/>
  <c r="BV310" i="98"/>
  <c r="BV308" i="98"/>
  <c r="BV322" i="98"/>
  <c r="BV300" i="98"/>
  <c r="BV298" i="98"/>
  <c r="BV295" i="98"/>
  <c r="BV303" i="98"/>
  <c r="BV302" i="98"/>
  <c r="BV301" i="98"/>
  <c r="BV297" i="98"/>
  <c r="BV294" i="98"/>
  <c r="BV320" i="98"/>
  <c r="BV307" i="98"/>
  <c r="BV305" i="98"/>
  <c r="BV299" i="98"/>
  <c r="BV306" i="98"/>
  <c r="BV304" i="98"/>
  <c r="BV293" i="98"/>
  <c r="BV296" i="98"/>
  <c r="BM335" i="98"/>
  <c r="BN335" i="98"/>
  <c r="T406" i="98"/>
  <c r="AG346" i="98"/>
  <c r="D337" i="98"/>
  <c r="Q394" i="98"/>
  <c r="AC369" i="98"/>
  <c r="Q369" i="98"/>
  <c r="Q346" i="98"/>
  <c r="C337" i="98"/>
  <c r="BP37" i="98"/>
  <c r="BP36" i="98"/>
  <c r="BP35" i="98"/>
  <c r="BP33" i="98"/>
  <c r="BP27" i="98"/>
  <c r="BP26" i="98"/>
  <c r="BP22" i="98"/>
  <c r="BP39" i="98"/>
  <c r="BP34" i="98"/>
  <c r="BP32" i="98"/>
  <c r="BP24" i="98"/>
  <c r="BP20" i="98"/>
  <c r="BP49" i="98"/>
  <c r="BP38" i="98"/>
  <c r="BP25" i="98"/>
  <c r="BP23" i="98"/>
  <c r="BP21" i="98"/>
  <c r="BP47" i="98"/>
  <c r="BP46" i="98"/>
  <c r="BP45" i="98"/>
  <c r="BP44" i="98"/>
  <c r="BP43" i="98"/>
  <c r="BP42" i="98"/>
  <c r="BP41" i="98"/>
  <c r="BP40" i="98"/>
  <c r="BP31" i="98"/>
  <c r="BP50" i="98"/>
  <c r="BP48" i="98"/>
  <c r="BP29" i="98"/>
  <c r="BP30" i="98"/>
  <c r="BP28" i="98"/>
  <c r="Q399" i="98"/>
  <c r="AC374" i="98"/>
  <c r="Q374" i="98"/>
  <c r="BP196" i="98"/>
  <c r="BP172" i="98"/>
  <c r="BP198" i="98"/>
  <c r="BP173" i="98"/>
  <c r="BP171" i="98"/>
  <c r="BP199" i="98"/>
  <c r="BP189" i="98"/>
  <c r="BP185" i="98"/>
  <c r="BP181" i="98"/>
  <c r="BP178" i="98"/>
  <c r="BP197" i="98"/>
  <c r="BP191" i="98"/>
  <c r="BP187" i="98"/>
  <c r="BP183" i="98"/>
  <c r="BP179" i="98"/>
  <c r="BP195" i="98"/>
  <c r="BP174" i="98"/>
  <c r="BP194" i="98"/>
  <c r="BP177" i="98"/>
  <c r="BP193" i="98"/>
  <c r="BP176" i="98"/>
  <c r="BP200" i="98"/>
  <c r="BP192" i="98"/>
  <c r="BP190" i="98"/>
  <c r="BP188" i="98"/>
  <c r="BP186" i="98"/>
  <c r="BP184" i="98"/>
  <c r="BP182" i="98"/>
  <c r="BP180" i="98"/>
  <c r="BP175" i="98"/>
  <c r="BP384" i="98"/>
  <c r="BP382" i="98"/>
  <c r="Q405" i="98"/>
  <c r="BP379" i="98"/>
  <c r="BP377" i="98"/>
  <c r="BP381" i="98"/>
  <c r="BP380" i="98"/>
  <c r="BP378" i="98"/>
  <c r="BP376" i="98"/>
  <c r="BP383" i="98"/>
  <c r="AC380" i="98"/>
  <c r="BP375" i="98"/>
  <c r="BP372" i="98"/>
  <c r="BP367" i="98"/>
  <c r="BP374" i="98"/>
  <c r="BP369" i="98"/>
  <c r="BP362" i="98"/>
  <c r="BP358" i="98"/>
  <c r="BP354" i="98"/>
  <c r="BP371" i="98"/>
  <c r="BP360" i="98"/>
  <c r="BP356" i="98"/>
  <c r="BP368" i="98"/>
  <c r="BP365" i="98"/>
  <c r="BP370" i="98"/>
  <c r="BP363" i="98"/>
  <c r="BP361" i="98"/>
  <c r="BP359" i="98"/>
  <c r="BP357" i="98"/>
  <c r="BP355" i="98"/>
  <c r="BP364" i="98"/>
  <c r="BP366" i="98"/>
  <c r="Q380" i="98"/>
  <c r="BP373" i="98"/>
  <c r="BL183" i="98"/>
  <c r="CZ20" i="98"/>
  <c r="BM210" i="98"/>
  <c r="BN210" i="98"/>
  <c r="BO360" i="98"/>
  <c r="CZ360" i="98"/>
  <c r="R403" i="98"/>
  <c r="AD378" i="98"/>
  <c r="R378" i="98"/>
  <c r="BS322" i="98"/>
  <c r="BS320" i="98"/>
  <c r="BS321" i="98"/>
  <c r="BS316" i="98"/>
  <c r="BS314" i="98"/>
  <c r="BS311" i="98"/>
  <c r="BS307" i="98"/>
  <c r="BS305" i="98"/>
  <c r="BS297" i="98"/>
  <c r="BS294" i="98"/>
  <c r="BS318" i="98"/>
  <c r="BS315" i="98"/>
  <c r="BS313" i="98"/>
  <c r="BS309" i="98"/>
  <c r="BS306" i="98"/>
  <c r="BS304" i="98"/>
  <c r="BS299" i="98"/>
  <c r="BS296" i="98"/>
  <c r="BS293" i="98"/>
  <c r="BS323" i="98"/>
  <c r="BS300" i="98"/>
  <c r="BS298" i="98"/>
  <c r="BS295" i="98"/>
  <c r="BS319" i="98"/>
  <c r="BS312" i="98"/>
  <c r="BS308" i="98"/>
  <c r="BS317" i="98"/>
  <c r="BS310" i="98"/>
  <c r="BS303" i="98"/>
  <c r="BS302" i="98"/>
  <c r="BS301" i="98"/>
  <c r="R398" i="98"/>
  <c r="AD373" i="98"/>
  <c r="R373" i="98"/>
  <c r="BS155" i="98"/>
  <c r="BS167" i="98"/>
  <c r="BS163" i="98"/>
  <c r="BS159" i="98"/>
  <c r="BS156" i="98"/>
  <c r="BS153" i="98"/>
  <c r="BS151" i="98"/>
  <c r="BS149" i="98"/>
  <c r="BS147" i="98"/>
  <c r="BS145" i="98"/>
  <c r="BS143" i="98"/>
  <c r="BS169" i="98"/>
  <c r="BS165" i="98"/>
  <c r="BS161" i="98"/>
  <c r="BS157" i="98"/>
  <c r="BS154" i="98"/>
  <c r="BS152" i="98"/>
  <c r="BS150" i="98"/>
  <c r="BS148" i="98"/>
  <c r="BS146" i="98"/>
  <c r="BS144" i="98"/>
  <c r="BS168" i="98"/>
  <c r="BS164" i="98"/>
  <c r="BS160" i="98"/>
  <c r="BS140" i="98"/>
  <c r="BS141" i="98"/>
  <c r="BS170" i="98"/>
  <c r="BS166" i="98"/>
  <c r="BS162" i="98"/>
  <c r="BS158" i="98"/>
  <c r="BS142" i="98"/>
  <c r="R395" i="98"/>
  <c r="AD370" i="98"/>
  <c r="R370" i="98"/>
  <c r="BS66" i="98"/>
  <c r="BS59" i="98"/>
  <c r="BS55" i="98"/>
  <c r="BS53" i="98"/>
  <c r="BS51" i="98"/>
  <c r="BS77" i="98"/>
  <c r="BS64" i="98"/>
  <c r="BS63" i="98"/>
  <c r="BS54" i="98"/>
  <c r="BS52" i="98"/>
  <c r="BS73" i="98"/>
  <c r="BS69" i="98"/>
  <c r="BS57" i="98"/>
  <c r="BS72" i="98"/>
  <c r="BS68" i="98"/>
  <c r="BS62" i="98"/>
  <c r="BS61" i="98"/>
  <c r="BS60" i="98"/>
  <c r="BS56" i="98"/>
  <c r="BS75" i="98"/>
  <c r="BS71" i="98"/>
  <c r="BS67" i="98"/>
  <c r="BS78" i="98"/>
  <c r="BS76" i="98"/>
  <c r="BS74" i="98"/>
  <c r="BS70" i="98"/>
  <c r="BS65" i="98"/>
  <c r="BS58" i="98"/>
  <c r="S402" i="98"/>
  <c r="AE377" i="98"/>
  <c r="S377" i="98"/>
  <c r="BV292" i="98"/>
  <c r="BV289" i="98"/>
  <c r="BV284" i="98"/>
  <c r="BV290" i="98"/>
  <c r="BV288" i="98"/>
  <c r="BV287" i="98"/>
  <c r="BV286" i="98"/>
  <c r="BV282" i="98"/>
  <c r="BV291" i="98"/>
  <c r="BV278" i="98"/>
  <c r="BV276" i="98"/>
  <c r="BV267" i="98"/>
  <c r="BV266" i="98"/>
  <c r="BV265" i="98"/>
  <c r="BV264" i="98"/>
  <c r="BV263" i="98"/>
  <c r="BV285" i="98"/>
  <c r="BV279" i="98"/>
  <c r="BV277" i="98"/>
  <c r="BV275" i="98"/>
  <c r="BV274" i="98"/>
  <c r="BV268" i="98"/>
  <c r="BV280" i="98"/>
  <c r="BV270" i="98"/>
  <c r="BV283" i="98"/>
  <c r="BV273" i="98"/>
  <c r="BV271" i="98"/>
  <c r="BV269" i="98"/>
  <c r="BV281" i="98"/>
  <c r="BV272" i="98"/>
  <c r="S398" i="98"/>
  <c r="AE373" i="98"/>
  <c r="S373" i="98"/>
  <c r="BV169" i="98"/>
  <c r="BV167" i="98"/>
  <c r="BV165" i="98"/>
  <c r="BV163" i="98"/>
  <c r="BV161" i="98"/>
  <c r="BV159" i="98"/>
  <c r="BV157" i="98"/>
  <c r="BV156" i="98"/>
  <c r="BV170" i="98"/>
  <c r="BV168" i="98"/>
  <c r="BV166" i="98"/>
  <c r="BV164" i="98"/>
  <c r="BV162" i="98"/>
  <c r="BV160" i="98"/>
  <c r="BV158" i="98"/>
  <c r="BV142" i="98"/>
  <c r="BV141" i="98"/>
  <c r="BV140" i="98"/>
  <c r="BV155" i="98"/>
  <c r="BV154" i="98"/>
  <c r="BV153" i="98"/>
  <c r="BV152" i="98"/>
  <c r="BV151" i="98"/>
  <c r="BV150" i="98"/>
  <c r="BV149" i="98"/>
  <c r="BV148" i="98"/>
  <c r="BV147" i="98"/>
  <c r="BV146" i="98"/>
  <c r="BV145" i="98"/>
  <c r="BV144" i="98"/>
  <c r="BV143" i="98"/>
  <c r="S405" i="98"/>
  <c r="BV382" i="98"/>
  <c r="BV383" i="98"/>
  <c r="BV381" i="98"/>
  <c r="BV380" i="98"/>
  <c r="BV378" i="98"/>
  <c r="BV376" i="98"/>
  <c r="BV379" i="98"/>
  <c r="BV377" i="98"/>
  <c r="AE380" i="98"/>
  <c r="S380" i="98"/>
  <c r="BV373" i="98"/>
  <c r="BV367" i="98"/>
  <c r="BV375" i="98"/>
  <c r="BV374" i="98"/>
  <c r="BV370" i="98"/>
  <c r="BV366" i="98"/>
  <c r="BV364" i="98"/>
  <c r="BV361" i="98"/>
  <c r="BV357" i="98"/>
  <c r="BV372" i="98"/>
  <c r="BV368" i="98"/>
  <c r="BV365" i="98"/>
  <c r="BV363" i="98"/>
  <c r="BV359" i="98"/>
  <c r="BV355" i="98"/>
  <c r="BV362" i="98"/>
  <c r="BV360" i="98"/>
  <c r="BV358" i="98"/>
  <c r="BV356" i="98"/>
  <c r="BV354" i="98"/>
  <c r="BV371" i="98"/>
  <c r="BV369" i="98"/>
  <c r="BY384" i="98"/>
  <c r="C340" i="98"/>
  <c r="BM23" i="98"/>
  <c r="BN23" i="98"/>
  <c r="BL25" i="98"/>
  <c r="Q396" i="98"/>
  <c r="AC371" i="98"/>
  <c r="Q371" i="98"/>
  <c r="BP104" i="98"/>
  <c r="BP92" i="98"/>
  <c r="BP87" i="98"/>
  <c r="BP85" i="98"/>
  <c r="BP83" i="98"/>
  <c r="BP81" i="98"/>
  <c r="BP79" i="98"/>
  <c r="BP97" i="98"/>
  <c r="BP93" i="98"/>
  <c r="BP84" i="98"/>
  <c r="BP82" i="98"/>
  <c r="BP80" i="98"/>
  <c r="BP107" i="98"/>
  <c r="BP103" i="98"/>
  <c r="BP102" i="98"/>
  <c r="BP100" i="98"/>
  <c r="BP98" i="98"/>
  <c r="BP96" i="98"/>
  <c r="BP108" i="98"/>
  <c r="BP94" i="98"/>
  <c r="BP90" i="98"/>
  <c r="BP88" i="98"/>
  <c r="BP86" i="98"/>
  <c r="BP109" i="98"/>
  <c r="BP105" i="98"/>
  <c r="BP101" i="98"/>
  <c r="BP99" i="98"/>
  <c r="BP106" i="98"/>
  <c r="BP95" i="98"/>
  <c r="BP91" i="98"/>
  <c r="BP89" i="98"/>
  <c r="AC375" i="98"/>
  <c r="Q375" i="98"/>
  <c r="Q400" i="98"/>
  <c r="BP230" i="98"/>
  <c r="BP220" i="98"/>
  <c r="BP217" i="98"/>
  <c r="BP214" i="98"/>
  <c r="BP210" i="98"/>
  <c r="BP231" i="98"/>
  <c r="BP216" i="98"/>
  <c r="BP212" i="98"/>
  <c r="BP225" i="98"/>
  <c r="BP223" i="98"/>
  <c r="BP221" i="98"/>
  <c r="BP215" i="98"/>
  <c r="BP211" i="98"/>
  <c r="BP207" i="98"/>
  <c r="BP229" i="98"/>
  <c r="BP228" i="98"/>
  <c r="BP227" i="98"/>
  <c r="BP226" i="98"/>
  <c r="BP224" i="98"/>
  <c r="BP222" i="98"/>
  <c r="BP219" i="98"/>
  <c r="BP213" i="98"/>
  <c r="BP209" i="98"/>
  <c r="BP218" i="98"/>
  <c r="BP208" i="98"/>
  <c r="BP205" i="98"/>
  <c r="BP203" i="98"/>
  <c r="BP204" i="98"/>
  <c r="BP202" i="98"/>
  <c r="BP201" i="98"/>
  <c r="BP206" i="98"/>
  <c r="Q403" i="98"/>
  <c r="AC378" i="98"/>
  <c r="BP323" i="98"/>
  <c r="BP319" i="98"/>
  <c r="BP317" i="98"/>
  <c r="BP312" i="98"/>
  <c r="BP310" i="98"/>
  <c r="BP308" i="98"/>
  <c r="BP321" i="98"/>
  <c r="BP318" i="98"/>
  <c r="BP316" i="98"/>
  <c r="BP315" i="98"/>
  <c r="BP314" i="98"/>
  <c r="BP313" i="98"/>
  <c r="BP311" i="98"/>
  <c r="BP309" i="98"/>
  <c r="BP320" i="98"/>
  <c r="BP303" i="98"/>
  <c r="BP302" i="98"/>
  <c r="BP301" i="98"/>
  <c r="BP300" i="98"/>
  <c r="BP298" i="98"/>
  <c r="BP295" i="98"/>
  <c r="Q378" i="98"/>
  <c r="BP307" i="98"/>
  <c r="BP305" i="98"/>
  <c r="BP299" i="98"/>
  <c r="BP296" i="98"/>
  <c r="BP293" i="98"/>
  <c r="BP306" i="98"/>
  <c r="BP304" i="98"/>
  <c r="BP322" i="98"/>
  <c r="BP294" i="98"/>
  <c r="BP297" i="98"/>
  <c r="BO87" i="98"/>
  <c r="CZ87" i="98"/>
  <c r="BM181" i="98"/>
  <c r="BN181" i="98"/>
  <c r="BO22" i="98"/>
  <c r="CZ22" i="98"/>
  <c r="BO209" i="98"/>
  <c r="CZ209" i="98"/>
  <c r="E196" i="70"/>
  <c r="BO145" i="98"/>
  <c r="CZ145" i="98"/>
  <c r="BL302" i="98"/>
  <c r="BM301" i="98"/>
  <c r="BO301" i="98"/>
  <c r="CZ301" i="98"/>
  <c r="BN301" i="98"/>
  <c r="BO299" i="98"/>
  <c r="CZ299" i="98"/>
  <c r="BM300" i="98"/>
  <c r="BN300" i="98"/>
  <c r="BO55" i="98"/>
  <c r="CZ55" i="98"/>
  <c r="BL149" i="98"/>
  <c r="BN149" i="98"/>
  <c r="BN120" i="98"/>
  <c r="BM120" i="98"/>
  <c r="BO210" i="98"/>
  <c r="CZ210" i="98"/>
  <c r="BN148" i="98"/>
  <c r="BO148" i="98"/>
  <c r="CZ148" i="98"/>
  <c r="BO146" i="98"/>
  <c r="CZ146" i="98"/>
  <c r="BO181" i="98"/>
  <c r="CZ181" i="98"/>
  <c r="BO118" i="98"/>
  <c r="CZ118" i="98"/>
  <c r="BO24" i="98"/>
  <c r="CZ24" i="98"/>
  <c r="BO362" i="98"/>
  <c r="CZ362" i="98"/>
  <c r="BN57" i="98"/>
  <c r="BO57" i="98"/>
  <c r="CZ57" i="98"/>
  <c r="BN56" i="98"/>
  <c r="BM56" i="98"/>
  <c r="BO182" i="98"/>
  <c r="CZ182" i="98"/>
  <c r="BL58" i="98"/>
  <c r="BN58" i="98"/>
  <c r="BO238" i="98"/>
  <c r="CZ238" i="98"/>
  <c r="BL240" i="98"/>
  <c r="BL241" i="98"/>
  <c r="BO211" i="98"/>
  <c r="CZ211" i="98"/>
  <c r="BO23" i="98"/>
  <c r="CZ23" i="98"/>
  <c r="BO361" i="98"/>
  <c r="CZ361" i="98"/>
  <c r="BO88" i="98"/>
  <c r="CZ88" i="98"/>
  <c r="BO269" i="98"/>
  <c r="CZ269" i="98"/>
  <c r="BO336" i="98"/>
  <c r="CZ336" i="98"/>
  <c r="BM147" i="98"/>
  <c r="BN147" i="98"/>
  <c r="D378" i="98"/>
  <c r="E33" i="76"/>
  <c r="AH402" i="98"/>
  <c r="Q384" i="98"/>
  <c r="R384" i="98"/>
  <c r="F376" i="98"/>
  <c r="P467" i="98"/>
  <c r="BM270" i="98"/>
  <c r="BN270" i="98"/>
  <c r="BL271" i="98"/>
  <c r="S384" i="98"/>
  <c r="F377" i="98"/>
  <c r="P468" i="98"/>
  <c r="BL26" i="98"/>
  <c r="AC384" i="98"/>
  <c r="BM90" i="98"/>
  <c r="BN90" i="98"/>
  <c r="BL91" i="98"/>
  <c r="AD384" i="98"/>
  <c r="AE384" i="98"/>
  <c r="BO120" i="98"/>
  <c r="CZ120" i="98"/>
  <c r="BM212" i="98"/>
  <c r="BN212" i="98"/>
  <c r="BL213" i="98"/>
  <c r="BM25" i="98"/>
  <c r="BN25" i="98"/>
  <c r="BP386" i="98"/>
  <c r="Q406" i="98"/>
  <c r="Q466" i="98"/>
  <c r="F19" i="76"/>
  <c r="D329" i="98"/>
  <c r="G256" i="98"/>
  <c r="G258" i="98"/>
  <c r="BM363" i="98"/>
  <c r="BN363" i="98"/>
  <c r="BL364" i="98"/>
  <c r="BM149" i="98"/>
  <c r="BS384" i="98"/>
  <c r="C338" i="98"/>
  <c r="BM121" i="98"/>
  <c r="BN121" i="98"/>
  <c r="BL122" i="98"/>
  <c r="S406" i="98"/>
  <c r="BM337" i="98"/>
  <c r="BN337" i="98"/>
  <c r="BL338" i="98"/>
  <c r="BM183" i="98"/>
  <c r="BN183" i="98"/>
  <c r="BL184" i="98"/>
  <c r="AH399" i="98"/>
  <c r="D375" i="98"/>
  <c r="E30" i="76"/>
  <c r="BO335" i="98"/>
  <c r="CZ335" i="98"/>
  <c r="BO89" i="98"/>
  <c r="CZ89" i="98"/>
  <c r="R406" i="98"/>
  <c r="BO119" i="98"/>
  <c r="CZ119" i="98"/>
  <c r="BY386" i="98"/>
  <c r="BV384" i="98"/>
  <c r="BV386" i="98"/>
  <c r="C339" i="98"/>
  <c r="BM239" i="98"/>
  <c r="BN239" i="98"/>
  <c r="BO237" i="98"/>
  <c r="CZ237" i="98"/>
  <c r="E85" i="72"/>
  <c r="E23" i="72"/>
  <c r="E25" i="74"/>
  <c r="D71" i="72"/>
  <c r="E71" i="72"/>
  <c r="E16" i="74"/>
  <c r="D68" i="72"/>
  <c r="E7" i="74"/>
  <c r="D63" i="72"/>
  <c r="E63" i="72"/>
  <c r="E15" i="66"/>
  <c r="E6" i="66"/>
  <c r="D49" i="72"/>
  <c r="E49" i="72"/>
  <c r="E5" i="66"/>
  <c r="D48" i="72"/>
  <c r="E48" i="72"/>
  <c r="E31" i="25"/>
  <c r="D35" i="72"/>
  <c r="E35" i="72"/>
  <c r="E24" i="25"/>
  <c r="D34" i="72"/>
  <c r="E34" i="72"/>
  <c r="E18" i="25"/>
  <c r="G80" i="72"/>
  <c r="E8" i="66"/>
  <c r="BO300" i="98"/>
  <c r="CZ300" i="98"/>
  <c r="BL303" i="98"/>
  <c r="BL150" i="98"/>
  <c r="BN150" i="98"/>
  <c r="BM302" i="98"/>
  <c r="BO302" i="98"/>
  <c r="CZ302" i="98"/>
  <c r="BN302" i="98"/>
  <c r="BM58" i="98"/>
  <c r="BO58" i="98"/>
  <c r="CZ58" i="98"/>
  <c r="BO56" i="98"/>
  <c r="CZ56" i="98"/>
  <c r="Q472" i="98"/>
  <c r="F25" i="76"/>
  <c r="E38" i="76"/>
  <c r="BM240" i="98"/>
  <c r="BO270" i="98"/>
  <c r="CZ270" i="98"/>
  <c r="BL59" i="98"/>
  <c r="BN59" i="98"/>
  <c r="BO149" i="98"/>
  <c r="CZ149" i="98"/>
  <c r="BO90" i="98"/>
  <c r="CZ90" i="98"/>
  <c r="BO147" i="98"/>
  <c r="CZ147" i="98"/>
  <c r="BL242" i="98"/>
  <c r="BL243" i="98"/>
  <c r="BM243" i="98"/>
  <c r="BN241" i="98"/>
  <c r="BM241" i="98"/>
  <c r="BO212" i="98"/>
  <c r="CZ212" i="98"/>
  <c r="BO239" i="98"/>
  <c r="CZ239" i="98"/>
  <c r="BN240" i="98"/>
  <c r="BO240" i="98"/>
  <c r="CZ240" i="98"/>
  <c r="BM122" i="98"/>
  <c r="BN122" i="98"/>
  <c r="BL123" i="98"/>
  <c r="AH400" i="98"/>
  <c r="D376" i="98"/>
  <c r="E31" i="76"/>
  <c r="BM213" i="98"/>
  <c r="BN213" i="98"/>
  <c r="BL214" i="98"/>
  <c r="BM91" i="98"/>
  <c r="BN91" i="98"/>
  <c r="BL92" i="98"/>
  <c r="BL27" i="98"/>
  <c r="BL28" i="98"/>
  <c r="BM184" i="98"/>
  <c r="BN184" i="98"/>
  <c r="BL185" i="98"/>
  <c r="BO337" i="98"/>
  <c r="CZ337" i="98"/>
  <c r="BM364" i="98"/>
  <c r="BN364" i="98"/>
  <c r="BL365" i="98"/>
  <c r="P254" i="98"/>
  <c r="P253" i="98"/>
  <c r="F375" i="98"/>
  <c r="P466" i="98"/>
  <c r="E25" i="76"/>
  <c r="AH401" i="98"/>
  <c r="D377" i="98"/>
  <c r="E32" i="76"/>
  <c r="BM26" i="98"/>
  <c r="BN26" i="98"/>
  <c r="BO183" i="98"/>
  <c r="CZ183" i="98"/>
  <c r="BM338" i="98"/>
  <c r="BN338" i="98"/>
  <c r="BL339" i="98"/>
  <c r="BO121" i="98"/>
  <c r="CZ121" i="98"/>
  <c r="BM150" i="98"/>
  <c r="BL151" i="98"/>
  <c r="BO363" i="98"/>
  <c r="CZ363" i="98"/>
  <c r="H329" i="98"/>
  <c r="D330" i="98"/>
  <c r="BO25" i="98"/>
  <c r="BM271" i="98"/>
  <c r="BN271" i="98"/>
  <c r="BL272" i="98"/>
  <c r="BS386" i="98"/>
  <c r="U31" i="77"/>
  <c r="T31" i="77"/>
  <c r="U30" i="77"/>
  <c r="T30" i="77"/>
  <c r="U29" i="77"/>
  <c r="T29" i="77"/>
  <c r="U28" i="77"/>
  <c r="T28" i="77"/>
  <c r="U23" i="77"/>
  <c r="T23" i="77"/>
  <c r="U22" i="77"/>
  <c r="T22" i="77"/>
  <c r="U21" i="77"/>
  <c r="T21" i="77"/>
  <c r="U20" i="77"/>
  <c r="T20" i="77"/>
  <c r="E39" i="76"/>
  <c r="BL304" i="98"/>
  <c r="BM303" i="98"/>
  <c r="BN303" i="98"/>
  <c r="BO91" i="98"/>
  <c r="CZ91" i="98"/>
  <c r="BM59" i="98"/>
  <c r="BO59" i="98"/>
  <c r="CZ59" i="98"/>
  <c r="BO241" i="98"/>
  <c r="CZ241" i="98"/>
  <c r="BL60" i="98"/>
  <c r="BN60" i="98"/>
  <c r="BO271" i="98"/>
  <c r="CZ271" i="98"/>
  <c r="BO213" i="98"/>
  <c r="CZ213" i="98"/>
  <c r="BL244" i="98"/>
  <c r="BM244" i="98"/>
  <c r="BM60" i="98"/>
  <c r="BO150" i="98"/>
  <c r="CZ150" i="98"/>
  <c r="BO338" i="98"/>
  <c r="CZ338" i="98"/>
  <c r="BN243" i="98"/>
  <c r="BO243" i="98"/>
  <c r="CZ243" i="98"/>
  <c r="BM242" i="98"/>
  <c r="BN242" i="98"/>
  <c r="BM272" i="98"/>
  <c r="BN272" i="98"/>
  <c r="BL273" i="98"/>
  <c r="CZ25" i="98"/>
  <c r="BM151" i="98"/>
  <c r="BN151" i="98"/>
  <c r="BL152" i="98"/>
  <c r="BM339" i="98"/>
  <c r="BN339" i="98"/>
  <c r="BL340" i="98"/>
  <c r="BM28" i="98"/>
  <c r="BN28" i="98"/>
  <c r="BL29" i="98"/>
  <c r="BL30" i="98"/>
  <c r="BN244" i="98"/>
  <c r="BL245" i="98"/>
  <c r="P258" i="98"/>
  <c r="P256" i="98"/>
  <c r="BM92" i="98"/>
  <c r="BN92" i="98"/>
  <c r="BL93" i="98"/>
  <c r="BM214" i="98"/>
  <c r="BN214" i="98"/>
  <c r="BL215" i="98"/>
  <c r="P314" i="98"/>
  <c r="AB332" i="98"/>
  <c r="B331" i="98"/>
  <c r="P472" i="98"/>
  <c r="P473" i="98"/>
  <c r="BM365" i="98"/>
  <c r="BN365" i="98"/>
  <c r="BL366" i="98"/>
  <c r="BO184" i="98"/>
  <c r="CZ184" i="98"/>
  <c r="BM27" i="98"/>
  <c r="BN27" i="98"/>
  <c r="BM123" i="98"/>
  <c r="BN123" i="98"/>
  <c r="BL124" i="98"/>
  <c r="H330" i="98"/>
  <c r="L329" i="98"/>
  <c r="L330" i="98"/>
  <c r="BO26" i="98"/>
  <c r="CZ26" i="98"/>
  <c r="BO364" i="98"/>
  <c r="CZ364" i="98"/>
  <c r="BM185" i="98"/>
  <c r="BN185" i="98"/>
  <c r="BL186" i="98"/>
  <c r="AH411" i="98"/>
  <c r="BO122" i="98"/>
  <c r="CZ122" i="98"/>
  <c r="T33" i="77"/>
  <c r="X33" i="77"/>
  <c r="F10" i="66"/>
  <c r="U33" i="77"/>
  <c r="X27" i="77"/>
  <c r="BL305" i="98"/>
  <c r="BO303" i="98"/>
  <c r="CZ303" i="98"/>
  <c r="BM304" i="98"/>
  <c r="BO304" i="98"/>
  <c r="CZ304" i="98"/>
  <c r="BN304" i="98"/>
  <c r="BL306" i="98"/>
  <c r="BL307" i="98"/>
  <c r="BO339" i="98"/>
  <c r="CZ339" i="98"/>
  <c r="BO242" i="98"/>
  <c r="CZ242" i="98"/>
  <c r="BL61" i="98"/>
  <c r="BN61" i="98"/>
  <c r="BO60" i="98"/>
  <c r="CZ60" i="98"/>
  <c r="BO272" i="98"/>
  <c r="CZ272" i="98"/>
  <c r="BO92" i="98"/>
  <c r="CZ92" i="98"/>
  <c r="F331" i="98"/>
  <c r="P315" i="98"/>
  <c r="AC332" i="98"/>
  <c r="BM93" i="98"/>
  <c r="BN93" i="98"/>
  <c r="BL94" i="98"/>
  <c r="Z332" i="98"/>
  <c r="AP332" i="98"/>
  <c r="J270" i="98"/>
  <c r="J269" i="98"/>
  <c r="J268" i="98"/>
  <c r="K267" i="98"/>
  <c r="AP342" i="98"/>
  <c r="K266" i="98"/>
  <c r="K265" i="98"/>
  <c r="K264" i="98"/>
  <c r="K263" i="98"/>
  <c r="AP338" i="98"/>
  <c r="K262" i="98"/>
  <c r="K261" i="98"/>
  <c r="K260" i="98"/>
  <c r="K259" i="98"/>
  <c r="K268" i="98"/>
  <c r="K270" i="98"/>
  <c r="J266" i="98"/>
  <c r="J264" i="98"/>
  <c r="Z339" i="98"/>
  <c r="J262" i="98"/>
  <c r="J260" i="98"/>
  <c r="K269" i="98"/>
  <c r="J267" i="98"/>
  <c r="Z342" i="98"/>
  <c r="J265" i="98"/>
  <c r="J263" i="98"/>
  <c r="J261" i="98"/>
  <c r="J259" i="98"/>
  <c r="BM30" i="98"/>
  <c r="BN30" i="98"/>
  <c r="BM340" i="98"/>
  <c r="BN340" i="98"/>
  <c r="BL341" i="98"/>
  <c r="BM273" i="98"/>
  <c r="BN273" i="98"/>
  <c r="BL274" i="98"/>
  <c r="BM186" i="98"/>
  <c r="BN186" i="98"/>
  <c r="BL187" i="98"/>
  <c r="BM124" i="98"/>
  <c r="BN124" i="98"/>
  <c r="BL125" i="98"/>
  <c r="BL31" i="98"/>
  <c r="BO27" i="98"/>
  <c r="BM366" i="98"/>
  <c r="BN366" i="98"/>
  <c r="BL367" i="98"/>
  <c r="BM215" i="98"/>
  <c r="BN215" i="98"/>
  <c r="BL216" i="98"/>
  <c r="BM245" i="98"/>
  <c r="BN245" i="98"/>
  <c r="BL246" i="98"/>
  <c r="BM29" i="98"/>
  <c r="BN29" i="98"/>
  <c r="BO151" i="98"/>
  <c r="CZ151" i="98"/>
  <c r="AB344" i="98"/>
  <c r="AB343" i="98"/>
  <c r="AB341" i="98"/>
  <c r="AB335" i="98"/>
  <c r="AB340" i="98"/>
  <c r="AB339" i="98"/>
  <c r="AB338" i="98"/>
  <c r="AB337" i="98"/>
  <c r="AB334" i="98"/>
  <c r="AR332" i="98"/>
  <c r="AB342" i="98"/>
  <c r="AB345" i="98"/>
  <c r="AB336" i="98"/>
  <c r="BO185" i="98"/>
  <c r="CZ185" i="98"/>
  <c r="P316" i="98"/>
  <c r="AD332" i="98"/>
  <c r="J331" i="98"/>
  <c r="BO123" i="98"/>
  <c r="CZ123" i="98"/>
  <c r="BO365" i="98"/>
  <c r="CZ365" i="98"/>
  <c r="BO214" i="98"/>
  <c r="CZ214" i="98"/>
  <c r="BO244" i="98"/>
  <c r="CZ244" i="98"/>
  <c r="BO28" i="98"/>
  <c r="CZ28" i="98"/>
  <c r="BM152" i="98"/>
  <c r="BN152" i="98"/>
  <c r="BL153" i="98"/>
  <c r="X35" i="77"/>
  <c r="D31" i="77"/>
  <c r="F11" i="66"/>
  <c r="H11" i="70"/>
  <c r="F25" i="70"/>
  <c r="F24" i="70"/>
  <c r="BM306" i="98"/>
  <c r="BN306" i="98"/>
  <c r="BN305" i="98"/>
  <c r="BM305" i="98"/>
  <c r="BN307" i="98"/>
  <c r="BM307" i="98"/>
  <c r="BL308" i="98"/>
  <c r="BO215" i="98"/>
  <c r="CZ215" i="98"/>
  <c r="BO124" i="98"/>
  <c r="CZ124" i="98"/>
  <c r="BM61" i="98"/>
  <c r="BO61" i="98"/>
  <c r="CZ61" i="98"/>
  <c r="Z338" i="98"/>
  <c r="W373" i="98"/>
  <c r="BL62" i="98"/>
  <c r="BL63" i="98"/>
  <c r="BL64" i="98"/>
  <c r="BO152" i="98"/>
  <c r="CZ152" i="98"/>
  <c r="BO273" i="98"/>
  <c r="CZ273" i="98"/>
  <c r="BN62" i="98"/>
  <c r="Z335" i="98"/>
  <c r="W370" i="98"/>
  <c r="BM153" i="98"/>
  <c r="BN153" i="98"/>
  <c r="BL154" i="98"/>
  <c r="Z396" i="98"/>
  <c r="Y371" i="98"/>
  <c r="AL371" i="98"/>
  <c r="CQ109" i="98"/>
  <c r="CQ108" i="98"/>
  <c r="CQ107" i="98"/>
  <c r="CQ106" i="98"/>
  <c r="CQ105" i="98"/>
  <c r="CQ103" i="98"/>
  <c r="CQ102" i="98"/>
  <c r="CQ100" i="98"/>
  <c r="CQ98" i="98"/>
  <c r="CQ94" i="98"/>
  <c r="CQ91" i="98"/>
  <c r="CQ89" i="98"/>
  <c r="CQ86" i="98"/>
  <c r="CQ101" i="98"/>
  <c r="CQ99" i="98"/>
  <c r="CQ96" i="98"/>
  <c r="CQ95" i="98"/>
  <c r="CQ90" i="98"/>
  <c r="CQ88" i="98"/>
  <c r="CQ104" i="98"/>
  <c r="CQ85" i="98"/>
  <c r="CQ81" i="98"/>
  <c r="CQ97" i="98"/>
  <c r="CQ84" i="98"/>
  <c r="CQ80" i="98"/>
  <c r="CQ93" i="98"/>
  <c r="CQ87" i="98"/>
  <c r="CQ83" i="98"/>
  <c r="CQ79" i="98"/>
  <c r="CQ92" i="98"/>
  <c r="CQ82" i="98"/>
  <c r="Z394" i="98"/>
  <c r="Y369" i="98"/>
  <c r="AL369" i="98"/>
  <c r="AB346" i="98"/>
  <c r="C346" i="98"/>
  <c r="CQ49" i="98"/>
  <c r="CQ38" i="98"/>
  <c r="CQ30" i="98"/>
  <c r="CQ29" i="98"/>
  <c r="CQ28" i="98"/>
  <c r="CQ23" i="98"/>
  <c r="CQ50" i="98"/>
  <c r="CQ48" i="98"/>
  <c r="CQ47" i="98"/>
  <c r="CQ46" i="98"/>
  <c r="CQ45" i="98"/>
  <c r="CQ44" i="98"/>
  <c r="CQ43" i="98"/>
  <c r="CQ42" i="98"/>
  <c r="CQ41" i="98"/>
  <c r="CQ40" i="98"/>
  <c r="CQ31" i="98"/>
  <c r="CQ25" i="98"/>
  <c r="CQ21" i="98"/>
  <c r="CQ36" i="98"/>
  <c r="CQ33" i="98"/>
  <c r="CQ32" i="98"/>
  <c r="CQ37" i="98"/>
  <c r="CQ35" i="98"/>
  <c r="CQ26" i="98"/>
  <c r="CQ24" i="98"/>
  <c r="CQ22" i="98"/>
  <c r="CQ20" i="98"/>
  <c r="CQ39" i="98"/>
  <c r="CQ34" i="98"/>
  <c r="CQ27" i="98"/>
  <c r="Z400" i="98"/>
  <c r="Y375" i="98"/>
  <c r="AL375" i="98"/>
  <c r="CQ225" i="98"/>
  <c r="CQ223" i="98"/>
  <c r="CQ221" i="98"/>
  <c r="CQ219" i="98"/>
  <c r="CQ218" i="98"/>
  <c r="CQ215" i="98"/>
  <c r="CQ211" i="98"/>
  <c r="CQ208" i="98"/>
  <c r="CQ229" i="98"/>
  <c r="CQ228" i="98"/>
  <c r="CQ227" i="98"/>
  <c r="CQ226" i="98"/>
  <c r="CQ224" i="98"/>
  <c r="CQ222" i="98"/>
  <c r="CQ213" i="98"/>
  <c r="CQ209" i="98"/>
  <c r="CQ231" i="98"/>
  <c r="CQ216" i="98"/>
  <c r="CQ212" i="98"/>
  <c r="CQ204" i="98"/>
  <c r="CQ202" i="98"/>
  <c r="CQ201" i="98"/>
  <c r="CQ220" i="98"/>
  <c r="CQ214" i="98"/>
  <c r="CQ210" i="98"/>
  <c r="CQ206" i="98"/>
  <c r="CQ205" i="98"/>
  <c r="CQ203" i="98"/>
  <c r="CQ230" i="98"/>
  <c r="CQ207" i="98"/>
  <c r="CQ217" i="98"/>
  <c r="Z404" i="98"/>
  <c r="AL379" i="98"/>
  <c r="Y379" i="98"/>
  <c r="CQ348" i="98"/>
  <c r="CQ343" i="98"/>
  <c r="CQ353" i="98"/>
  <c r="CQ352" i="98"/>
  <c r="CQ351" i="98"/>
  <c r="CQ350" i="98"/>
  <c r="CQ349" i="98"/>
  <c r="CQ346" i="98"/>
  <c r="CQ345" i="98"/>
  <c r="CQ347" i="98"/>
  <c r="CQ331" i="98"/>
  <c r="CQ329" i="98"/>
  <c r="CQ344" i="98"/>
  <c r="CQ340" i="98"/>
  <c r="CQ339" i="98"/>
  <c r="CQ338" i="98"/>
  <c r="CQ337" i="98"/>
  <c r="CQ336" i="98"/>
  <c r="CQ334" i="98"/>
  <c r="CQ332" i="98"/>
  <c r="CQ330" i="98"/>
  <c r="CQ328" i="98"/>
  <c r="CQ341" i="98"/>
  <c r="CQ333" i="98"/>
  <c r="CQ326" i="98"/>
  <c r="CQ324" i="98"/>
  <c r="CQ327" i="98"/>
  <c r="CQ325" i="98"/>
  <c r="CQ335" i="98"/>
  <c r="CQ342" i="98"/>
  <c r="BO29" i="98"/>
  <c r="CZ29" i="98"/>
  <c r="BM216" i="98"/>
  <c r="BN216" i="98"/>
  <c r="BL217" i="98"/>
  <c r="BM125" i="98"/>
  <c r="BN125" i="98"/>
  <c r="BL126" i="98"/>
  <c r="BM274" i="98"/>
  <c r="BN274" i="98"/>
  <c r="BL275" i="98"/>
  <c r="Z334" i="98"/>
  <c r="J271" i="98"/>
  <c r="C274" i="98"/>
  <c r="C275" i="98"/>
  <c r="X402" i="98"/>
  <c r="AJ377" i="98"/>
  <c r="W377" i="98"/>
  <c r="CK291" i="98"/>
  <c r="CK283" i="98"/>
  <c r="CK280" i="98"/>
  <c r="CK285" i="98"/>
  <c r="CK281" i="98"/>
  <c r="CK274" i="98"/>
  <c r="CK273" i="98"/>
  <c r="CK271" i="98"/>
  <c r="CK270" i="98"/>
  <c r="CK269" i="98"/>
  <c r="CK268" i="98"/>
  <c r="CK290" i="98"/>
  <c r="CK282" i="98"/>
  <c r="CK272" i="98"/>
  <c r="CK276" i="98"/>
  <c r="CK267" i="98"/>
  <c r="CK265" i="98"/>
  <c r="CK263" i="98"/>
  <c r="CK289" i="98"/>
  <c r="CK287" i="98"/>
  <c r="CK278" i="98"/>
  <c r="CK266" i="98"/>
  <c r="CK264" i="98"/>
  <c r="CK292" i="98"/>
  <c r="CK286" i="98"/>
  <c r="CK279" i="98"/>
  <c r="CK275" i="98"/>
  <c r="CK288" i="98"/>
  <c r="CK284" i="98"/>
  <c r="CK277" i="98"/>
  <c r="X399" i="98"/>
  <c r="W374" i="98"/>
  <c r="AJ374" i="98"/>
  <c r="CK200" i="98"/>
  <c r="CK197" i="98"/>
  <c r="CK193" i="98"/>
  <c r="CK178" i="98"/>
  <c r="CK177" i="98"/>
  <c r="CK175" i="98"/>
  <c r="CK199" i="98"/>
  <c r="CK195" i="98"/>
  <c r="CK194" i="98"/>
  <c r="CK192" i="98"/>
  <c r="CK191" i="98"/>
  <c r="CK190" i="98"/>
  <c r="CK189" i="98"/>
  <c r="CK188" i="98"/>
  <c r="CK187" i="98"/>
  <c r="CK186" i="98"/>
  <c r="CK185" i="98"/>
  <c r="CK184" i="98"/>
  <c r="CK183" i="98"/>
  <c r="CK182" i="98"/>
  <c r="CK181" i="98"/>
  <c r="CK180" i="98"/>
  <c r="CK179" i="98"/>
  <c r="CK176" i="98"/>
  <c r="CK174" i="98"/>
  <c r="CK172" i="98"/>
  <c r="CK173" i="98"/>
  <c r="CK198" i="98"/>
  <c r="CK196" i="98"/>
  <c r="CK171" i="98"/>
  <c r="AP334" i="98"/>
  <c r="K271" i="98"/>
  <c r="D274" i="98"/>
  <c r="D275" i="98"/>
  <c r="AC343" i="98"/>
  <c r="AC345" i="98"/>
  <c r="AC344" i="98"/>
  <c r="AC342" i="98"/>
  <c r="AC340" i="98"/>
  <c r="AC339" i="98"/>
  <c r="AC338" i="98"/>
  <c r="AC337" i="98"/>
  <c r="AC336" i="98"/>
  <c r="AC334" i="98"/>
  <c r="AS332" i="98"/>
  <c r="AC341" i="98"/>
  <c r="AC335" i="98"/>
  <c r="Z405" i="98"/>
  <c r="CQ383" i="98"/>
  <c r="CQ384" i="98"/>
  <c r="AL380" i="98"/>
  <c r="CQ379" i="98"/>
  <c r="CQ374" i="98"/>
  <c r="CQ373" i="98"/>
  <c r="CQ372" i="98"/>
  <c r="CQ371" i="98"/>
  <c r="CQ377" i="98"/>
  <c r="CQ380" i="98"/>
  <c r="CQ376" i="98"/>
  <c r="CQ375" i="98"/>
  <c r="CQ370" i="98"/>
  <c r="CQ369" i="98"/>
  <c r="CQ368" i="98"/>
  <c r="CQ366" i="98"/>
  <c r="CQ364" i="98"/>
  <c r="CQ378" i="98"/>
  <c r="CQ365" i="98"/>
  <c r="CQ363" i="98"/>
  <c r="CQ362" i="98"/>
  <c r="CQ361" i="98"/>
  <c r="CQ360" i="98"/>
  <c r="CQ359" i="98"/>
  <c r="CQ358" i="98"/>
  <c r="CQ357" i="98"/>
  <c r="CQ356" i="98"/>
  <c r="CQ355" i="98"/>
  <c r="CQ354" i="98"/>
  <c r="CQ382" i="98"/>
  <c r="Y380" i="98"/>
  <c r="CQ367" i="98"/>
  <c r="CQ381" i="98"/>
  <c r="Z397" i="98"/>
  <c r="Y372" i="98"/>
  <c r="AL372" i="98"/>
  <c r="CQ138" i="98"/>
  <c r="CQ137" i="98"/>
  <c r="CQ136" i="98"/>
  <c r="CQ135" i="98"/>
  <c r="CQ133" i="98"/>
  <c r="CQ131" i="98"/>
  <c r="CQ129" i="98"/>
  <c r="CQ127" i="98"/>
  <c r="CQ125" i="98"/>
  <c r="CQ123" i="98"/>
  <c r="CQ121" i="98"/>
  <c r="CQ119" i="98"/>
  <c r="CQ117" i="98"/>
  <c r="CQ115" i="98"/>
  <c r="CQ113" i="98"/>
  <c r="CQ111" i="98"/>
  <c r="CQ134" i="98"/>
  <c r="CQ132" i="98"/>
  <c r="CQ130" i="98"/>
  <c r="CQ128" i="98"/>
  <c r="CQ126" i="98"/>
  <c r="CQ124" i="98"/>
  <c r="CQ122" i="98"/>
  <c r="CQ120" i="98"/>
  <c r="CQ118" i="98"/>
  <c r="CQ116" i="98"/>
  <c r="CQ114" i="98"/>
  <c r="CQ112" i="98"/>
  <c r="CQ110" i="98"/>
  <c r="CQ139" i="98"/>
  <c r="Z395" i="98"/>
  <c r="Y370" i="98"/>
  <c r="AL370" i="98"/>
  <c r="CQ66" i="98"/>
  <c r="CQ59" i="98"/>
  <c r="CQ55" i="98"/>
  <c r="CQ53" i="98"/>
  <c r="CQ51" i="98"/>
  <c r="CQ77" i="98"/>
  <c r="CQ64" i="98"/>
  <c r="CQ63" i="98"/>
  <c r="CQ54" i="98"/>
  <c r="CQ52" i="98"/>
  <c r="CQ73" i="98"/>
  <c r="CQ69" i="98"/>
  <c r="CQ57" i="98"/>
  <c r="CQ72" i="98"/>
  <c r="CQ68" i="98"/>
  <c r="CQ62" i="98"/>
  <c r="CQ61" i="98"/>
  <c r="CQ60" i="98"/>
  <c r="CQ56" i="98"/>
  <c r="CQ75" i="98"/>
  <c r="CQ71" i="98"/>
  <c r="CQ67" i="98"/>
  <c r="CQ78" i="98"/>
  <c r="CQ76" i="98"/>
  <c r="CQ74" i="98"/>
  <c r="CQ70" i="98"/>
  <c r="CQ65" i="98"/>
  <c r="CQ58" i="98"/>
  <c r="BM246" i="98"/>
  <c r="BN246" i="98"/>
  <c r="BL247" i="98"/>
  <c r="BO366" i="98"/>
  <c r="CZ366" i="98"/>
  <c r="BM187" i="98"/>
  <c r="BN187" i="98"/>
  <c r="BL188" i="98"/>
  <c r="BO340" i="98"/>
  <c r="CZ340" i="98"/>
  <c r="Z336" i="98"/>
  <c r="AP344" i="98"/>
  <c r="Z341" i="98"/>
  <c r="AP335" i="98"/>
  <c r="AP339" i="98"/>
  <c r="Z343" i="98"/>
  <c r="BM94" i="98"/>
  <c r="BN94" i="98"/>
  <c r="BL95" i="98"/>
  <c r="Z402" i="98"/>
  <c r="AL377" i="98"/>
  <c r="Y377" i="98"/>
  <c r="CQ285" i="98"/>
  <c r="CQ281" i="98"/>
  <c r="CQ291" i="98"/>
  <c r="CQ283" i="98"/>
  <c r="CQ280" i="98"/>
  <c r="CQ287" i="98"/>
  <c r="CQ272" i="98"/>
  <c r="CQ292" i="98"/>
  <c r="CQ289" i="98"/>
  <c r="CQ288" i="98"/>
  <c r="CQ286" i="98"/>
  <c r="CQ284" i="98"/>
  <c r="CQ274" i="98"/>
  <c r="CQ273" i="98"/>
  <c r="CQ271" i="98"/>
  <c r="CQ270" i="98"/>
  <c r="CQ269" i="98"/>
  <c r="CQ268" i="98"/>
  <c r="CQ282" i="98"/>
  <c r="CQ277" i="98"/>
  <c r="CQ290" i="98"/>
  <c r="CQ279" i="98"/>
  <c r="CQ275" i="98"/>
  <c r="CQ278" i="98"/>
  <c r="CQ267" i="98"/>
  <c r="CQ265" i="98"/>
  <c r="CQ263" i="98"/>
  <c r="CQ276" i="98"/>
  <c r="CQ266" i="98"/>
  <c r="CQ264" i="98"/>
  <c r="Z398" i="98"/>
  <c r="Y373" i="98"/>
  <c r="AL373" i="98"/>
  <c r="CQ154" i="98"/>
  <c r="CQ155" i="98"/>
  <c r="CQ167" i="98"/>
  <c r="CQ163" i="98"/>
  <c r="CQ159" i="98"/>
  <c r="CQ156" i="98"/>
  <c r="CQ153" i="98"/>
  <c r="CQ151" i="98"/>
  <c r="CQ149" i="98"/>
  <c r="CQ147" i="98"/>
  <c r="CQ145" i="98"/>
  <c r="CQ143" i="98"/>
  <c r="CQ169" i="98"/>
  <c r="CQ165" i="98"/>
  <c r="CQ161" i="98"/>
  <c r="CQ157" i="98"/>
  <c r="CQ152" i="98"/>
  <c r="CQ150" i="98"/>
  <c r="CQ148" i="98"/>
  <c r="CQ146" i="98"/>
  <c r="CQ144" i="98"/>
  <c r="CQ170" i="98"/>
  <c r="CQ166" i="98"/>
  <c r="CQ162" i="98"/>
  <c r="CQ158" i="98"/>
  <c r="CQ140" i="98"/>
  <c r="CQ141" i="98"/>
  <c r="CQ168" i="98"/>
  <c r="CQ164" i="98"/>
  <c r="CQ160" i="98"/>
  <c r="CQ142" i="98"/>
  <c r="Z401" i="98"/>
  <c r="AL376" i="98"/>
  <c r="Y376" i="98"/>
  <c r="CQ253" i="98"/>
  <c r="CQ250" i="98"/>
  <c r="CQ248" i="98"/>
  <c r="CQ246" i="98"/>
  <c r="CQ243" i="98"/>
  <c r="CQ240" i="98"/>
  <c r="CQ237" i="98"/>
  <c r="CQ236" i="98"/>
  <c r="CQ256" i="98"/>
  <c r="CQ255" i="98"/>
  <c r="CQ249" i="98"/>
  <c r="CQ247" i="98"/>
  <c r="CQ238" i="98"/>
  <c r="CQ251" i="98"/>
  <c r="CQ242" i="98"/>
  <c r="CQ239" i="98"/>
  <c r="CQ261" i="98"/>
  <c r="CQ259" i="98"/>
  <c r="CQ257" i="98"/>
  <c r="CQ245" i="98"/>
  <c r="CQ241" i="98"/>
  <c r="CQ234" i="98"/>
  <c r="CQ232" i="98"/>
  <c r="CQ262" i="98"/>
  <c r="CQ260" i="98"/>
  <c r="CQ258" i="98"/>
  <c r="CQ254" i="98"/>
  <c r="CQ252" i="98"/>
  <c r="CQ244" i="98"/>
  <c r="CQ235" i="98"/>
  <c r="CQ233" i="98"/>
  <c r="CZ27" i="98"/>
  <c r="AP345" i="98"/>
  <c r="AP336" i="98"/>
  <c r="AP340" i="98"/>
  <c r="Z344" i="98"/>
  <c r="AD344" i="98"/>
  <c r="AD335" i="98"/>
  <c r="AD345" i="98"/>
  <c r="AD341" i="98"/>
  <c r="AD343" i="98"/>
  <c r="AD342" i="98"/>
  <c r="AD336" i="98"/>
  <c r="AD339" i="98"/>
  <c r="AD337" i="98"/>
  <c r="AD334" i="98"/>
  <c r="AT332" i="98"/>
  <c r="AD340" i="98"/>
  <c r="AD338" i="98"/>
  <c r="AR345" i="98"/>
  <c r="AR343" i="98"/>
  <c r="AR340" i="98"/>
  <c r="AR339" i="98"/>
  <c r="AR338" i="98"/>
  <c r="AR337" i="98"/>
  <c r="AR336" i="98"/>
  <c r="AR334" i="98"/>
  <c r="AR342" i="98"/>
  <c r="AR344" i="98"/>
  <c r="AR335" i="98"/>
  <c r="AR341" i="98"/>
  <c r="Z399" i="98"/>
  <c r="Y374" i="98"/>
  <c r="CQ199" i="98"/>
  <c r="CQ195" i="98"/>
  <c r="CQ194" i="98"/>
  <c r="CQ192" i="98"/>
  <c r="CQ191" i="98"/>
  <c r="CQ190" i="98"/>
  <c r="CQ189" i="98"/>
  <c r="CQ188" i="98"/>
  <c r="CQ187" i="98"/>
  <c r="CQ186" i="98"/>
  <c r="CQ185" i="98"/>
  <c r="CQ184" i="98"/>
  <c r="CQ183" i="98"/>
  <c r="CQ182" i="98"/>
  <c r="CQ181" i="98"/>
  <c r="CQ180" i="98"/>
  <c r="CQ179" i="98"/>
  <c r="CQ176" i="98"/>
  <c r="CQ174" i="98"/>
  <c r="AL374" i="98"/>
  <c r="CQ200" i="98"/>
  <c r="CQ197" i="98"/>
  <c r="CQ193" i="98"/>
  <c r="CQ178" i="98"/>
  <c r="CQ177" i="98"/>
  <c r="CQ175" i="98"/>
  <c r="CQ198" i="98"/>
  <c r="CQ171" i="98"/>
  <c r="CQ196" i="98"/>
  <c r="CQ173" i="98"/>
  <c r="CQ172" i="98"/>
  <c r="Z403" i="98"/>
  <c r="AL378" i="98"/>
  <c r="Y378" i="98"/>
  <c r="CQ322" i="98"/>
  <c r="CQ307" i="98"/>
  <c r="CQ320" i="98"/>
  <c r="CQ321" i="98"/>
  <c r="CQ316" i="98"/>
  <c r="CQ314" i="98"/>
  <c r="CQ311" i="98"/>
  <c r="CQ305" i="98"/>
  <c r="CQ297" i="98"/>
  <c r="CQ294" i="98"/>
  <c r="CQ318" i="98"/>
  <c r="CQ315" i="98"/>
  <c r="CQ313" i="98"/>
  <c r="CQ309" i="98"/>
  <c r="CQ306" i="98"/>
  <c r="CQ304" i="98"/>
  <c r="CQ299" i="98"/>
  <c r="CQ296" i="98"/>
  <c r="CQ293" i="98"/>
  <c r="CQ300" i="98"/>
  <c r="CQ323" i="98"/>
  <c r="CQ298" i="98"/>
  <c r="CQ295" i="98"/>
  <c r="CQ312" i="98"/>
  <c r="CQ310" i="98"/>
  <c r="CQ308" i="98"/>
  <c r="CQ303" i="98"/>
  <c r="CQ302" i="98"/>
  <c r="CQ301" i="98"/>
  <c r="CQ319" i="98"/>
  <c r="CQ317" i="98"/>
  <c r="BO245" i="98"/>
  <c r="CZ245" i="98"/>
  <c r="BM367" i="98"/>
  <c r="BN367" i="98"/>
  <c r="BL368" i="98"/>
  <c r="BM31" i="98"/>
  <c r="BN31" i="98"/>
  <c r="BL32" i="98"/>
  <c r="BO186" i="98"/>
  <c r="CZ186" i="98"/>
  <c r="BM341" i="98"/>
  <c r="BN341" i="98"/>
  <c r="BL342" i="98"/>
  <c r="BO30" i="98"/>
  <c r="CZ30" i="98"/>
  <c r="Z340" i="98"/>
  <c r="Z337" i="98"/>
  <c r="AP343" i="98"/>
  <c r="AP337" i="98"/>
  <c r="AP341" i="98"/>
  <c r="Z345" i="98"/>
  <c r="BO93" i="98"/>
  <c r="CZ93" i="98"/>
  <c r="E60" i="73"/>
  <c r="E59" i="73"/>
  <c r="E58" i="73"/>
  <c r="E57" i="73"/>
  <c r="E56" i="73"/>
  <c r="E55" i="73"/>
  <c r="E54" i="73"/>
  <c r="E53" i="73"/>
  <c r="E52" i="73"/>
  <c r="E51" i="73"/>
  <c r="E50" i="73"/>
  <c r="E49" i="73"/>
  <c r="E48" i="73"/>
  <c r="E47" i="73"/>
  <c r="E46" i="73"/>
  <c r="E45" i="73"/>
  <c r="E44" i="73"/>
  <c r="E43" i="73"/>
  <c r="E42" i="73"/>
  <c r="E41" i="73"/>
  <c r="E40" i="73"/>
  <c r="E39" i="73"/>
  <c r="E38" i="73"/>
  <c r="E37" i="73"/>
  <c r="E36" i="73"/>
  <c r="E35" i="73"/>
  <c r="E34" i="73"/>
  <c r="E33" i="73"/>
  <c r="E32" i="73"/>
  <c r="E31" i="73"/>
  <c r="E30" i="73"/>
  <c r="E29" i="73"/>
  <c r="E28" i="73"/>
  <c r="E27" i="73"/>
  <c r="E26" i="73"/>
  <c r="E25" i="73"/>
  <c r="E24" i="73"/>
  <c r="E23" i="73"/>
  <c r="E22" i="73"/>
  <c r="E21" i="73"/>
  <c r="B60" i="73"/>
  <c r="B134" i="73"/>
  <c r="B59" i="73"/>
  <c r="B133" i="73"/>
  <c r="B58" i="73"/>
  <c r="B132" i="73"/>
  <c r="B57" i="73"/>
  <c r="B131" i="73"/>
  <c r="B56" i="73"/>
  <c r="B130" i="73"/>
  <c r="B55" i="73"/>
  <c r="B129" i="73"/>
  <c r="B54" i="73"/>
  <c r="B128" i="73"/>
  <c r="B53" i="73"/>
  <c r="B127" i="73"/>
  <c r="B52" i="73"/>
  <c r="B126" i="73"/>
  <c r="B51" i="73"/>
  <c r="B125" i="73"/>
  <c r="B50" i="73"/>
  <c r="B124" i="73"/>
  <c r="B49" i="73"/>
  <c r="B123" i="73"/>
  <c r="B48" i="73"/>
  <c r="B122" i="73"/>
  <c r="B47" i="73"/>
  <c r="B121" i="73"/>
  <c r="B46" i="73"/>
  <c r="B120" i="73"/>
  <c r="B45" i="73"/>
  <c r="B119" i="73"/>
  <c r="B44" i="73"/>
  <c r="B118" i="73"/>
  <c r="B43" i="73"/>
  <c r="B117" i="73"/>
  <c r="B42" i="73"/>
  <c r="B116" i="73"/>
  <c r="B41" i="73"/>
  <c r="B115" i="73"/>
  <c r="B40" i="73"/>
  <c r="B114" i="73"/>
  <c r="B39" i="73"/>
  <c r="B113" i="73"/>
  <c r="B38" i="73"/>
  <c r="B112" i="73"/>
  <c r="B37" i="73"/>
  <c r="B111" i="73"/>
  <c r="B36" i="73"/>
  <c r="B110" i="73"/>
  <c r="B35" i="73"/>
  <c r="B109" i="73"/>
  <c r="B34" i="73"/>
  <c r="B108" i="73"/>
  <c r="B33" i="73"/>
  <c r="B107" i="73"/>
  <c r="B32" i="73"/>
  <c r="B106" i="73"/>
  <c r="B31" i="73"/>
  <c r="B105" i="73"/>
  <c r="B30" i="73"/>
  <c r="B104" i="73"/>
  <c r="B29" i="73"/>
  <c r="B103" i="73"/>
  <c r="B28" i="73"/>
  <c r="B102" i="73"/>
  <c r="B27" i="73"/>
  <c r="B101" i="73"/>
  <c r="B26" i="73"/>
  <c r="B100" i="73"/>
  <c r="B25" i="73"/>
  <c r="B99" i="73"/>
  <c r="B24" i="73"/>
  <c r="B98" i="73"/>
  <c r="B23" i="73"/>
  <c r="B97" i="73"/>
  <c r="B22" i="73"/>
  <c r="B96" i="73"/>
  <c r="B21" i="73"/>
  <c r="B95" i="73"/>
  <c r="E237" i="70"/>
  <c r="E236" i="70"/>
  <c r="E235" i="70"/>
  <c r="E234" i="70"/>
  <c r="E233" i="70"/>
  <c r="E232" i="70"/>
  <c r="E231" i="70"/>
  <c r="E230" i="70"/>
  <c r="E229" i="70"/>
  <c r="E228" i="70"/>
  <c r="E227" i="70"/>
  <c r="E226" i="70"/>
  <c r="E225" i="70"/>
  <c r="E224" i="70"/>
  <c r="E223" i="70"/>
  <c r="E222" i="70"/>
  <c r="E221" i="70"/>
  <c r="E220" i="70"/>
  <c r="E219" i="70"/>
  <c r="E218" i="70"/>
  <c r="E217" i="70"/>
  <c r="E216" i="70"/>
  <c r="E215" i="70"/>
  <c r="E214" i="70"/>
  <c r="E213" i="70"/>
  <c r="E212" i="70"/>
  <c r="E211" i="70"/>
  <c r="E210" i="70"/>
  <c r="E209" i="70"/>
  <c r="E208" i="70"/>
  <c r="E207" i="70"/>
  <c r="E206" i="70"/>
  <c r="E205" i="70"/>
  <c r="E204" i="70"/>
  <c r="E203" i="70"/>
  <c r="E202" i="70"/>
  <c r="E201" i="70"/>
  <c r="B174" i="70"/>
  <c r="B173" i="70"/>
  <c r="B172" i="70"/>
  <c r="B171" i="70"/>
  <c r="B170" i="70"/>
  <c r="B169" i="70"/>
  <c r="B168" i="70"/>
  <c r="B167" i="70"/>
  <c r="B166" i="70"/>
  <c r="B165" i="70"/>
  <c r="B164" i="70"/>
  <c r="B163" i="70"/>
  <c r="B162" i="70"/>
  <c r="B161" i="70"/>
  <c r="B160" i="70"/>
  <c r="B159" i="70"/>
  <c r="B158" i="70"/>
  <c r="B157" i="70"/>
  <c r="B156" i="70"/>
  <c r="B155" i="70"/>
  <c r="B154" i="70"/>
  <c r="B153" i="70"/>
  <c r="B152" i="70"/>
  <c r="B151" i="70"/>
  <c r="B150" i="70"/>
  <c r="B149" i="70"/>
  <c r="B148" i="70"/>
  <c r="B147" i="70"/>
  <c r="B146" i="70"/>
  <c r="B145" i="70"/>
  <c r="B144" i="70"/>
  <c r="B143" i="70"/>
  <c r="B142" i="70"/>
  <c r="B141" i="70"/>
  <c r="B140" i="70"/>
  <c r="B139" i="70"/>
  <c r="B138" i="70"/>
  <c r="BO305" i="98"/>
  <c r="CZ305" i="98"/>
  <c r="BO306" i="98"/>
  <c r="CZ306" i="98"/>
  <c r="BO307" i="98"/>
  <c r="CZ307" i="98"/>
  <c r="BM308" i="98"/>
  <c r="BN308" i="98"/>
  <c r="BL309" i="98"/>
  <c r="X398" i="98"/>
  <c r="BM62" i="98"/>
  <c r="BO62" i="98"/>
  <c r="CZ62" i="98"/>
  <c r="CK73" i="98"/>
  <c r="CK159" i="98"/>
  <c r="CK51" i="98"/>
  <c r="CK153" i="98"/>
  <c r="CK161" i="98"/>
  <c r="CK66" i="98"/>
  <c r="CK152" i="98"/>
  <c r="CK156" i="98"/>
  <c r="CK144" i="98"/>
  <c r="CK145" i="98"/>
  <c r="CK170" i="98"/>
  <c r="CK140" i="98"/>
  <c r="CK147" i="98"/>
  <c r="CK146" i="98"/>
  <c r="CK155" i="98"/>
  <c r="CK74" i="98"/>
  <c r="CK64" i="98"/>
  <c r="CK167" i="98"/>
  <c r="CK154" i="98"/>
  <c r="CK169" i="98"/>
  <c r="CK149" i="98"/>
  <c r="CK164" i="98"/>
  <c r="CK148" i="98"/>
  <c r="CK162" i="98"/>
  <c r="AJ373" i="98"/>
  <c r="CK163" i="98"/>
  <c r="CK165" i="98"/>
  <c r="CK160" i="98"/>
  <c r="CK158" i="98"/>
  <c r="CK71" i="98"/>
  <c r="CK142" i="98"/>
  <c r="CK141" i="98"/>
  <c r="CK157" i="98"/>
  <c r="CK143" i="98"/>
  <c r="CK151" i="98"/>
  <c r="CK168" i="98"/>
  <c r="CK150" i="98"/>
  <c r="CK166" i="98"/>
  <c r="BO367" i="98"/>
  <c r="CZ367" i="98"/>
  <c r="CK61" i="98"/>
  <c r="X395" i="98"/>
  <c r="BO187" i="98"/>
  <c r="CZ187" i="98"/>
  <c r="BM64" i="98"/>
  <c r="BN64" i="98"/>
  <c r="BL65" i="98"/>
  <c r="CK58" i="98"/>
  <c r="CK76" i="98"/>
  <c r="CK75" i="98"/>
  <c r="CK62" i="98"/>
  <c r="CK53" i="98"/>
  <c r="CK52" i="98"/>
  <c r="CK77" i="98"/>
  <c r="CK57" i="98"/>
  <c r="CK65" i="98"/>
  <c r="CK78" i="98"/>
  <c r="CK56" i="98"/>
  <c r="CK68" i="98"/>
  <c r="CK55" i="98"/>
  <c r="CK54" i="98"/>
  <c r="AJ370" i="98"/>
  <c r="BO94" i="98"/>
  <c r="CZ94" i="98"/>
  <c r="BM63" i="98"/>
  <c r="BN63" i="98"/>
  <c r="CK69" i="98"/>
  <c r="CK70" i="98"/>
  <c r="CK67" i="98"/>
  <c r="CK60" i="98"/>
  <c r="CK72" i="98"/>
  <c r="CK59" i="98"/>
  <c r="CK63" i="98"/>
  <c r="BO216" i="98"/>
  <c r="CZ216" i="98"/>
  <c r="BM368" i="98"/>
  <c r="BN368" i="98"/>
  <c r="BL369" i="98"/>
  <c r="AB398" i="98"/>
  <c r="AA373" i="98"/>
  <c r="AN373" i="98"/>
  <c r="CW155" i="98"/>
  <c r="CW168" i="98"/>
  <c r="CW164" i="98"/>
  <c r="CW160" i="98"/>
  <c r="CW154" i="98"/>
  <c r="CW152" i="98"/>
  <c r="CW150" i="98"/>
  <c r="CW148" i="98"/>
  <c r="CW146" i="98"/>
  <c r="CW144" i="98"/>
  <c r="CW170" i="98"/>
  <c r="CW166" i="98"/>
  <c r="CW162" i="98"/>
  <c r="CW158" i="98"/>
  <c r="CW153" i="98"/>
  <c r="CW151" i="98"/>
  <c r="CW149" i="98"/>
  <c r="CW147" i="98"/>
  <c r="CW145" i="98"/>
  <c r="CW143" i="98"/>
  <c r="CW142" i="98"/>
  <c r="CW169" i="98"/>
  <c r="CW165" i="98"/>
  <c r="CW161" i="98"/>
  <c r="CW157" i="98"/>
  <c r="CW156" i="98"/>
  <c r="CW140" i="98"/>
  <c r="CW167" i="98"/>
  <c r="CW163" i="98"/>
  <c r="CW159" i="98"/>
  <c r="CW141" i="98"/>
  <c r="AA372" i="98"/>
  <c r="AN372" i="98"/>
  <c r="AB397" i="98"/>
  <c r="CW134" i="98"/>
  <c r="CW132" i="98"/>
  <c r="CW130" i="98"/>
  <c r="CW128" i="98"/>
  <c r="CW126" i="98"/>
  <c r="CW124" i="98"/>
  <c r="CW122" i="98"/>
  <c r="CW120" i="98"/>
  <c r="CW118" i="98"/>
  <c r="CW116" i="98"/>
  <c r="CW114" i="98"/>
  <c r="CW112" i="98"/>
  <c r="CW110" i="98"/>
  <c r="CW138" i="98"/>
  <c r="CW137" i="98"/>
  <c r="CW136" i="98"/>
  <c r="CW135" i="98"/>
  <c r="CW133" i="98"/>
  <c r="CW131" i="98"/>
  <c r="CW129" i="98"/>
  <c r="CW127" i="98"/>
  <c r="CW125" i="98"/>
  <c r="CW123" i="98"/>
  <c r="CW121" i="98"/>
  <c r="CW119" i="98"/>
  <c r="CW117" i="98"/>
  <c r="CW115" i="98"/>
  <c r="CW113" i="98"/>
  <c r="CW111" i="98"/>
  <c r="CW139" i="98"/>
  <c r="AB403" i="98"/>
  <c r="AN378" i="98"/>
  <c r="AA378" i="98"/>
  <c r="CW320" i="98"/>
  <c r="CW322" i="98"/>
  <c r="CW307" i="98"/>
  <c r="CW323" i="98"/>
  <c r="CW317" i="98"/>
  <c r="CW312" i="98"/>
  <c r="CW308" i="98"/>
  <c r="CW306" i="98"/>
  <c r="CW304" i="98"/>
  <c r="CW299" i="98"/>
  <c r="CW296" i="98"/>
  <c r="CW293" i="98"/>
  <c r="CW319" i="98"/>
  <c r="CW310" i="98"/>
  <c r="CW305" i="98"/>
  <c r="CW297" i="98"/>
  <c r="CW294" i="98"/>
  <c r="CW303" i="98"/>
  <c r="CW301" i="98"/>
  <c r="CW302" i="98"/>
  <c r="CW321" i="98"/>
  <c r="CW318" i="98"/>
  <c r="CW311" i="98"/>
  <c r="CW316" i="98"/>
  <c r="CW315" i="98"/>
  <c r="CW314" i="98"/>
  <c r="CW313" i="98"/>
  <c r="CW309" i="98"/>
  <c r="CW295" i="98"/>
  <c r="CW298" i="98"/>
  <c r="CW300" i="98"/>
  <c r="AB404" i="98"/>
  <c r="AN379" i="98"/>
  <c r="AA379" i="98"/>
  <c r="CW353" i="98"/>
  <c r="CW352" i="98"/>
  <c r="CW351" i="98"/>
  <c r="CW350" i="98"/>
  <c r="CW349" i="98"/>
  <c r="CW346" i="98"/>
  <c r="CW345" i="98"/>
  <c r="CW348" i="98"/>
  <c r="CW343" i="98"/>
  <c r="CW342" i="98"/>
  <c r="CW340" i="98"/>
  <c r="CW339" i="98"/>
  <c r="CW338" i="98"/>
  <c r="CW337" i="98"/>
  <c r="CW336" i="98"/>
  <c r="CW334" i="98"/>
  <c r="CW332" i="98"/>
  <c r="CW331" i="98"/>
  <c r="CW329" i="98"/>
  <c r="CW335" i="98"/>
  <c r="CW347" i="98"/>
  <c r="CW327" i="98"/>
  <c r="CW325" i="98"/>
  <c r="CW326" i="98"/>
  <c r="CW324" i="98"/>
  <c r="CW341" i="98"/>
  <c r="CW333" i="98"/>
  <c r="CW328" i="98"/>
  <c r="CW330" i="98"/>
  <c r="CW344" i="98"/>
  <c r="BM95" i="98"/>
  <c r="BN95" i="98"/>
  <c r="BL96" i="98"/>
  <c r="X396" i="98"/>
  <c r="W371" i="98"/>
  <c r="AJ371" i="98"/>
  <c r="CK101" i="98"/>
  <c r="CK99" i="98"/>
  <c r="CK96" i="98"/>
  <c r="CK95" i="98"/>
  <c r="CK90" i="98"/>
  <c r="CK88" i="98"/>
  <c r="CK109" i="98"/>
  <c r="CK108" i="98"/>
  <c r="CK107" i="98"/>
  <c r="CK106" i="98"/>
  <c r="CK105" i="98"/>
  <c r="CK103" i="98"/>
  <c r="CK102" i="98"/>
  <c r="CK100" i="98"/>
  <c r="CK98" i="98"/>
  <c r="CK94" i="98"/>
  <c r="CK91" i="98"/>
  <c r="CK89" i="98"/>
  <c r="CK86" i="98"/>
  <c r="CK97" i="98"/>
  <c r="CK84" i="98"/>
  <c r="CK80" i="98"/>
  <c r="CK93" i="98"/>
  <c r="CK87" i="98"/>
  <c r="CK83" i="98"/>
  <c r="CK79" i="98"/>
  <c r="CK92" i="98"/>
  <c r="CK82" i="98"/>
  <c r="CK104" i="98"/>
  <c r="CK85" i="98"/>
  <c r="CK81" i="98"/>
  <c r="AA395" i="98"/>
  <c r="AM370" i="98"/>
  <c r="Z370" i="98"/>
  <c r="CT78" i="98"/>
  <c r="CT74" i="98"/>
  <c r="CT72" i="98"/>
  <c r="CT70" i="98"/>
  <c r="CT68" i="98"/>
  <c r="CT65" i="98"/>
  <c r="CT60" i="98"/>
  <c r="CT57" i="98"/>
  <c r="CT76" i="98"/>
  <c r="CT75" i="98"/>
  <c r="CT73" i="98"/>
  <c r="CT71" i="98"/>
  <c r="CT69" i="98"/>
  <c r="CT67" i="98"/>
  <c r="CT62" i="98"/>
  <c r="CT61" i="98"/>
  <c r="CT58" i="98"/>
  <c r="CT56" i="98"/>
  <c r="CT64" i="98"/>
  <c r="CT63" i="98"/>
  <c r="CT59" i="98"/>
  <c r="CT55" i="98"/>
  <c r="CT53" i="98"/>
  <c r="CT51" i="98"/>
  <c r="CT77" i="98"/>
  <c r="CT66" i="98"/>
  <c r="CT54" i="98"/>
  <c r="CT52" i="98"/>
  <c r="AA396" i="98"/>
  <c r="AM371" i="98"/>
  <c r="Z371" i="98"/>
  <c r="CT97" i="98"/>
  <c r="CT93" i="98"/>
  <c r="CT84" i="98"/>
  <c r="CT82" i="98"/>
  <c r="CT80" i="98"/>
  <c r="CT104" i="98"/>
  <c r="CT92" i="98"/>
  <c r="CT87" i="98"/>
  <c r="CT85" i="98"/>
  <c r="CT83" i="98"/>
  <c r="CT81" i="98"/>
  <c r="CT79" i="98"/>
  <c r="CT106" i="98"/>
  <c r="CT95" i="98"/>
  <c r="CT91" i="98"/>
  <c r="CT89" i="98"/>
  <c r="CT107" i="98"/>
  <c r="CT103" i="98"/>
  <c r="CT102" i="98"/>
  <c r="CT100" i="98"/>
  <c r="CT98" i="98"/>
  <c r="CT96" i="98"/>
  <c r="CT108" i="98"/>
  <c r="CT94" i="98"/>
  <c r="CT90" i="98"/>
  <c r="CT88" i="98"/>
  <c r="CT86" i="98"/>
  <c r="CT109" i="98"/>
  <c r="CT105" i="98"/>
  <c r="CT101" i="98"/>
  <c r="CT99" i="98"/>
  <c r="AA400" i="98"/>
  <c r="AM375" i="98"/>
  <c r="Z375" i="98"/>
  <c r="CT231" i="98"/>
  <c r="CT216" i="98"/>
  <c r="CT212" i="98"/>
  <c r="CT230" i="98"/>
  <c r="CT220" i="98"/>
  <c r="CT217" i="98"/>
  <c r="CT214" i="98"/>
  <c r="CT210" i="98"/>
  <c r="CT207" i="98"/>
  <c r="CT208" i="98"/>
  <c r="CT218" i="98"/>
  <c r="CT223" i="98"/>
  <c r="CT221" i="98"/>
  <c r="CT229" i="98"/>
  <c r="CT228" i="98"/>
  <c r="CT227" i="98"/>
  <c r="CT226" i="98"/>
  <c r="CT224" i="98"/>
  <c r="CT222" i="98"/>
  <c r="CT219" i="98"/>
  <c r="CT206" i="98"/>
  <c r="CT225" i="98"/>
  <c r="CT205" i="98"/>
  <c r="CT204" i="98"/>
  <c r="CT202" i="98"/>
  <c r="CT203" i="98"/>
  <c r="CT215" i="98"/>
  <c r="CT213" i="98"/>
  <c r="CT211" i="98"/>
  <c r="CT209" i="98"/>
  <c r="CT201" i="98"/>
  <c r="AA403" i="98"/>
  <c r="Z378" i="98"/>
  <c r="AM378" i="98"/>
  <c r="CT321" i="98"/>
  <c r="CT318" i="98"/>
  <c r="CT316" i="98"/>
  <c r="CT315" i="98"/>
  <c r="CT314" i="98"/>
  <c r="CT313" i="98"/>
  <c r="CT311" i="98"/>
  <c r="CT309" i="98"/>
  <c r="CT323" i="98"/>
  <c r="CT319" i="98"/>
  <c r="CT317" i="98"/>
  <c r="CT312" i="98"/>
  <c r="CT310" i="98"/>
  <c r="CT308" i="98"/>
  <c r="CT322" i="98"/>
  <c r="CT307" i="98"/>
  <c r="CT300" i="98"/>
  <c r="CT298" i="98"/>
  <c r="CT295" i="98"/>
  <c r="CT303" i="98"/>
  <c r="CT302" i="98"/>
  <c r="CT301" i="98"/>
  <c r="CT320" i="98"/>
  <c r="CT297" i="98"/>
  <c r="CT294" i="98"/>
  <c r="CT306" i="98"/>
  <c r="CT304" i="98"/>
  <c r="CT293" i="98"/>
  <c r="CT305" i="98"/>
  <c r="CT299" i="98"/>
  <c r="CT296" i="98"/>
  <c r="AP346" i="98"/>
  <c r="D344" i="98"/>
  <c r="G292" i="98"/>
  <c r="G294" i="98"/>
  <c r="Z406" i="98"/>
  <c r="BM342" i="98"/>
  <c r="BN342" i="98"/>
  <c r="BL343" i="98"/>
  <c r="BM32" i="98"/>
  <c r="BN32" i="98"/>
  <c r="BL33" i="98"/>
  <c r="AA375" i="98"/>
  <c r="AB400" i="98"/>
  <c r="AN375" i="98"/>
  <c r="CW229" i="98"/>
  <c r="CW228" i="98"/>
  <c r="CW227" i="98"/>
  <c r="CW226" i="98"/>
  <c r="CW224" i="98"/>
  <c r="CW222" i="98"/>
  <c r="CW213" i="98"/>
  <c r="CW209" i="98"/>
  <c r="CW225" i="98"/>
  <c r="CW223" i="98"/>
  <c r="CW221" i="98"/>
  <c r="CW219" i="98"/>
  <c r="CW218" i="98"/>
  <c r="CW215" i="98"/>
  <c r="CW211" i="98"/>
  <c r="CW208" i="98"/>
  <c r="CW217" i="98"/>
  <c r="CW206" i="98"/>
  <c r="CW205" i="98"/>
  <c r="CW203" i="98"/>
  <c r="CW230" i="98"/>
  <c r="CW207" i="98"/>
  <c r="CW204" i="98"/>
  <c r="CW202" i="98"/>
  <c r="CW201" i="98"/>
  <c r="CW231" i="98"/>
  <c r="CW216" i="98"/>
  <c r="CW214" i="98"/>
  <c r="CW212" i="98"/>
  <c r="CW210" i="98"/>
  <c r="CW220" i="98"/>
  <c r="AB399" i="98"/>
  <c r="AA374" i="98"/>
  <c r="AN374" i="98"/>
  <c r="CW200" i="98"/>
  <c r="CW197" i="98"/>
  <c r="CW193" i="98"/>
  <c r="CW178" i="98"/>
  <c r="CW177" i="98"/>
  <c r="CW175" i="98"/>
  <c r="CW199" i="98"/>
  <c r="CW195" i="98"/>
  <c r="CW194" i="98"/>
  <c r="CW192" i="98"/>
  <c r="CW191" i="98"/>
  <c r="CW190" i="98"/>
  <c r="CW189" i="98"/>
  <c r="CW188" i="98"/>
  <c r="CW187" i="98"/>
  <c r="CW186" i="98"/>
  <c r="CW185" i="98"/>
  <c r="CW184" i="98"/>
  <c r="CW183" i="98"/>
  <c r="CW182" i="98"/>
  <c r="CW181" i="98"/>
  <c r="CW180" i="98"/>
  <c r="CW179" i="98"/>
  <c r="CW176" i="98"/>
  <c r="CW174" i="98"/>
  <c r="CW172" i="98"/>
  <c r="CW173" i="98"/>
  <c r="CW198" i="98"/>
  <c r="CW196" i="98"/>
  <c r="CW171" i="98"/>
  <c r="AB401" i="98"/>
  <c r="AN376" i="98"/>
  <c r="AA376" i="98"/>
  <c r="CW256" i="98"/>
  <c r="CW255" i="98"/>
  <c r="CW249" i="98"/>
  <c r="CW247" i="98"/>
  <c r="CW238" i="98"/>
  <c r="CW253" i="98"/>
  <c r="CW250" i="98"/>
  <c r="CW248" i="98"/>
  <c r="CW246" i="98"/>
  <c r="CW243" i="98"/>
  <c r="CW240" i="98"/>
  <c r="CW237" i="98"/>
  <c r="CW236" i="98"/>
  <c r="CW262" i="98"/>
  <c r="CW260" i="98"/>
  <c r="CW258" i="98"/>
  <c r="CW245" i="98"/>
  <c r="CW234" i="98"/>
  <c r="CW232" i="98"/>
  <c r="CW261" i="98"/>
  <c r="CW259" i="98"/>
  <c r="CW257" i="98"/>
  <c r="CW254" i="98"/>
  <c r="CW252" i="98"/>
  <c r="CW244" i="98"/>
  <c r="CW241" i="98"/>
  <c r="CW235" i="98"/>
  <c r="CW233" i="98"/>
  <c r="CW242" i="98"/>
  <c r="CW251" i="98"/>
  <c r="CW239" i="98"/>
  <c r="BO246" i="98"/>
  <c r="CZ246" i="98"/>
  <c r="AA401" i="98"/>
  <c r="Z376" i="98"/>
  <c r="AM376" i="98"/>
  <c r="CT262" i="98"/>
  <c r="CT261" i="98"/>
  <c r="CT260" i="98"/>
  <c r="CT259" i="98"/>
  <c r="CT258" i="98"/>
  <c r="CT257" i="98"/>
  <c r="CT252" i="98"/>
  <c r="CT245" i="98"/>
  <c r="CT244" i="98"/>
  <c r="CT242" i="98"/>
  <c r="CT241" i="98"/>
  <c r="CT254" i="98"/>
  <c r="CT251" i="98"/>
  <c r="CT239" i="98"/>
  <c r="CT235" i="98"/>
  <c r="CT234" i="98"/>
  <c r="CT233" i="98"/>
  <c r="CT232" i="98"/>
  <c r="CT240" i="98"/>
  <c r="CT236" i="98"/>
  <c r="CT256" i="98"/>
  <c r="CT243" i="98"/>
  <c r="CT238" i="98"/>
  <c r="CT250" i="98"/>
  <c r="CT248" i="98"/>
  <c r="CT246" i="98"/>
  <c r="CT237" i="98"/>
  <c r="CT255" i="98"/>
  <c r="CT253" i="98"/>
  <c r="CT249" i="98"/>
  <c r="CT247" i="98"/>
  <c r="AA397" i="98"/>
  <c r="AM372" i="98"/>
  <c r="Z372" i="98"/>
  <c r="CT139" i="98"/>
  <c r="CT134" i="98"/>
  <c r="CT132" i="98"/>
  <c r="CT130" i="98"/>
  <c r="CT128" i="98"/>
  <c r="CT126" i="98"/>
  <c r="CT124" i="98"/>
  <c r="CT122" i="98"/>
  <c r="CT120" i="98"/>
  <c r="CT118" i="98"/>
  <c r="CT116" i="98"/>
  <c r="CT114" i="98"/>
  <c r="CT112" i="98"/>
  <c r="CT110" i="98"/>
  <c r="CT138" i="98"/>
  <c r="CT137" i="98"/>
  <c r="CT136" i="98"/>
  <c r="CT135" i="98"/>
  <c r="CT133" i="98"/>
  <c r="CT131" i="98"/>
  <c r="CT129" i="98"/>
  <c r="CT127" i="98"/>
  <c r="CT125" i="98"/>
  <c r="CT123" i="98"/>
  <c r="CT121" i="98"/>
  <c r="CT119" i="98"/>
  <c r="CT117" i="98"/>
  <c r="CT115" i="98"/>
  <c r="CT113" i="98"/>
  <c r="CT111" i="98"/>
  <c r="Z377" i="98"/>
  <c r="AA402" i="98"/>
  <c r="AM377" i="98"/>
  <c r="CT292" i="98"/>
  <c r="CT289" i="98"/>
  <c r="CT284" i="98"/>
  <c r="CT290" i="98"/>
  <c r="CT288" i="98"/>
  <c r="CT287" i="98"/>
  <c r="CT286" i="98"/>
  <c r="CT282" i="98"/>
  <c r="CT291" i="98"/>
  <c r="CT278" i="98"/>
  <c r="CT276" i="98"/>
  <c r="CT267" i="98"/>
  <c r="CT266" i="98"/>
  <c r="CT265" i="98"/>
  <c r="CT264" i="98"/>
  <c r="CT263" i="98"/>
  <c r="CT285" i="98"/>
  <c r="CT279" i="98"/>
  <c r="CT277" i="98"/>
  <c r="CT275" i="98"/>
  <c r="CT274" i="98"/>
  <c r="CT268" i="98"/>
  <c r="CT270" i="98"/>
  <c r="CT281" i="98"/>
  <c r="CT272" i="98"/>
  <c r="CT283" i="98"/>
  <c r="CT280" i="98"/>
  <c r="CT273" i="98"/>
  <c r="CT271" i="98"/>
  <c r="CT269" i="98"/>
  <c r="BO274" i="98"/>
  <c r="CZ274" i="98"/>
  <c r="BO125" i="98"/>
  <c r="CZ125" i="98"/>
  <c r="CQ386" i="98"/>
  <c r="D383" i="98"/>
  <c r="AH408" i="98"/>
  <c r="BM154" i="98"/>
  <c r="BN154" i="98"/>
  <c r="BL155" i="98"/>
  <c r="X405" i="98"/>
  <c r="CK383" i="98"/>
  <c r="CK384" i="98"/>
  <c r="CK382" i="98"/>
  <c r="CK381" i="98"/>
  <c r="AJ380" i="98"/>
  <c r="W380" i="98"/>
  <c r="CK378" i="98"/>
  <c r="CK380" i="98"/>
  <c r="CK376" i="98"/>
  <c r="CK374" i="98"/>
  <c r="CK373" i="98"/>
  <c r="CK372" i="98"/>
  <c r="CK371" i="98"/>
  <c r="CK365" i="98"/>
  <c r="CK363" i="98"/>
  <c r="CK362" i="98"/>
  <c r="CK361" i="98"/>
  <c r="CK360" i="98"/>
  <c r="CK359" i="98"/>
  <c r="CK358" i="98"/>
  <c r="CK357" i="98"/>
  <c r="CK356" i="98"/>
  <c r="CK355" i="98"/>
  <c r="CK354" i="98"/>
  <c r="CK375" i="98"/>
  <c r="CK370" i="98"/>
  <c r="CK369" i="98"/>
  <c r="CK368" i="98"/>
  <c r="CK366" i="98"/>
  <c r="CK364" i="98"/>
  <c r="CK379" i="98"/>
  <c r="CK377" i="98"/>
  <c r="CK367" i="98"/>
  <c r="X397" i="98"/>
  <c r="W372" i="98"/>
  <c r="AJ372" i="98"/>
  <c r="CK134" i="98"/>
  <c r="CK132" i="98"/>
  <c r="CK130" i="98"/>
  <c r="CK128" i="98"/>
  <c r="CK126" i="98"/>
  <c r="CK124" i="98"/>
  <c r="CK122" i="98"/>
  <c r="CK120" i="98"/>
  <c r="CK118" i="98"/>
  <c r="CK116" i="98"/>
  <c r="CK114" i="98"/>
  <c r="CK112" i="98"/>
  <c r="CK110" i="98"/>
  <c r="CK138" i="98"/>
  <c r="CK137" i="98"/>
  <c r="CK136" i="98"/>
  <c r="CK135" i="98"/>
  <c r="CK133" i="98"/>
  <c r="CK131" i="98"/>
  <c r="CK129" i="98"/>
  <c r="CK127" i="98"/>
  <c r="CK125" i="98"/>
  <c r="CK123" i="98"/>
  <c r="CK121" i="98"/>
  <c r="CK119" i="98"/>
  <c r="CK117" i="98"/>
  <c r="CK115" i="98"/>
  <c r="CK113" i="98"/>
  <c r="CK111" i="98"/>
  <c r="CK139" i="98"/>
  <c r="AT343" i="98"/>
  <c r="AT345" i="98"/>
  <c r="AT344" i="98"/>
  <c r="AT342" i="98"/>
  <c r="AT340" i="98"/>
  <c r="AT339" i="98"/>
  <c r="AT338" i="98"/>
  <c r="AT337" i="98"/>
  <c r="AT336" i="98"/>
  <c r="AT334" i="98"/>
  <c r="AT341" i="98"/>
  <c r="AT335" i="98"/>
  <c r="AB396" i="98"/>
  <c r="AA371" i="98"/>
  <c r="AN371" i="98"/>
  <c r="CW101" i="98"/>
  <c r="CW99" i="98"/>
  <c r="CW96" i="98"/>
  <c r="CW95" i="98"/>
  <c r="CW90" i="98"/>
  <c r="CW88" i="98"/>
  <c r="CW109" i="98"/>
  <c r="CW108" i="98"/>
  <c r="CW107" i="98"/>
  <c r="CW106" i="98"/>
  <c r="CW105" i="98"/>
  <c r="CW103" i="98"/>
  <c r="CW102" i="98"/>
  <c r="CW100" i="98"/>
  <c r="CW98" i="98"/>
  <c r="CW94" i="98"/>
  <c r="CW91" i="98"/>
  <c r="CW89" i="98"/>
  <c r="CW86" i="98"/>
  <c r="CW92" i="98"/>
  <c r="CW82" i="98"/>
  <c r="CW104" i="98"/>
  <c r="CW85" i="98"/>
  <c r="CW81" i="98"/>
  <c r="CW97" i="98"/>
  <c r="CW84" i="98"/>
  <c r="CW80" i="98"/>
  <c r="CW93" i="98"/>
  <c r="CW87" i="98"/>
  <c r="CW83" i="98"/>
  <c r="CW79" i="98"/>
  <c r="AB405" i="98"/>
  <c r="CW384" i="98"/>
  <c r="CW383" i="98"/>
  <c r="CW381" i="98"/>
  <c r="AN380" i="98"/>
  <c r="CW382" i="98"/>
  <c r="CW380" i="98"/>
  <c r="CW376" i="98"/>
  <c r="AA380" i="98"/>
  <c r="CW378" i="98"/>
  <c r="CW374" i="98"/>
  <c r="CW373" i="98"/>
  <c r="CW372" i="98"/>
  <c r="CW371" i="98"/>
  <c r="CW377" i="98"/>
  <c r="CW365" i="98"/>
  <c r="CW363" i="98"/>
  <c r="CW362" i="98"/>
  <c r="CW361" i="98"/>
  <c r="CW360" i="98"/>
  <c r="CW359" i="98"/>
  <c r="CW358" i="98"/>
  <c r="CW357" i="98"/>
  <c r="CW356" i="98"/>
  <c r="CW355" i="98"/>
  <c r="CW354" i="98"/>
  <c r="CW379" i="98"/>
  <c r="CW375" i="98"/>
  <c r="CW370" i="98"/>
  <c r="CW369" i="98"/>
  <c r="CW368" i="98"/>
  <c r="CW366" i="98"/>
  <c r="CW364" i="98"/>
  <c r="CW367" i="98"/>
  <c r="X401" i="98"/>
  <c r="AJ376" i="98"/>
  <c r="W376" i="98"/>
  <c r="CK256" i="98"/>
  <c r="CK255" i="98"/>
  <c r="CK249" i="98"/>
  <c r="CK247" i="98"/>
  <c r="CK238" i="98"/>
  <c r="CK253" i="98"/>
  <c r="CK250" i="98"/>
  <c r="CK248" i="98"/>
  <c r="CK246" i="98"/>
  <c r="CK243" i="98"/>
  <c r="CK240" i="98"/>
  <c r="CK237" i="98"/>
  <c r="CK236" i="98"/>
  <c r="CK261" i="98"/>
  <c r="CK259" i="98"/>
  <c r="CK257" i="98"/>
  <c r="CK254" i="98"/>
  <c r="CK252" i="98"/>
  <c r="CK244" i="98"/>
  <c r="CK241" i="98"/>
  <c r="CK235" i="98"/>
  <c r="CK233" i="98"/>
  <c r="CK262" i="98"/>
  <c r="CK260" i="98"/>
  <c r="CK258" i="98"/>
  <c r="CK245" i="98"/>
  <c r="CK234" i="98"/>
  <c r="CK232" i="98"/>
  <c r="CK251" i="98"/>
  <c r="CK239" i="98"/>
  <c r="CK242" i="98"/>
  <c r="BM188" i="98"/>
  <c r="BN188" i="98"/>
  <c r="BL189" i="98"/>
  <c r="AS344" i="98"/>
  <c r="AS343" i="98"/>
  <c r="AS341" i="98"/>
  <c r="AS335" i="98"/>
  <c r="AS340" i="98"/>
  <c r="AS339" i="98"/>
  <c r="AS338" i="98"/>
  <c r="AS337" i="98"/>
  <c r="AS334" i="98"/>
  <c r="AS342" i="98"/>
  <c r="AS345" i="98"/>
  <c r="AS336" i="98"/>
  <c r="AA398" i="98"/>
  <c r="AM373" i="98"/>
  <c r="Z373" i="98"/>
  <c r="CT169" i="98"/>
  <c r="CT167" i="98"/>
  <c r="CT165" i="98"/>
  <c r="CT163" i="98"/>
  <c r="CT161" i="98"/>
  <c r="CT159" i="98"/>
  <c r="CT157" i="98"/>
  <c r="CT156" i="98"/>
  <c r="CT170" i="98"/>
  <c r="CT168" i="98"/>
  <c r="CT166" i="98"/>
  <c r="CT164" i="98"/>
  <c r="CT162" i="98"/>
  <c r="CT160" i="98"/>
  <c r="CT158" i="98"/>
  <c r="CT142" i="98"/>
  <c r="CT141" i="98"/>
  <c r="CT140" i="98"/>
  <c r="CT154" i="98"/>
  <c r="CT155" i="98"/>
  <c r="CT153" i="98"/>
  <c r="CT152" i="98"/>
  <c r="CT151" i="98"/>
  <c r="CT150" i="98"/>
  <c r="CT149" i="98"/>
  <c r="CT148" i="98"/>
  <c r="CT147" i="98"/>
  <c r="CT146" i="98"/>
  <c r="CT145" i="98"/>
  <c r="CT144" i="98"/>
  <c r="CT143" i="98"/>
  <c r="AA404" i="98"/>
  <c r="Z379" i="98"/>
  <c r="AM379" i="98"/>
  <c r="CT342" i="98"/>
  <c r="CT347" i="98"/>
  <c r="CT344" i="98"/>
  <c r="CT353" i="98"/>
  <c r="CT341" i="98"/>
  <c r="CT333" i="98"/>
  <c r="CT330" i="98"/>
  <c r="CT327" i="98"/>
  <c r="CT324" i="98"/>
  <c r="CT351" i="98"/>
  <c r="CT346" i="98"/>
  <c r="CT345" i="98"/>
  <c r="CT335" i="98"/>
  <c r="CT328" i="98"/>
  <c r="CT326" i="98"/>
  <c r="CT325" i="98"/>
  <c r="CT336" i="98"/>
  <c r="CT349" i="98"/>
  <c r="CT340" i="98"/>
  <c r="CT334" i="98"/>
  <c r="CT329" i="98"/>
  <c r="CT343" i="98"/>
  <c r="CT338" i="98"/>
  <c r="CT332" i="98"/>
  <c r="CT339" i="98"/>
  <c r="CT337" i="98"/>
  <c r="CT352" i="98"/>
  <c r="CT350" i="98"/>
  <c r="CT348" i="98"/>
  <c r="CT331" i="98"/>
  <c r="X394" i="98"/>
  <c r="W369" i="98"/>
  <c r="AJ369" i="98"/>
  <c r="Z346" i="98"/>
  <c r="C344" i="98"/>
  <c r="CK50" i="98"/>
  <c r="CK48" i="98"/>
  <c r="CK47" i="98"/>
  <c r="CK46" i="98"/>
  <c r="CK45" i="98"/>
  <c r="CK44" i="98"/>
  <c r="CK43" i="98"/>
  <c r="CK42" i="98"/>
  <c r="CK41" i="98"/>
  <c r="CK40" i="98"/>
  <c r="CK31" i="98"/>
  <c r="CK25" i="98"/>
  <c r="CK21" i="98"/>
  <c r="CK49" i="98"/>
  <c r="CK38" i="98"/>
  <c r="CK30" i="98"/>
  <c r="CK29" i="98"/>
  <c r="CK28" i="98"/>
  <c r="CK23" i="98"/>
  <c r="CK32" i="98"/>
  <c r="CK37" i="98"/>
  <c r="CK35" i="98"/>
  <c r="CK26" i="98"/>
  <c r="CK24" i="98"/>
  <c r="CK22" i="98"/>
  <c r="CK20" i="98"/>
  <c r="CK39" i="98"/>
  <c r="CK34" i="98"/>
  <c r="CK27" i="98"/>
  <c r="CK36" i="98"/>
  <c r="CK33" i="98"/>
  <c r="BM217" i="98"/>
  <c r="BN217" i="98"/>
  <c r="BL218" i="98"/>
  <c r="AL384" i="98"/>
  <c r="X400" i="98"/>
  <c r="W375" i="98"/>
  <c r="AJ375" i="98"/>
  <c r="CK229" i="98"/>
  <c r="CK228" i="98"/>
  <c r="CK227" i="98"/>
  <c r="CK226" i="98"/>
  <c r="CK224" i="98"/>
  <c r="CK222" i="98"/>
  <c r="CK213" i="98"/>
  <c r="CK209" i="98"/>
  <c r="CK225" i="98"/>
  <c r="CK223" i="98"/>
  <c r="CK221" i="98"/>
  <c r="CK219" i="98"/>
  <c r="CK218" i="98"/>
  <c r="CK215" i="98"/>
  <c r="CK211" i="98"/>
  <c r="CK208" i="98"/>
  <c r="CK230" i="98"/>
  <c r="CK206" i="98"/>
  <c r="CK205" i="98"/>
  <c r="CK203" i="98"/>
  <c r="CK217" i="98"/>
  <c r="CK204" i="98"/>
  <c r="CK202" i="98"/>
  <c r="CK201" i="98"/>
  <c r="CK207" i="98"/>
  <c r="CK220" i="98"/>
  <c r="CK216" i="98"/>
  <c r="CK214" i="98"/>
  <c r="CK212" i="98"/>
  <c r="CK210" i="98"/>
  <c r="CK231" i="98"/>
  <c r="BO341" i="98"/>
  <c r="CZ341" i="98"/>
  <c r="BO31" i="98"/>
  <c r="CZ31" i="98"/>
  <c r="AR346" i="98"/>
  <c r="D346" i="98"/>
  <c r="AB394" i="98"/>
  <c r="AA369" i="98"/>
  <c r="AN369" i="98"/>
  <c r="AD346" i="98"/>
  <c r="C348" i="98"/>
  <c r="CW50" i="98"/>
  <c r="CW48" i="98"/>
  <c r="CW47" i="98"/>
  <c r="CW46" i="98"/>
  <c r="CW45" i="98"/>
  <c r="CW44" i="98"/>
  <c r="CW43" i="98"/>
  <c r="CW42" i="98"/>
  <c r="CW41" i="98"/>
  <c r="CW40" i="98"/>
  <c r="CW31" i="98"/>
  <c r="CW25" i="98"/>
  <c r="CW21" i="98"/>
  <c r="CW49" i="98"/>
  <c r="CW38" i="98"/>
  <c r="CW30" i="98"/>
  <c r="CW29" i="98"/>
  <c r="CW28" i="98"/>
  <c r="CW23" i="98"/>
  <c r="CW39" i="98"/>
  <c r="CW34" i="98"/>
  <c r="CW27" i="98"/>
  <c r="CW36" i="98"/>
  <c r="CW33" i="98"/>
  <c r="CW32" i="98"/>
  <c r="CW37" i="98"/>
  <c r="CW35" i="98"/>
  <c r="CW26" i="98"/>
  <c r="CW24" i="98"/>
  <c r="CW22" i="98"/>
  <c r="CW20" i="98"/>
  <c r="AB402" i="98"/>
  <c r="AN377" i="98"/>
  <c r="AA377" i="98"/>
  <c r="CW291" i="98"/>
  <c r="CW283" i="98"/>
  <c r="CW280" i="98"/>
  <c r="CW285" i="98"/>
  <c r="CW281" i="98"/>
  <c r="CW290" i="98"/>
  <c r="CW282" i="98"/>
  <c r="CW274" i="98"/>
  <c r="CW273" i="98"/>
  <c r="CW271" i="98"/>
  <c r="CW270" i="98"/>
  <c r="CW269" i="98"/>
  <c r="CW268" i="98"/>
  <c r="CW272" i="98"/>
  <c r="CW286" i="98"/>
  <c r="CW278" i="98"/>
  <c r="CW266" i="98"/>
  <c r="CW264" i="98"/>
  <c r="CW292" i="98"/>
  <c r="CW288" i="98"/>
  <c r="CW284" i="98"/>
  <c r="CW276" i="98"/>
  <c r="CW267" i="98"/>
  <c r="CW265" i="98"/>
  <c r="CW263" i="98"/>
  <c r="CW277" i="98"/>
  <c r="CW289" i="98"/>
  <c r="CW287" i="98"/>
  <c r="CW279" i="98"/>
  <c r="CW275" i="98"/>
  <c r="AB395" i="98"/>
  <c r="AA370" i="98"/>
  <c r="AN370" i="98"/>
  <c r="CW77" i="98"/>
  <c r="CW64" i="98"/>
  <c r="CW63" i="98"/>
  <c r="CW54" i="98"/>
  <c r="CW52" i="98"/>
  <c r="CW66" i="98"/>
  <c r="CW59" i="98"/>
  <c r="CW55" i="98"/>
  <c r="CW53" i="98"/>
  <c r="CW51" i="98"/>
  <c r="CW78" i="98"/>
  <c r="CW76" i="98"/>
  <c r="CW74" i="98"/>
  <c r="CW70" i="98"/>
  <c r="CW65" i="98"/>
  <c r="CW58" i="98"/>
  <c r="CW73" i="98"/>
  <c r="CW69" i="98"/>
  <c r="CW57" i="98"/>
  <c r="CW72" i="98"/>
  <c r="CW68" i="98"/>
  <c r="CW62" i="98"/>
  <c r="CW61" i="98"/>
  <c r="CW60" i="98"/>
  <c r="CW56" i="98"/>
  <c r="CW75" i="98"/>
  <c r="CW71" i="98"/>
  <c r="CW67" i="98"/>
  <c r="X404" i="98"/>
  <c r="AJ379" i="98"/>
  <c r="W379" i="98"/>
  <c r="CK353" i="98"/>
  <c r="CK352" i="98"/>
  <c r="CK351" i="98"/>
  <c r="CK350" i="98"/>
  <c r="CK349" i="98"/>
  <c r="CK346" i="98"/>
  <c r="CK345" i="98"/>
  <c r="CK348" i="98"/>
  <c r="CK343" i="98"/>
  <c r="CK340" i="98"/>
  <c r="CK339" i="98"/>
  <c r="CK338" i="98"/>
  <c r="CK337" i="98"/>
  <c r="CK336" i="98"/>
  <c r="CK334" i="98"/>
  <c r="CK332" i="98"/>
  <c r="CK342" i="98"/>
  <c r="CK331" i="98"/>
  <c r="CK329" i="98"/>
  <c r="CK327" i="98"/>
  <c r="CK325" i="98"/>
  <c r="CK344" i="98"/>
  <c r="CK335" i="98"/>
  <c r="CK347" i="98"/>
  <c r="CK330" i="98"/>
  <c r="CK328" i="98"/>
  <c r="CK326" i="98"/>
  <c r="CK324" i="98"/>
  <c r="CK341" i="98"/>
  <c r="CK333" i="98"/>
  <c r="X403" i="98"/>
  <c r="AJ378" i="98"/>
  <c r="W378" i="98"/>
  <c r="CK320" i="98"/>
  <c r="CK322" i="98"/>
  <c r="CK307" i="98"/>
  <c r="CK319" i="98"/>
  <c r="CK310" i="98"/>
  <c r="CK306" i="98"/>
  <c r="CK304" i="98"/>
  <c r="CK299" i="98"/>
  <c r="CK296" i="98"/>
  <c r="CK293" i="98"/>
  <c r="CK323" i="98"/>
  <c r="CK317" i="98"/>
  <c r="CK312" i="98"/>
  <c r="CK308" i="98"/>
  <c r="CK305" i="98"/>
  <c r="CK297" i="98"/>
  <c r="CK294" i="98"/>
  <c r="CK321" i="98"/>
  <c r="CK316" i="98"/>
  <c r="CK314" i="98"/>
  <c r="CK311" i="98"/>
  <c r="CK302" i="98"/>
  <c r="CK318" i="98"/>
  <c r="CK315" i="98"/>
  <c r="CK313" i="98"/>
  <c r="CK309" i="98"/>
  <c r="CK303" i="98"/>
  <c r="CK301" i="98"/>
  <c r="CK298" i="98"/>
  <c r="CK300" i="98"/>
  <c r="CK295" i="98"/>
  <c r="BM247" i="98"/>
  <c r="BN247" i="98"/>
  <c r="BL248" i="98"/>
  <c r="AA394" i="98"/>
  <c r="AM369" i="98"/>
  <c r="AC346" i="98"/>
  <c r="C347" i="98"/>
  <c r="Z369" i="98"/>
  <c r="CT39" i="98"/>
  <c r="CT34" i="98"/>
  <c r="CT32" i="98"/>
  <c r="CT24" i="98"/>
  <c r="CT20" i="98"/>
  <c r="CT37" i="98"/>
  <c r="CT36" i="98"/>
  <c r="CT35" i="98"/>
  <c r="CT33" i="98"/>
  <c r="CT27" i="98"/>
  <c r="CT26" i="98"/>
  <c r="CT22" i="98"/>
  <c r="CT30" i="98"/>
  <c r="CT28" i="98"/>
  <c r="CT49" i="98"/>
  <c r="CT38" i="98"/>
  <c r="CT25" i="98"/>
  <c r="CT23" i="98"/>
  <c r="CT21" i="98"/>
  <c r="CT47" i="98"/>
  <c r="CT46" i="98"/>
  <c r="CT45" i="98"/>
  <c r="CT44" i="98"/>
  <c r="CT43" i="98"/>
  <c r="CT42" i="98"/>
  <c r="CT41" i="98"/>
  <c r="CT40" i="98"/>
  <c r="CT31" i="98"/>
  <c r="CT50" i="98"/>
  <c r="CT48" i="98"/>
  <c r="CT29" i="98"/>
  <c r="AA399" i="98"/>
  <c r="AM374" i="98"/>
  <c r="Z374" i="98"/>
  <c r="CT198" i="98"/>
  <c r="CT173" i="98"/>
  <c r="CT171" i="98"/>
  <c r="CT196" i="98"/>
  <c r="CT172" i="98"/>
  <c r="CT200" i="98"/>
  <c r="CT194" i="98"/>
  <c r="CT192" i="98"/>
  <c r="CT188" i="98"/>
  <c r="CT184" i="98"/>
  <c r="CT180" i="98"/>
  <c r="CT177" i="98"/>
  <c r="CT175" i="98"/>
  <c r="CT195" i="98"/>
  <c r="CT193" i="98"/>
  <c r="CT190" i="98"/>
  <c r="CT186" i="98"/>
  <c r="CT182" i="98"/>
  <c r="CT176" i="98"/>
  <c r="CT174" i="98"/>
  <c r="CT191" i="98"/>
  <c r="CT189" i="98"/>
  <c r="CT187" i="98"/>
  <c r="CT185" i="98"/>
  <c r="CT183" i="98"/>
  <c r="CT181" i="98"/>
  <c r="CT179" i="98"/>
  <c r="CT199" i="98"/>
  <c r="CT197" i="98"/>
  <c r="CT178" i="98"/>
  <c r="AA405" i="98"/>
  <c r="CT384" i="98"/>
  <c r="CT382" i="98"/>
  <c r="CT381" i="98"/>
  <c r="CT383" i="98"/>
  <c r="CT380" i="98"/>
  <c r="CT378" i="98"/>
  <c r="CT376" i="98"/>
  <c r="Z380" i="98"/>
  <c r="CT379" i="98"/>
  <c r="CT377" i="98"/>
  <c r="CT375" i="98"/>
  <c r="AM380" i="98"/>
  <c r="CT373" i="98"/>
  <c r="CT371" i="98"/>
  <c r="CT367" i="98"/>
  <c r="CT372" i="98"/>
  <c r="CT370" i="98"/>
  <c r="CT366" i="98"/>
  <c r="CT364" i="98"/>
  <c r="CT361" i="98"/>
  <c r="CT357" i="98"/>
  <c r="CT374" i="98"/>
  <c r="CT368" i="98"/>
  <c r="CT365" i="98"/>
  <c r="CT363" i="98"/>
  <c r="CT359" i="98"/>
  <c r="CT355" i="98"/>
  <c r="CT362" i="98"/>
  <c r="CT360" i="98"/>
  <c r="CT358" i="98"/>
  <c r="CT356" i="98"/>
  <c r="CT354" i="98"/>
  <c r="CT369" i="98"/>
  <c r="BM275" i="98"/>
  <c r="BN275" i="98"/>
  <c r="BL276" i="98"/>
  <c r="BM126" i="98"/>
  <c r="BN126" i="98"/>
  <c r="BL127" i="98"/>
  <c r="Y384" i="98"/>
  <c r="F383" i="98"/>
  <c r="BO153" i="98"/>
  <c r="CZ153" i="98"/>
  <c r="E79" i="71"/>
  <c r="D79" i="71"/>
  <c r="C183" i="71"/>
  <c r="C79" i="71"/>
  <c r="B78" i="71"/>
  <c r="B77" i="71"/>
  <c r="B76" i="71"/>
  <c r="B75" i="71"/>
  <c r="B74" i="71"/>
  <c r="B73" i="71"/>
  <c r="B72" i="71"/>
  <c r="B71" i="71"/>
  <c r="B70" i="71"/>
  <c r="B69" i="71"/>
  <c r="B68" i="71"/>
  <c r="B67" i="71"/>
  <c r="B66" i="71"/>
  <c r="B65" i="71"/>
  <c r="B64" i="71"/>
  <c r="B63" i="71"/>
  <c r="B62" i="71"/>
  <c r="B61" i="71"/>
  <c r="B60" i="71"/>
  <c r="B59" i="71"/>
  <c r="B57" i="71"/>
  <c r="B56" i="71"/>
  <c r="B55" i="71"/>
  <c r="B54" i="71"/>
  <c r="B53" i="71"/>
  <c r="B52" i="71"/>
  <c r="B51" i="71"/>
  <c r="B50" i="71"/>
  <c r="B49" i="71"/>
  <c r="B48" i="71"/>
  <c r="B47" i="71"/>
  <c r="B46" i="71"/>
  <c r="B45" i="71"/>
  <c r="B44" i="71"/>
  <c r="B43" i="71"/>
  <c r="B42" i="71"/>
  <c r="B41" i="71"/>
  <c r="B40" i="71"/>
  <c r="B39" i="71"/>
  <c r="B38" i="71"/>
  <c r="BO308" i="98"/>
  <c r="CZ308" i="98"/>
  <c r="BN309" i="98"/>
  <c r="BM309" i="98"/>
  <c r="BL310" i="98"/>
  <c r="BL66" i="98"/>
  <c r="BL67" i="98"/>
  <c r="BO188" i="98"/>
  <c r="CZ188" i="98"/>
  <c r="BO154" i="98"/>
  <c r="CZ154" i="98"/>
  <c r="BO126" i="98"/>
  <c r="CZ126" i="98"/>
  <c r="BO247" i="98"/>
  <c r="CZ247" i="98"/>
  <c r="BO368" i="98"/>
  <c r="CZ368" i="98"/>
  <c r="BM65" i="98"/>
  <c r="BN65" i="98"/>
  <c r="BO95" i="98"/>
  <c r="CZ95" i="98"/>
  <c r="BO63" i="98"/>
  <c r="CZ63" i="98"/>
  <c r="BO64" i="98"/>
  <c r="CZ64" i="98"/>
  <c r="AM384" i="98"/>
  <c r="AT346" i="98"/>
  <c r="D348" i="98"/>
  <c r="BM127" i="98"/>
  <c r="BN127" i="98"/>
  <c r="BL128" i="98"/>
  <c r="Z384" i="98"/>
  <c r="F384" i="98"/>
  <c r="BM248" i="98"/>
  <c r="BN248" i="98"/>
  <c r="BL249" i="98"/>
  <c r="AA384" i="98"/>
  <c r="F385" i="98"/>
  <c r="CK386" i="98"/>
  <c r="W384" i="98"/>
  <c r="BM155" i="98"/>
  <c r="BN155" i="98"/>
  <c r="BL156" i="98"/>
  <c r="BO275" i="98"/>
  <c r="CZ275" i="98"/>
  <c r="AH409" i="98"/>
  <c r="D384" i="98"/>
  <c r="AB406" i="98"/>
  <c r="BO217" i="98"/>
  <c r="CZ217" i="98"/>
  <c r="X406" i="98"/>
  <c r="AS346" i="98"/>
  <c r="D347" i="98"/>
  <c r="BO32" i="98"/>
  <c r="CZ32" i="98"/>
  <c r="BM343" i="98"/>
  <c r="BN343" i="98"/>
  <c r="BL344" i="98"/>
  <c r="P282" i="98"/>
  <c r="P283" i="98"/>
  <c r="AH410" i="98"/>
  <c r="D385" i="98"/>
  <c r="AH406" i="98"/>
  <c r="D381" i="98"/>
  <c r="BM189" i="98"/>
  <c r="BN189" i="98"/>
  <c r="BL190" i="98"/>
  <c r="BM96" i="98"/>
  <c r="BN96" i="98"/>
  <c r="BL97" i="98"/>
  <c r="BM369" i="98"/>
  <c r="BN369" i="98"/>
  <c r="BL370" i="98"/>
  <c r="BM276" i="98"/>
  <c r="BN276" i="98"/>
  <c r="BL277" i="98"/>
  <c r="CT386" i="98"/>
  <c r="AA406" i="98"/>
  <c r="CW386" i="98"/>
  <c r="AN384" i="98"/>
  <c r="BM218" i="98"/>
  <c r="BN218" i="98"/>
  <c r="BL219" i="98"/>
  <c r="AJ384" i="98"/>
  <c r="BM33" i="98"/>
  <c r="BN33" i="98"/>
  <c r="BL34" i="98"/>
  <c r="BO342" i="98"/>
  <c r="CZ342" i="98"/>
  <c r="E11" i="66"/>
  <c r="C182" i="71"/>
  <c r="F23" i="70"/>
  <c r="C184" i="71"/>
  <c r="C80" i="71"/>
  <c r="BO309" i="98"/>
  <c r="CZ309" i="98"/>
  <c r="BN310" i="98"/>
  <c r="BM310" i="98"/>
  <c r="BL311" i="98"/>
  <c r="BL312" i="98"/>
  <c r="BM66" i="98"/>
  <c r="BN66" i="98"/>
  <c r="BL68" i="98"/>
  <c r="BL69" i="98"/>
  <c r="D51" i="72"/>
  <c r="BN67" i="98"/>
  <c r="BM67" i="98"/>
  <c r="BO33" i="98"/>
  <c r="CZ33" i="98"/>
  <c r="BO218" i="98"/>
  <c r="CZ218" i="98"/>
  <c r="BO65" i="98"/>
  <c r="CZ65" i="98"/>
  <c r="BO276" i="98"/>
  <c r="CZ276" i="98"/>
  <c r="BO369" i="98"/>
  <c r="CZ369" i="98"/>
  <c r="BO248" i="98"/>
  <c r="CZ248" i="98"/>
  <c r="BO343" i="98"/>
  <c r="CZ343" i="98"/>
  <c r="BO155" i="98"/>
  <c r="CZ155" i="98"/>
  <c r="BM34" i="98"/>
  <c r="BN34" i="98"/>
  <c r="BL35" i="98"/>
  <c r="BM344" i="98"/>
  <c r="BN344" i="98"/>
  <c r="BL345" i="98"/>
  <c r="BM156" i="98"/>
  <c r="BN156" i="98"/>
  <c r="BL157" i="98"/>
  <c r="BM249" i="98"/>
  <c r="BN249" i="98"/>
  <c r="BL250" i="98"/>
  <c r="BO96" i="98"/>
  <c r="CZ96" i="98"/>
  <c r="BO189" i="98"/>
  <c r="CZ189" i="98"/>
  <c r="F381" i="98"/>
  <c r="BO127" i="98"/>
  <c r="CZ127" i="98"/>
  <c r="BM219" i="98"/>
  <c r="BN219" i="98"/>
  <c r="BL220" i="98"/>
  <c r="BM277" i="98"/>
  <c r="BN277" i="98"/>
  <c r="BL278" i="98"/>
  <c r="BM370" i="98"/>
  <c r="BN370" i="98"/>
  <c r="BL371" i="98"/>
  <c r="P286" i="98"/>
  <c r="P285" i="98"/>
  <c r="BM97" i="98"/>
  <c r="BN97" i="98"/>
  <c r="BL98" i="98"/>
  <c r="BM190" i="98"/>
  <c r="BN190" i="98"/>
  <c r="BL191" i="98"/>
  <c r="BM128" i="98"/>
  <c r="BN128" i="98"/>
  <c r="BL129" i="98"/>
  <c r="F38" i="70"/>
  <c r="E38" i="70"/>
  <c r="D18" i="72"/>
  <c r="E18" i="72"/>
  <c r="G18" i="72"/>
  <c r="B18" i="72"/>
  <c r="F22" i="67"/>
  <c r="G22" i="67"/>
  <c r="E7" i="66"/>
  <c r="D50" i="72"/>
  <c r="E50" i="72"/>
  <c r="D8" i="72"/>
  <c r="E8" i="72"/>
  <c r="I17" i="23"/>
  <c r="I15" i="65"/>
  <c r="I14" i="65"/>
  <c r="I24" i="74"/>
  <c r="I9" i="74"/>
  <c r="I13" i="51"/>
  <c r="I12" i="51"/>
  <c r="I14" i="51"/>
  <c r="I13" i="66"/>
  <c r="I14" i="66"/>
  <c r="I17" i="47"/>
  <c r="I16" i="47"/>
  <c r="I15" i="47"/>
  <c r="I18" i="47"/>
  <c r="I11" i="47"/>
  <c r="I29" i="25"/>
  <c r="I28" i="25"/>
  <c r="I27" i="25"/>
  <c r="I26" i="25"/>
  <c r="I30" i="25"/>
  <c r="I15" i="25"/>
  <c r="G70" i="72"/>
  <c r="E70" i="72"/>
  <c r="D70" i="72"/>
  <c r="B70" i="72"/>
  <c r="BN312" i="98"/>
  <c r="BM312" i="98"/>
  <c r="BO310" i="98"/>
  <c r="CZ310" i="98"/>
  <c r="BM311" i="98"/>
  <c r="BN311" i="98"/>
  <c r="BL313" i="98"/>
  <c r="BN68" i="98"/>
  <c r="BO66" i="98"/>
  <c r="CZ66" i="98"/>
  <c r="E16" i="66"/>
  <c r="BM68" i="98"/>
  <c r="BL70" i="98"/>
  <c r="BM70" i="98"/>
  <c r="BM69" i="98"/>
  <c r="BN69" i="98"/>
  <c r="BO67" i="98"/>
  <c r="CZ67" i="98"/>
  <c r="BO219" i="98"/>
  <c r="CZ219" i="98"/>
  <c r="BO277" i="98"/>
  <c r="CZ277" i="98"/>
  <c r="BM250" i="98"/>
  <c r="BN250" i="98"/>
  <c r="BL251" i="98"/>
  <c r="BM345" i="98"/>
  <c r="BN345" i="98"/>
  <c r="BL346" i="98"/>
  <c r="BO128" i="98"/>
  <c r="CZ128" i="98"/>
  <c r="BM191" i="98"/>
  <c r="BN191" i="98"/>
  <c r="BL192" i="98"/>
  <c r="BM98" i="98"/>
  <c r="BN98" i="98"/>
  <c r="BL99" i="98"/>
  <c r="AA332" i="98"/>
  <c r="AQ332" i="98"/>
  <c r="J297" i="98"/>
  <c r="J294" i="98"/>
  <c r="J291" i="98"/>
  <c r="J296" i="98"/>
  <c r="AA343" i="98"/>
  <c r="J293" i="98"/>
  <c r="J298" i="98"/>
  <c r="J295" i="98"/>
  <c r="J288" i="98"/>
  <c r="AA335" i="98"/>
  <c r="J290" i="98"/>
  <c r="J289" i="98"/>
  <c r="J287" i="98"/>
  <c r="J292" i="98"/>
  <c r="AA339" i="98"/>
  <c r="K289" i="98"/>
  <c r="K295" i="98"/>
  <c r="K291" i="98"/>
  <c r="K288" i="98"/>
  <c r="AQ335" i="98"/>
  <c r="AU335" i="98"/>
  <c r="D352" i="98"/>
  <c r="K290" i="98"/>
  <c r="K296" i="98"/>
  <c r="K287" i="98"/>
  <c r="K297" i="98"/>
  <c r="AQ344" i="98"/>
  <c r="AU344" i="98"/>
  <c r="D361" i="98"/>
  <c r="K292" i="98"/>
  <c r="K298" i="98"/>
  <c r="K294" i="98"/>
  <c r="K293" i="98"/>
  <c r="AQ340" i="98"/>
  <c r="AU340" i="98"/>
  <c r="D357" i="98"/>
  <c r="BO370" i="98"/>
  <c r="CZ370" i="98"/>
  <c r="BO156" i="98"/>
  <c r="CZ156" i="98"/>
  <c r="BM313" i="98"/>
  <c r="BN313" i="98"/>
  <c r="BL314" i="98"/>
  <c r="BM35" i="98"/>
  <c r="BN35" i="98"/>
  <c r="BL36" i="98"/>
  <c r="BM278" i="98"/>
  <c r="BN278" i="98"/>
  <c r="BL279" i="98"/>
  <c r="BM220" i="98"/>
  <c r="BN220" i="98"/>
  <c r="BL222" i="98"/>
  <c r="BO249" i="98"/>
  <c r="CZ249" i="98"/>
  <c r="BO344" i="98"/>
  <c r="CZ344" i="98"/>
  <c r="BM129" i="98"/>
  <c r="BN129" i="98"/>
  <c r="BL130" i="98"/>
  <c r="BO190" i="98"/>
  <c r="CZ190" i="98"/>
  <c r="BO97" i="98"/>
  <c r="CZ97" i="98"/>
  <c r="BM371" i="98"/>
  <c r="BN371" i="98"/>
  <c r="BL372" i="98"/>
  <c r="BM157" i="98"/>
  <c r="BN157" i="98"/>
  <c r="BL158" i="98"/>
  <c r="BO312" i="98"/>
  <c r="CZ312" i="98"/>
  <c r="BO34" i="98"/>
  <c r="CZ34" i="98"/>
  <c r="E36" i="76"/>
  <c r="E22" i="67"/>
  <c r="D19" i="72"/>
  <c r="E22" i="25"/>
  <c r="D32" i="72"/>
  <c r="E32" i="72"/>
  <c r="E11" i="23"/>
  <c r="E15" i="74"/>
  <c r="D67" i="72"/>
  <c r="E67" i="72"/>
  <c r="E13" i="74"/>
  <c r="E12" i="74"/>
  <c r="E11" i="74"/>
  <c r="E10" i="74"/>
  <c r="BO68" i="98"/>
  <c r="CZ68" i="98"/>
  <c r="BO311" i="98"/>
  <c r="CZ311" i="98"/>
  <c r="BL71" i="98"/>
  <c r="BN71" i="98"/>
  <c r="BO69" i="98"/>
  <c r="CZ69" i="98"/>
  <c r="BN70" i="98"/>
  <c r="BO129" i="98"/>
  <c r="CZ129" i="98"/>
  <c r="AQ345" i="98"/>
  <c r="AU345" i="98"/>
  <c r="D362" i="98"/>
  <c r="AQ343" i="98"/>
  <c r="AU343" i="98"/>
  <c r="D360" i="98"/>
  <c r="AQ342" i="98"/>
  <c r="AU342" i="98"/>
  <c r="D359" i="98"/>
  <c r="AA336" i="98"/>
  <c r="AK371" i="98"/>
  <c r="AO371" i="98"/>
  <c r="AA345" i="98"/>
  <c r="CN382" i="98"/>
  <c r="AQ339" i="98"/>
  <c r="AU339" i="98"/>
  <c r="D356" i="98"/>
  <c r="BO313" i="98"/>
  <c r="CZ313" i="98"/>
  <c r="AQ341" i="98"/>
  <c r="AU341" i="98"/>
  <c r="D358" i="98"/>
  <c r="AQ338" i="98"/>
  <c r="AU338" i="98"/>
  <c r="D355" i="98"/>
  <c r="AA342" i="98"/>
  <c r="Y402" i="98"/>
  <c r="AC402" i="98"/>
  <c r="AD402" i="98"/>
  <c r="AA338" i="98"/>
  <c r="Y398" i="98"/>
  <c r="AC398" i="98"/>
  <c r="AD398" i="98"/>
  <c r="BO250" i="98"/>
  <c r="CZ250" i="98"/>
  <c r="AQ337" i="98"/>
  <c r="AU337" i="98"/>
  <c r="D354" i="98"/>
  <c r="AQ336" i="98"/>
  <c r="AU336" i="98"/>
  <c r="D353" i="98"/>
  <c r="AA341" i="98"/>
  <c r="X376" i="98"/>
  <c r="AB376" i="98"/>
  <c r="AA337" i="98"/>
  <c r="AK372" i="98"/>
  <c r="AO372" i="98"/>
  <c r="AA340" i="98"/>
  <c r="Y400" i="98"/>
  <c r="AC400" i="98"/>
  <c r="AD400" i="98"/>
  <c r="AA344" i="98"/>
  <c r="CN347" i="98"/>
  <c r="BM158" i="98"/>
  <c r="BN158" i="98"/>
  <c r="BL159" i="98"/>
  <c r="BM279" i="98"/>
  <c r="BN279" i="98"/>
  <c r="BL280" i="98"/>
  <c r="AQ334" i="98"/>
  <c r="K299" i="98"/>
  <c r="D302" i="98"/>
  <c r="D303" i="98"/>
  <c r="AA334" i="98"/>
  <c r="J299" i="98"/>
  <c r="C302" i="98"/>
  <c r="C303" i="98"/>
  <c r="BM99" i="98"/>
  <c r="BN99" i="98"/>
  <c r="BL100" i="98"/>
  <c r="BM372" i="98"/>
  <c r="BN372" i="98"/>
  <c r="BL373" i="98"/>
  <c r="BM222" i="98"/>
  <c r="BN222" i="98"/>
  <c r="BL223" i="98"/>
  <c r="BO35" i="98"/>
  <c r="CZ35" i="98"/>
  <c r="BO191" i="98"/>
  <c r="CZ191" i="98"/>
  <c r="BO345" i="98"/>
  <c r="CZ345" i="98"/>
  <c r="BM71" i="98"/>
  <c r="BL72" i="98"/>
  <c r="BO157" i="98"/>
  <c r="CZ157" i="98"/>
  <c r="BM130" i="98"/>
  <c r="BN130" i="98"/>
  <c r="BL131" i="98"/>
  <c r="BO278" i="98"/>
  <c r="CZ278" i="98"/>
  <c r="BM314" i="98"/>
  <c r="BN314" i="98"/>
  <c r="BL315" i="98"/>
  <c r="BO98" i="98"/>
  <c r="CZ98" i="98"/>
  <c r="BM251" i="98"/>
  <c r="BN251" i="98"/>
  <c r="BL252" i="98"/>
  <c r="BO371" i="98"/>
  <c r="CZ371" i="98"/>
  <c r="BO220" i="98"/>
  <c r="CZ220" i="98"/>
  <c r="BM36" i="98"/>
  <c r="BN36" i="98"/>
  <c r="BL37" i="98"/>
  <c r="Y399" i="98"/>
  <c r="AC399" i="98"/>
  <c r="AD399" i="98"/>
  <c r="AK374" i="98"/>
  <c r="AO374" i="98"/>
  <c r="X374" i="98"/>
  <c r="AB374" i="98"/>
  <c r="CN196" i="98"/>
  <c r="CN172" i="98"/>
  <c r="CN198" i="98"/>
  <c r="CN173" i="98"/>
  <c r="CN171" i="98"/>
  <c r="CN199" i="98"/>
  <c r="CN189" i="98"/>
  <c r="CN185" i="98"/>
  <c r="CN181" i="98"/>
  <c r="CN178" i="98"/>
  <c r="CN197" i="98"/>
  <c r="CN191" i="98"/>
  <c r="CN187" i="98"/>
  <c r="CN183" i="98"/>
  <c r="CN179" i="98"/>
  <c r="CN193" i="98"/>
  <c r="CN176" i="98"/>
  <c r="CN200" i="98"/>
  <c r="CN192" i="98"/>
  <c r="CN190" i="98"/>
  <c r="CN188" i="98"/>
  <c r="CN186" i="98"/>
  <c r="CN184" i="98"/>
  <c r="CN182" i="98"/>
  <c r="CN180" i="98"/>
  <c r="CN175" i="98"/>
  <c r="CN195" i="98"/>
  <c r="CN174" i="98"/>
  <c r="CN194" i="98"/>
  <c r="CN177" i="98"/>
  <c r="AE339" i="98"/>
  <c r="C356" i="98"/>
  <c r="Y395" i="98"/>
  <c r="AC395" i="98"/>
  <c r="AD395" i="98"/>
  <c r="AK370" i="98"/>
  <c r="AO370" i="98"/>
  <c r="X370" i="98"/>
  <c r="AB370" i="98"/>
  <c r="CN76" i="98"/>
  <c r="CN75" i="98"/>
  <c r="CN73" i="98"/>
  <c r="CN71" i="98"/>
  <c r="CN69" i="98"/>
  <c r="CN67" i="98"/>
  <c r="CN62" i="98"/>
  <c r="CN61" i="98"/>
  <c r="CN58" i="98"/>
  <c r="CN56" i="98"/>
  <c r="CN78" i="98"/>
  <c r="CN74" i="98"/>
  <c r="CN72" i="98"/>
  <c r="CN70" i="98"/>
  <c r="CN68" i="98"/>
  <c r="CN65" i="98"/>
  <c r="CN60" i="98"/>
  <c r="CN57" i="98"/>
  <c r="CN59" i="98"/>
  <c r="CN55" i="98"/>
  <c r="CN53" i="98"/>
  <c r="CN51" i="98"/>
  <c r="CN77" i="98"/>
  <c r="CN66" i="98"/>
  <c r="CN54" i="98"/>
  <c r="CN52" i="98"/>
  <c r="CN64" i="98"/>
  <c r="CN63" i="98"/>
  <c r="AE335" i="98"/>
  <c r="C352" i="98"/>
  <c r="X378" i="98"/>
  <c r="AB378" i="98"/>
  <c r="Y403" i="98"/>
  <c r="AC403" i="98"/>
  <c r="AD403" i="98"/>
  <c r="AK378" i="98"/>
  <c r="AO378" i="98"/>
  <c r="CN323" i="98"/>
  <c r="CN319" i="98"/>
  <c r="CN317" i="98"/>
  <c r="CN312" i="98"/>
  <c r="CN310" i="98"/>
  <c r="CN308" i="98"/>
  <c r="CN321" i="98"/>
  <c r="CN318" i="98"/>
  <c r="CN316" i="98"/>
  <c r="CN315" i="98"/>
  <c r="CN314" i="98"/>
  <c r="CN313" i="98"/>
  <c r="CN311" i="98"/>
  <c r="CN309" i="98"/>
  <c r="CN320" i="98"/>
  <c r="CN303" i="98"/>
  <c r="CN302" i="98"/>
  <c r="CN301" i="98"/>
  <c r="CN300" i="98"/>
  <c r="CN298" i="98"/>
  <c r="CN295" i="98"/>
  <c r="CN307" i="98"/>
  <c r="CN305" i="98"/>
  <c r="CN299" i="98"/>
  <c r="CN296" i="98"/>
  <c r="CN293" i="98"/>
  <c r="CN306" i="98"/>
  <c r="CN304" i="98"/>
  <c r="CN294" i="98"/>
  <c r="CN322" i="98"/>
  <c r="CN297" i="98"/>
  <c r="AE343" i="98"/>
  <c r="C360" i="98"/>
  <c r="BM192" i="98"/>
  <c r="BN192" i="98"/>
  <c r="BL193" i="98"/>
  <c r="BM346" i="98"/>
  <c r="BN346" i="98"/>
  <c r="BL347" i="98"/>
  <c r="BO70" i="98"/>
  <c r="CZ70" i="98"/>
  <c r="D85" i="72"/>
  <c r="G2" i="76"/>
  <c r="D66" i="72"/>
  <c r="E66" i="72"/>
  <c r="D65" i="72"/>
  <c r="E65" i="72"/>
  <c r="I19" i="47"/>
  <c r="I12" i="47"/>
  <c r="I41" i="64"/>
  <c r="CN97" i="98"/>
  <c r="CN96" i="98"/>
  <c r="CN92" i="98"/>
  <c r="CN109" i="98"/>
  <c r="CN265" i="98"/>
  <c r="CN289" i="98"/>
  <c r="CN287" i="98"/>
  <c r="CN269" i="98"/>
  <c r="CN144" i="98"/>
  <c r="AE342" i="98"/>
  <c r="C359" i="98"/>
  <c r="CN278" i="98"/>
  <c r="X377" i="98"/>
  <c r="AB377" i="98"/>
  <c r="CN291" i="98"/>
  <c r="CN277" i="98"/>
  <c r="CN255" i="98"/>
  <c r="CN140" i="98"/>
  <c r="CN376" i="98"/>
  <c r="AE336" i="98"/>
  <c r="C353" i="98"/>
  <c r="CN100" i="98"/>
  <c r="X371" i="98"/>
  <c r="AB371" i="98"/>
  <c r="AP371" i="98"/>
  <c r="CN101" i="98"/>
  <c r="CN84" i="98"/>
  <c r="CN169" i="98"/>
  <c r="CN149" i="98"/>
  <c r="CN166" i="98"/>
  <c r="CN361" i="98"/>
  <c r="CN159" i="98"/>
  <c r="CN366" i="98"/>
  <c r="CN384" i="98"/>
  <c r="AE338" i="98"/>
  <c r="C355" i="98"/>
  <c r="CN152" i="98"/>
  <c r="CN163" i="98"/>
  <c r="X373" i="98"/>
  <c r="AB373" i="98"/>
  <c r="CN369" i="98"/>
  <c r="CN146" i="98"/>
  <c r="CN155" i="98"/>
  <c r="CN162" i="98"/>
  <c r="CN373" i="98"/>
  <c r="CN367" i="98"/>
  <c r="CN154" i="98"/>
  <c r="CN148" i="98"/>
  <c r="CN153" i="98"/>
  <c r="CN156" i="98"/>
  <c r="CN167" i="98"/>
  <c r="CN164" i="98"/>
  <c r="AK373" i="98"/>
  <c r="AO373" i="98"/>
  <c r="CN261" i="98"/>
  <c r="CN360" i="98"/>
  <c r="CN379" i="98"/>
  <c r="CN145" i="98"/>
  <c r="CN150" i="98"/>
  <c r="CN142" i="98"/>
  <c r="CN161" i="98"/>
  <c r="CN158" i="98"/>
  <c r="CN170" i="98"/>
  <c r="BO251" i="98"/>
  <c r="CZ251" i="98"/>
  <c r="BO71" i="98"/>
  <c r="CZ71" i="98"/>
  <c r="CN365" i="98"/>
  <c r="CN355" i="98"/>
  <c r="CN363" i="98"/>
  <c r="CN354" i="98"/>
  <c r="CN375" i="98"/>
  <c r="CN372" i="98"/>
  <c r="CN378" i="98"/>
  <c r="X380" i="98"/>
  <c r="AB380" i="98"/>
  <c r="AE345" i="98"/>
  <c r="C362" i="98"/>
  <c r="CN368" i="98"/>
  <c r="CN357" i="98"/>
  <c r="CN370" i="98"/>
  <c r="CN358" i="98"/>
  <c r="CN374" i="98"/>
  <c r="Y405" i="98"/>
  <c r="AC405" i="98"/>
  <c r="AD405" i="98"/>
  <c r="CN380" i="98"/>
  <c r="CN381" i="98"/>
  <c r="CN91" i="98"/>
  <c r="CN88" i="98"/>
  <c r="CN103" i="98"/>
  <c r="CN81" i="98"/>
  <c r="Y396" i="98"/>
  <c r="AC396" i="98"/>
  <c r="AD396" i="98"/>
  <c r="BO222" i="98"/>
  <c r="CZ222" i="98"/>
  <c r="CN364" i="98"/>
  <c r="CN371" i="98"/>
  <c r="CN359" i="98"/>
  <c r="CN356" i="98"/>
  <c r="CN362" i="98"/>
  <c r="AK380" i="98"/>
  <c r="AO380" i="98"/>
  <c r="CN383" i="98"/>
  <c r="CN377" i="98"/>
  <c r="CN106" i="98"/>
  <c r="CN94" i="98"/>
  <c r="CN80" i="98"/>
  <c r="CN85" i="98"/>
  <c r="CN143" i="98"/>
  <c r="CN147" i="98"/>
  <c r="CN151" i="98"/>
  <c r="CN141" i="98"/>
  <c r="CN157" i="98"/>
  <c r="CN165" i="98"/>
  <c r="CN160" i="98"/>
  <c r="CN168" i="98"/>
  <c r="CN270" i="98"/>
  <c r="CN271" i="98"/>
  <c r="CN263" i="98"/>
  <c r="CN267" i="98"/>
  <c r="CN283" i="98"/>
  <c r="CN280" i="98"/>
  <c r="CN282" i="98"/>
  <c r="CN290" i="98"/>
  <c r="CN95" i="98"/>
  <c r="CN105" i="98"/>
  <c r="CN90" i="98"/>
  <c r="CN98" i="98"/>
  <c r="CN107" i="98"/>
  <c r="CN93" i="98"/>
  <c r="CN83" i="98"/>
  <c r="CN104" i="98"/>
  <c r="CN274" i="98"/>
  <c r="CN273" i="98"/>
  <c r="CN264" i="98"/>
  <c r="CN276" i="98"/>
  <c r="CN275" i="98"/>
  <c r="CN284" i="98"/>
  <c r="CN286" i="98"/>
  <c r="AK377" i="98"/>
  <c r="AO377" i="98"/>
  <c r="AP377" i="98"/>
  <c r="AZ377" i="98"/>
  <c r="CN89" i="98"/>
  <c r="CN99" i="98"/>
  <c r="CN86" i="98"/>
  <c r="CN108" i="98"/>
  <c r="CN102" i="98"/>
  <c r="CN82" i="98"/>
  <c r="CN79" i="98"/>
  <c r="CN87" i="98"/>
  <c r="CN268" i="98"/>
  <c r="CN285" i="98"/>
  <c r="CN272" i="98"/>
  <c r="CN266" i="98"/>
  <c r="CN281" i="98"/>
  <c r="CN279" i="98"/>
  <c r="CN292" i="98"/>
  <c r="CN288" i="98"/>
  <c r="CN239" i="98"/>
  <c r="CN248" i="98"/>
  <c r="CN242" i="98"/>
  <c r="CN254" i="98"/>
  <c r="CN243" i="98"/>
  <c r="CN259" i="98"/>
  <c r="CN111" i="98"/>
  <c r="CN256" i="98"/>
  <c r="CN238" i="98"/>
  <c r="CN245" i="98"/>
  <c r="CN232" i="98"/>
  <c r="Y401" i="98"/>
  <c r="AC401" i="98"/>
  <c r="AD401" i="98"/>
  <c r="CN240" i="98"/>
  <c r="CN249" i="98"/>
  <c r="CN257" i="98"/>
  <c r="CN234" i="98"/>
  <c r="AE341" i="98"/>
  <c r="C358" i="98"/>
  <c r="CN237" i="98"/>
  <c r="CN250" i="98"/>
  <c r="CN253" i="98"/>
  <c r="CN244" i="98"/>
  <c r="CN258" i="98"/>
  <c r="CN262" i="98"/>
  <c r="CN235" i="98"/>
  <c r="AK376" i="98"/>
  <c r="AO376" i="98"/>
  <c r="AP376" i="98"/>
  <c r="CN236" i="98"/>
  <c r="CN246" i="98"/>
  <c r="CN247" i="98"/>
  <c r="CN241" i="98"/>
  <c r="CN252" i="98"/>
  <c r="CN260" i="98"/>
  <c r="CN233" i="98"/>
  <c r="CN251" i="98"/>
  <c r="CN226" i="98"/>
  <c r="CN230" i="98"/>
  <c r="CN211" i="98"/>
  <c r="CN218" i="98"/>
  <c r="CN225" i="98"/>
  <c r="CN110" i="98"/>
  <c r="CN201" i="98"/>
  <c r="CN213" i="98"/>
  <c r="CN210" i="98"/>
  <c r="Y397" i="98"/>
  <c r="AC397" i="98"/>
  <c r="AD397" i="98"/>
  <c r="CN127" i="98"/>
  <c r="CN338" i="98"/>
  <c r="CN126" i="98"/>
  <c r="CN119" i="98"/>
  <c r="CN118" i="98"/>
  <c r="CN326" i="98"/>
  <c r="CN135" i="98"/>
  <c r="CN134" i="98"/>
  <c r="CN327" i="98"/>
  <c r="CN115" i="98"/>
  <c r="CN131" i="98"/>
  <c r="CN114" i="98"/>
  <c r="CN130" i="98"/>
  <c r="AK379" i="98"/>
  <c r="AO379" i="98"/>
  <c r="CN123" i="98"/>
  <c r="CN137" i="98"/>
  <c r="CN122" i="98"/>
  <c r="X372" i="98"/>
  <c r="AB372" i="98"/>
  <c r="CN331" i="98"/>
  <c r="CN350" i="98"/>
  <c r="CN113" i="98"/>
  <c r="CN121" i="98"/>
  <c r="CN129" i="98"/>
  <c r="CN136" i="98"/>
  <c r="CN112" i="98"/>
  <c r="CN120" i="98"/>
  <c r="CN128" i="98"/>
  <c r="CN139" i="98"/>
  <c r="CN336" i="98"/>
  <c r="CN343" i="98"/>
  <c r="AE337" i="98"/>
  <c r="C354" i="98"/>
  <c r="CN117" i="98"/>
  <c r="CN125" i="98"/>
  <c r="CN133" i="98"/>
  <c r="CN138" i="98"/>
  <c r="CN116" i="98"/>
  <c r="CN124" i="98"/>
  <c r="CN132" i="98"/>
  <c r="AE344" i="98"/>
  <c r="C361" i="98"/>
  <c r="CN329" i="98"/>
  <c r="CN339" i="98"/>
  <c r="CN332" i="98"/>
  <c r="CN330" i="98"/>
  <c r="CN348" i="98"/>
  <c r="CN328" i="98"/>
  <c r="CN342" i="98"/>
  <c r="X379" i="98"/>
  <c r="AB379" i="98"/>
  <c r="CN351" i="98"/>
  <c r="CN334" i="98"/>
  <c r="CN340" i="98"/>
  <c r="CN345" i="98"/>
  <c r="CN333" i="98"/>
  <c r="CN352" i="98"/>
  <c r="CN335" i="98"/>
  <c r="CN344" i="98"/>
  <c r="Y404" i="98"/>
  <c r="AC404" i="98"/>
  <c r="AD404" i="98"/>
  <c r="CN353" i="98"/>
  <c r="CN337" i="98"/>
  <c r="CN346" i="98"/>
  <c r="CN324" i="98"/>
  <c r="CN341" i="98"/>
  <c r="CN325" i="98"/>
  <c r="CN349" i="98"/>
  <c r="CN204" i="98"/>
  <c r="CN222" i="98"/>
  <c r="CN221" i="98"/>
  <c r="CN217" i="98"/>
  <c r="CN206" i="98"/>
  <c r="CN205" i="98"/>
  <c r="CN228" i="98"/>
  <c r="CN216" i="98"/>
  <c r="AK375" i="98"/>
  <c r="AO375" i="98"/>
  <c r="AE340" i="98"/>
  <c r="C357" i="98"/>
  <c r="CN202" i="98"/>
  <c r="CN203" i="98"/>
  <c r="CN219" i="98"/>
  <c r="CN227" i="98"/>
  <c r="CN215" i="98"/>
  <c r="CN212" i="98"/>
  <c r="CN214" i="98"/>
  <c r="X375" i="98"/>
  <c r="AB375" i="98"/>
  <c r="CN207" i="98"/>
  <c r="CN208" i="98"/>
  <c r="CN209" i="98"/>
  <c r="CN224" i="98"/>
  <c r="CN229" i="98"/>
  <c r="CN223" i="98"/>
  <c r="CN231" i="98"/>
  <c r="CN220" i="98"/>
  <c r="AP372" i="98"/>
  <c r="AS372" i="98"/>
  <c r="BM347" i="98"/>
  <c r="BN347" i="98"/>
  <c r="BL348" i="98"/>
  <c r="BM131" i="98"/>
  <c r="BN131" i="98"/>
  <c r="BL132" i="98"/>
  <c r="Y394" i="98"/>
  <c r="AK369" i="98"/>
  <c r="X369" i="98"/>
  <c r="AA346" i="98"/>
  <c r="C345" i="98"/>
  <c r="CN37" i="98"/>
  <c r="CN36" i="98"/>
  <c r="CN35" i="98"/>
  <c r="CN33" i="98"/>
  <c r="CN27" i="98"/>
  <c r="CN26" i="98"/>
  <c r="CN22" i="98"/>
  <c r="CN39" i="98"/>
  <c r="CN34" i="98"/>
  <c r="CN32" i="98"/>
  <c r="CN24" i="98"/>
  <c r="CN20" i="98"/>
  <c r="CN49" i="98"/>
  <c r="CN38" i="98"/>
  <c r="CN25" i="98"/>
  <c r="CN23" i="98"/>
  <c r="CN21" i="98"/>
  <c r="CN47" i="98"/>
  <c r="CN46" i="98"/>
  <c r="CN45" i="98"/>
  <c r="CN44" i="98"/>
  <c r="CN43" i="98"/>
  <c r="CN42" i="98"/>
  <c r="CN41" i="98"/>
  <c r="CN40" i="98"/>
  <c r="CN31" i="98"/>
  <c r="CN50" i="98"/>
  <c r="CN48" i="98"/>
  <c r="CN29" i="98"/>
  <c r="CN30" i="98"/>
  <c r="CN28" i="98"/>
  <c r="AE334" i="98"/>
  <c r="BM280" i="98"/>
  <c r="BN280" i="98"/>
  <c r="BL281" i="98"/>
  <c r="BO192" i="98"/>
  <c r="CZ192" i="98"/>
  <c r="AP374" i="98"/>
  <c r="BO36" i="98"/>
  <c r="CZ36" i="98"/>
  <c r="BO314" i="98"/>
  <c r="CZ314" i="98"/>
  <c r="BO372" i="98"/>
  <c r="CZ372" i="98"/>
  <c r="BO99" i="98"/>
  <c r="CZ99" i="98"/>
  <c r="BM159" i="98"/>
  <c r="BN159" i="98"/>
  <c r="BL160" i="98"/>
  <c r="BO346" i="98"/>
  <c r="CZ346" i="98"/>
  <c r="AP378" i="98"/>
  <c r="BM252" i="98"/>
  <c r="BN252" i="98"/>
  <c r="BL253" i="98"/>
  <c r="BO130" i="98"/>
  <c r="CZ130" i="98"/>
  <c r="BM72" i="98"/>
  <c r="BN72" i="98"/>
  <c r="BL73" i="98"/>
  <c r="BM223" i="98"/>
  <c r="BN223" i="98"/>
  <c r="BL224" i="98"/>
  <c r="AQ346" i="98"/>
  <c r="D345" i="98"/>
  <c r="AU334" i="98"/>
  <c r="BO279" i="98"/>
  <c r="CZ279" i="98"/>
  <c r="BM193" i="98"/>
  <c r="BN193" i="98"/>
  <c r="BL194" i="98"/>
  <c r="AP370" i="98"/>
  <c r="BM37" i="98"/>
  <c r="BN37" i="98"/>
  <c r="BL38" i="98"/>
  <c r="BM315" i="98"/>
  <c r="BN315" i="98"/>
  <c r="BL316" i="98"/>
  <c r="BM373" i="98"/>
  <c r="BN373" i="98"/>
  <c r="BL374" i="98"/>
  <c r="BM100" i="98"/>
  <c r="BN100" i="98"/>
  <c r="BL101" i="98"/>
  <c r="BO158" i="98"/>
  <c r="CZ158" i="98"/>
  <c r="D80" i="72"/>
  <c r="E80" i="72"/>
  <c r="B81" i="72"/>
  <c r="G62" i="72"/>
  <c r="E62" i="72"/>
  <c r="G68" i="72"/>
  <c r="D62" i="72"/>
  <c r="G52" i="72"/>
  <c r="E52" i="72"/>
  <c r="D52" i="72"/>
  <c r="B52" i="72"/>
  <c r="B1" i="77"/>
  <c r="AP380" i="98"/>
  <c r="AR380" i="98"/>
  <c r="AP373" i="98"/>
  <c r="AS373" i="98"/>
  <c r="BO37" i="98"/>
  <c r="CZ37" i="98"/>
  <c r="BO280" i="98"/>
  <c r="CZ280" i="98"/>
  <c r="AX372" i="98"/>
  <c r="CL134" i="98"/>
  <c r="CM134" i="98"/>
  <c r="AP379" i="98"/>
  <c r="AX379" i="98"/>
  <c r="CL353" i="98"/>
  <c r="CM353" i="98"/>
  <c r="AT377" i="98"/>
  <c r="BZ290" i="98"/>
  <c r="CA290" i="98"/>
  <c r="AP375" i="98"/>
  <c r="AU375" i="98"/>
  <c r="AQ377" i="98"/>
  <c r="BQ283" i="98"/>
  <c r="BR283" i="98"/>
  <c r="BA377" i="98"/>
  <c r="CU283" i="98"/>
  <c r="CV283" i="98"/>
  <c r="AU372" i="98"/>
  <c r="CC130" i="98"/>
  <c r="CD130" i="98"/>
  <c r="AR377" i="98"/>
  <c r="BT290" i="98"/>
  <c r="BU290" i="98"/>
  <c r="AU377" i="98"/>
  <c r="CC291" i="98"/>
  <c r="CD291" i="98"/>
  <c r="AX377" i="98"/>
  <c r="CL284" i="98"/>
  <c r="CM284" i="98"/>
  <c r="AZ372" i="98"/>
  <c r="CR138" i="98"/>
  <c r="CS138" i="98"/>
  <c r="AW372" i="98"/>
  <c r="CI135" i="98"/>
  <c r="CJ135" i="98"/>
  <c r="BB372" i="98"/>
  <c r="CX139" i="98"/>
  <c r="CY139" i="98"/>
  <c r="AQ372" i="98"/>
  <c r="BQ132" i="98"/>
  <c r="BR132" i="98"/>
  <c r="BA372" i="98"/>
  <c r="CU138" i="98"/>
  <c r="CV138" i="98"/>
  <c r="AR372" i="98"/>
  <c r="BT139" i="98"/>
  <c r="BU139" i="98"/>
  <c r="AY372" i="98"/>
  <c r="CO134" i="98"/>
  <c r="CP134" i="98"/>
  <c r="AW377" i="98"/>
  <c r="CI283" i="98"/>
  <c r="CJ283" i="98"/>
  <c r="AV377" i="98"/>
  <c r="CF290" i="98"/>
  <c r="CG290" i="98"/>
  <c r="BB377" i="98"/>
  <c r="CX284" i="98"/>
  <c r="CY284" i="98"/>
  <c r="AY377" i="98"/>
  <c r="CO280" i="98"/>
  <c r="CP280" i="98"/>
  <c r="AS377" i="98"/>
  <c r="BW283" i="98"/>
  <c r="BX283" i="98"/>
  <c r="AT372" i="98"/>
  <c r="BZ138" i="98"/>
  <c r="CA138" i="98"/>
  <c r="AV372" i="98"/>
  <c r="CF130" i="98"/>
  <c r="CG130" i="98"/>
  <c r="BM374" i="98"/>
  <c r="BN374" i="98"/>
  <c r="BL375" i="98"/>
  <c r="AZ376" i="98"/>
  <c r="AV376" i="98"/>
  <c r="AR376" i="98"/>
  <c r="BB376" i="98"/>
  <c r="AX376" i="98"/>
  <c r="AT376" i="98"/>
  <c r="AU376" i="98"/>
  <c r="AY376" i="98"/>
  <c r="AQ376" i="98"/>
  <c r="AS376" i="98"/>
  <c r="BA376" i="98"/>
  <c r="AW376" i="98"/>
  <c r="AZ378" i="98"/>
  <c r="AV378" i="98"/>
  <c r="AR378" i="98"/>
  <c r="BB378" i="98"/>
  <c r="AX378" i="98"/>
  <c r="AT378" i="98"/>
  <c r="AY378" i="98"/>
  <c r="AQ378" i="98"/>
  <c r="AU378" i="98"/>
  <c r="BA378" i="98"/>
  <c r="AS378" i="98"/>
  <c r="AW378" i="98"/>
  <c r="Y406" i="98"/>
  <c r="AC394" i="98"/>
  <c r="BM101" i="98"/>
  <c r="BN101" i="98"/>
  <c r="BL102" i="98"/>
  <c r="BM316" i="98"/>
  <c r="BN316" i="98"/>
  <c r="BL317" i="98"/>
  <c r="BA370" i="98"/>
  <c r="AW370" i="98"/>
  <c r="AS370" i="98"/>
  <c r="AY370" i="98"/>
  <c r="AU370" i="98"/>
  <c r="AQ370" i="98"/>
  <c r="BB370" i="98"/>
  <c r="AT370" i="98"/>
  <c r="AX370" i="98"/>
  <c r="AV370" i="98"/>
  <c r="AZ370" i="98"/>
  <c r="AR370" i="98"/>
  <c r="BM194" i="98"/>
  <c r="BN194" i="98"/>
  <c r="BL195" i="98"/>
  <c r="BO223" i="98"/>
  <c r="CZ223" i="98"/>
  <c r="BO72" i="98"/>
  <c r="CZ72" i="98"/>
  <c r="BM253" i="98"/>
  <c r="BN253" i="98"/>
  <c r="BL254" i="98"/>
  <c r="BM160" i="98"/>
  <c r="BN160" i="98"/>
  <c r="BL161" i="98"/>
  <c r="AE346" i="98"/>
  <c r="C351" i="98"/>
  <c r="C363" i="98"/>
  <c r="D468" i="98"/>
  <c r="CN386" i="98"/>
  <c r="AH407" i="98"/>
  <c r="D382" i="98"/>
  <c r="CR290" i="98"/>
  <c r="CS290" i="98"/>
  <c r="CR288" i="98"/>
  <c r="CS288" i="98"/>
  <c r="CR287" i="98"/>
  <c r="CS287" i="98"/>
  <c r="CR286" i="98"/>
  <c r="CS286" i="98"/>
  <c r="CR282" i="98"/>
  <c r="CS282" i="98"/>
  <c r="CR292" i="98"/>
  <c r="CS292" i="98"/>
  <c r="CR289" i="98"/>
  <c r="CS289" i="98"/>
  <c r="CR284" i="98"/>
  <c r="CS284" i="98"/>
  <c r="CR283" i="98"/>
  <c r="CS283" i="98"/>
  <c r="CR281" i="98"/>
  <c r="CS281" i="98"/>
  <c r="CR279" i="98"/>
  <c r="CS279" i="98"/>
  <c r="CR277" i="98"/>
  <c r="CS277" i="98"/>
  <c r="CR275" i="98"/>
  <c r="CS275" i="98"/>
  <c r="CR280" i="98"/>
  <c r="CS280" i="98"/>
  <c r="CR278" i="98"/>
  <c r="CS278" i="98"/>
  <c r="CR276" i="98"/>
  <c r="CS276" i="98"/>
  <c r="CR267" i="98"/>
  <c r="CS267" i="98"/>
  <c r="CR266" i="98"/>
  <c r="CS266" i="98"/>
  <c r="CR265" i="98"/>
  <c r="CS265" i="98"/>
  <c r="CR264" i="98"/>
  <c r="CS264" i="98"/>
  <c r="CR263" i="98"/>
  <c r="CS263" i="98"/>
  <c r="CR273" i="98"/>
  <c r="CS273" i="98"/>
  <c r="CR271" i="98"/>
  <c r="CS271" i="98"/>
  <c r="CR291" i="98"/>
  <c r="CS291" i="98"/>
  <c r="CR285" i="98"/>
  <c r="CS285" i="98"/>
  <c r="CR272" i="98"/>
  <c r="CS272" i="98"/>
  <c r="CR269" i="98"/>
  <c r="CS269" i="98"/>
  <c r="CR274" i="98"/>
  <c r="CS274" i="98"/>
  <c r="CR270" i="98"/>
  <c r="CS270" i="98"/>
  <c r="CR268" i="98"/>
  <c r="CS268" i="98"/>
  <c r="BO131" i="98"/>
  <c r="CZ131" i="98"/>
  <c r="BM348" i="98"/>
  <c r="BN348" i="98"/>
  <c r="BL349" i="98"/>
  <c r="BO373" i="98"/>
  <c r="CZ373" i="98"/>
  <c r="BM38" i="98"/>
  <c r="BN38" i="98"/>
  <c r="BL39" i="98"/>
  <c r="D351" i="98"/>
  <c r="D363" i="98"/>
  <c r="E468" i="98"/>
  <c r="E473" i="98"/>
  <c r="AU346" i="98"/>
  <c r="BA371" i="98"/>
  <c r="AW371" i="98"/>
  <c r="AS371" i="98"/>
  <c r="AY371" i="98"/>
  <c r="AU371" i="98"/>
  <c r="AQ371" i="98"/>
  <c r="AZ371" i="98"/>
  <c r="AR371" i="98"/>
  <c r="AV371" i="98"/>
  <c r="AT371" i="98"/>
  <c r="BB371" i="98"/>
  <c r="AX371" i="98"/>
  <c r="BA374" i="98"/>
  <c r="AW374" i="98"/>
  <c r="AS374" i="98"/>
  <c r="AY374" i="98"/>
  <c r="AU374" i="98"/>
  <c r="AQ374" i="98"/>
  <c r="AZ374" i="98"/>
  <c r="AR374" i="98"/>
  <c r="AV374" i="98"/>
  <c r="AX374" i="98"/>
  <c r="AT374" i="98"/>
  <c r="BB374" i="98"/>
  <c r="BM281" i="98"/>
  <c r="BN281" i="98"/>
  <c r="BL282" i="98"/>
  <c r="X384" i="98"/>
  <c r="AB369" i="98"/>
  <c r="BO100" i="98"/>
  <c r="CZ100" i="98"/>
  <c r="BO315" i="98"/>
  <c r="CZ315" i="98"/>
  <c r="BO193" i="98"/>
  <c r="CZ193" i="98"/>
  <c r="BM224" i="98"/>
  <c r="BN224" i="98"/>
  <c r="BL225" i="98"/>
  <c r="BM73" i="98"/>
  <c r="BN73" i="98"/>
  <c r="BL74" i="98"/>
  <c r="BO252" i="98"/>
  <c r="CZ252" i="98"/>
  <c r="BO159" i="98"/>
  <c r="CZ159" i="98"/>
  <c r="AK384" i="98"/>
  <c r="AO369" i="98"/>
  <c r="BM132" i="98"/>
  <c r="BN132" i="98"/>
  <c r="BL133" i="98"/>
  <c r="BW138" i="98"/>
  <c r="BX138" i="98"/>
  <c r="BW137" i="98"/>
  <c r="BX137" i="98"/>
  <c r="BW136" i="98"/>
  <c r="BX136" i="98"/>
  <c r="BW135" i="98"/>
  <c r="BX135" i="98"/>
  <c r="BW133" i="98"/>
  <c r="BX133" i="98"/>
  <c r="BW131" i="98"/>
  <c r="BX131" i="98"/>
  <c r="BW129" i="98"/>
  <c r="BX129" i="98"/>
  <c r="BW127" i="98"/>
  <c r="BX127" i="98"/>
  <c r="BW125" i="98"/>
  <c r="BX125" i="98"/>
  <c r="BW123" i="98"/>
  <c r="BX123" i="98"/>
  <c r="BW121" i="98"/>
  <c r="BX121" i="98"/>
  <c r="BW119" i="98"/>
  <c r="BX119" i="98"/>
  <c r="BW117" i="98"/>
  <c r="BX117" i="98"/>
  <c r="BW115" i="98"/>
  <c r="BX115" i="98"/>
  <c r="BW113" i="98"/>
  <c r="BX113" i="98"/>
  <c r="BW111" i="98"/>
  <c r="BX111" i="98"/>
  <c r="BW134" i="98"/>
  <c r="BX134" i="98"/>
  <c r="BW132" i="98"/>
  <c r="BX132" i="98"/>
  <c r="BW130" i="98"/>
  <c r="BX130" i="98"/>
  <c r="BW128" i="98"/>
  <c r="BX128" i="98"/>
  <c r="BW126" i="98"/>
  <c r="BX126" i="98"/>
  <c r="BW124" i="98"/>
  <c r="BX124" i="98"/>
  <c r="BW122" i="98"/>
  <c r="BX122" i="98"/>
  <c r="BW120" i="98"/>
  <c r="BX120" i="98"/>
  <c r="BW118" i="98"/>
  <c r="BX118" i="98"/>
  <c r="BW116" i="98"/>
  <c r="BX116" i="98"/>
  <c r="BW114" i="98"/>
  <c r="BX114" i="98"/>
  <c r="BW112" i="98"/>
  <c r="BX112" i="98"/>
  <c r="BW110" i="98"/>
  <c r="BX110" i="98"/>
  <c r="BW139" i="98"/>
  <c r="BX139" i="98"/>
  <c r="BO347" i="98"/>
  <c r="CZ347" i="98"/>
  <c r="L2" i="77"/>
  <c r="G71" i="72"/>
  <c r="G51" i="72"/>
  <c r="AT380" i="98"/>
  <c r="BO132" i="98"/>
  <c r="CZ132" i="98"/>
  <c r="BO101" i="98"/>
  <c r="CZ101" i="98"/>
  <c r="CL123" i="98"/>
  <c r="CM123" i="98"/>
  <c r="CL137" i="98"/>
  <c r="CM137" i="98"/>
  <c r="CL122" i="98"/>
  <c r="CM122" i="98"/>
  <c r="AX380" i="98"/>
  <c r="CL383" i="98"/>
  <c r="CM383" i="98"/>
  <c r="AS380" i="98"/>
  <c r="BW377" i="98"/>
  <c r="BX377" i="98"/>
  <c r="AV380" i="98"/>
  <c r="CF379" i="98"/>
  <c r="CG379" i="98"/>
  <c r="CL115" i="98"/>
  <c r="CM115" i="98"/>
  <c r="CL131" i="98"/>
  <c r="CM131" i="98"/>
  <c r="CL114" i="98"/>
  <c r="CM114" i="98"/>
  <c r="CL130" i="98"/>
  <c r="CM130" i="98"/>
  <c r="CL113" i="98"/>
  <c r="CM113" i="98"/>
  <c r="CL129" i="98"/>
  <c r="CM129" i="98"/>
  <c r="CL112" i="98"/>
  <c r="CM112" i="98"/>
  <c r="CL128" i="98"/>
  <c r="CM128" i="98"/>
  <c r="AQ380" i="98"/>
  <c r="BQ382" i="98"/>
  <c r="BR382" i="98"/>
  <c r="AZ380" i="98"/>
  <c r="CR379" i="98"/>
  <c r="CS379" i="98"/>
  <c r="CL121" i="98"/>
  <c r="CM121" i="98"/>
  <c r="CL136" i="98"/>
  <c r="CM136" i="98"/>
  <c r="CL120" i="98"/>
  <c r="CM120" i="98"/>
  <c r="CL139" i="98"/>
  <c r="CM139" i="98"/>
  <c r="CL344" i="98"/>
  <c r="CM344" i="98"/>
  <c r="AQ373" i="98"/>
  <c r="BQ168" i="98"/>
  <c r="BR168" i="98"/>
  <c r="AZ373" i="98"/>
  <c r="CR164" i="98"/>
  <c r="CS164" i="98"/>
  <c r="AW373" i="98"/>
  <c r="CI167" i="98"/>
  <c r="CJ167" i="98"/>
  <c r="BZ275" i="98"/>
  <c r="CA275" i="98"/>
  <c r="BZ289" i="98"/>
  <c r="CA289" i="98"/>
  <c r="AX373" i="98"/>
  <c r="CL169" i="98"/>
  <c r="CM169" i="98"/>
  <c r="AU373" i="98"/>
  <c r="CC166" i="98"/>
  <c r="CD166" i="98"/>
  <c r="BA373" i="98"/>
  <c r="CU165" i="98"/>
  <c r="CV165" i="98"/>
  <c r="AW380" i="98"/>
  <c r="CI383" i="98"/>
  <c r="CJ383" i="98"/>
  <c r="AY380" i="98"/>
  <c r="CO384" i="98"/>
  <c r="CP384" i="98"/>
  <c r="BB380" i="98"/>
  <c r="CX381" i="98"/>
  <c r="CY381" i="98"/>
  <c r="CL117" i="98"/>
  <c r="CM117" i="98"/>
  <c r="CL125" i="98"/>
  <c r="CM125" i="98"/>
  <c r="CL133" i="98"/>
  <c r="CM133" i="98"/>
  <c r="CL138" i="98"/>
  <c r="CM138" i="98"/>
  <c r="CL116" i="98"/>
  <c r="CM116" i="98"/>
  <c r="CL124" i="98"/>
  <c r="CM124" i="98"/>
  <c r="CL132" i="98"/>
  <c r="CM132" i="98"/>
  <c r="AV373" i="98"/>
  <c r="CF166" i="98"/>
  <c r="CG166" i="98"/>
  <c r="AT373" i="98"/>
  <c r="BZ163" i="98"/>
  <c r="CA163" i="98"/>
  <c r="AY373" i="98"/>
  <c r="CO155" i="98"/>
  <c r="CP155" i="98"/>
  <c r="CC290" i="98"/>
  <c r="CD290" i="98"/>
  <c r="BA380" i="98"/>
  <c r="CU383" i="98"/>
  <c r="CV383" i="98"/>
  <c r="AU380" i="98"/>
  <c r="CC383" i="98"/>
  <c r="CD383" i="98"/>
  <c r="CL111" i="98"/>
  <c r="CM111" i="98"/>
  <c r="CL119" i="98"/>
  <c r="CM119" i="98"/>
  <c r="CL127" i="98"/>
  <c r="CM127" i="98"/>
  <c r="CL135" i="98"/>
  <c r="CM135" i="98"/>
  <c r="CL110" i="98"/>
  <c r="CM110" i="98"/>
  <c r="CL118" i="98"/>
  <c r="CM118" i="98"/>
  <c r="CL126" i="98"/>
  <c r="CM126" i="98"/>
  <c r="AR373" i="98"/>
  <c r="BT164" i="98"/>
  <c r="BU164" i="98"/>
  <c r="BB373" i="98"/>
  <c r="CX165" i="98"/>
  <c r="CY165" i="98"/>
  <c r="BO281" i="98"/>
  <c r="CZ281" i="98"/>
  <c r="BO38" i="98"/>
  <c r="CZ38" i="98"/>
  <c r="BO348" i="98"/>
  <c r="CZ348" i="98"/>
  <c r="BO73" i="98"/>
  <c r="CZ73" i="98"/>
  <c r="CL340" i="98"/>
  <c r="CM340" i="98"/>
  <c r="CL335" i="98"/>
  <c r="CM335" i="98"/>
  <c r="BZ283" i="98"/>
  <c r="CA283" i="98"/>
  <c r="CL348" i="98"/>
  <c r="CM348" i="98"/>
  <c r="CL339" i="98"/>
  <c r="CM339" i="98"/>
  <c r="CL330" i="98"/>
  <c r="CM330" i="98"/>
  <c r="AU379" i="98"/>
  <c r="CC350" i="98"/>
  <c r="CD350" i="98"/>
  <c r="BZ267" i="98"/>
  <c r="CA267" i="98"/>
  <c r="BZ280" i="98"/>
  <c r="CA280" i="98"/>
  <c r="CL332" i="98"/>
  <c r="CM332" i="98"/>
  <c r="CL346" i="98"/>
  <c r="CM346" i="98"/>
  <c r="AS379" i="98"/>
  <c r="BW353" i="98"/>
  <c r="BX353" i="98"/>
  <c r="CL349" i="98"/>
  <c r="CM349" i="98"/>
  <c r="CL326" i="98"/>
  <c r="CM326" i="98"/>
  <c r="CL341" i="98"/>
  <c r="CM341" i="98"/>
  <c r="CU269" i="98"/>
  <c r="CV269" i="98"/>
  <c r="CX132" i="98"/>
  <c r="CY132" i="98"/>
  <c r="BB375" i="98"/>
  <c r="CX216" i="98"/>
  <c r="CY216" i="98"/>
  <c r="BZ269" i="98"/>
  <c r="CA269" i="98"/>
  <c r="BZ291" i="98"/>
  <c r="CA291" i="98"/>
  <c r="BZ286" i="98"/>
  <c r="CA286" i="98"/>
  <c r="CL329" i="98"/>
  <c r="CM329" i="98"/>
  <c r="CL336" i="98"/>
  <c r="CM336" i="98"/>
  <c r="CL324" i="98"/>
  <c r="CM324" i="98"/>
  <c r="CL342" i="98"/>
  <c r="CM342" i="98"/>
  <c r="BZ268" i="98"/>
  <c r="CA268" i="98"/>
  <c r="BZ265" i="98"/>
  <c r="CA265" i="98"/>
  <c r="BZ288" i="98"/>
  <c r="CA288" i="98"/>
  <c r="AY379" i="98"/>
  <c r="CO352" i="98"/>
  <c r="CP352" i="98"/>
  <c r="AZ379" i="98"/>
  <c r="CR332" i="98"/>
  <c r="CS332" i="98"/>
  <c r="AW379" i="98"/>
  <c r="CI334" i="98"/>
  <c r="CJ334" i="98"/>
  <c r="AQ379" i="98"/>
  <c r="BQ346" i="98"/>
  <c r="BR346" i="98"/>
  <c r="CL337" i="98"/>
  <c r="CM337" i="98"/>
  <c r="CL331" i="98"/>
  <c r="CM331" i="98"/>
  <c r="CL352" i="98"/>
  <c r="CM352" i="98"/>
  <c r="CL350" i="98"/>
  <c r="CM350" i="98"/>
  <c r="CL328" i="98"/>
  <c r="CM328" i="98"/>
  <c r="CL351" i="98"/>
  <c r="CM351" i="98"/>
  <c r="CL333" i="98"/>
  <c r="CM333" i="98"/>
  <c r="CL347" i="98"/>
  <c r="CM347" i="98"/>
  <c r="CO117" i="98"/>
  <c r="CP117" i="98"/>
  <c r="BZ273" i="98"/>
  <c r="CA273" i="98"/>
  <c r="BZ270" i="98"/>
  <c r="CA270" i="98"/>
  <c r="BZ263" i="98"/>
  <c r="CA263" i="98"/>
  <c r="BZ278" i="98"/>
  <c r="CA278" i="98"/>
  <c r="BZ287" i="98"/>
  <c r="CA287" i="98"/>
  <c r="BZ292" i="98"/>
  <c r="CA292" i="98"/>
  <c r="AR379" i="98"/>
  <c r="BT339" i="98"/>
  <c r="BU339" i="98"/>
  <c r="BA379" i="98"/>
  <c r="CU353" i="98"/>
  <c r="CV353" i="98"/>
  <c r="BB379" i="98"/>
  <c r="CX347" i="98"/>
  <c r="CY347" i="98"/>
  <c r="AV379" i="98"/>
  <c r="CC286" i="98"/>
  <c r="CD286" i="98"/>
  <c r="CL343" i="98"/>
  <c r="CM343" i="98"/>
  <c r="CL334" i="98"/>
  <c r="CM334" i="98"/>
  <c r="CL338" i="98"/>
  <c r="CM338" i="98"/>
  <c r="CL325" i="98"/>
  <c r="CM325" i="98"/>
  <c r="CL345" i="98"/>
  <c r="CM345" i="98"/>
  <c r="CL327" i="98"/>
  <c r="CM327" i="98"/>
  <c r="BZ272" i="98"/>
  <c r="CA272" i="98"/>
  <c r="BZ274" i="98"/>
  <c r="CA274" i="98"/>
  <c r="BZ279" i="98"/>
  <c r="CA279" i="98"/>
  <c r="BZ266" i="98"/>
  <c r="CA266" i="98"/>
  <c r="BZ285" i="98"/>
  <c r="CA285" i="98"/>
  <c r="BZ284" i="98"/>
  <c r="CA284" i="98"/>
  <c r="AT379" i="98"/>
  <c r="BZ329" i="98"/>
  <c r="CA329" i="98"/>
  <c r="CU119" i="98"/>
  <c r="CV119" i="98"/>
  <c r="BZ136" i="98"/>
  <c r="CA136" i="98"/>
  <c r="CL287" i="98"/>
  <c r="CM287" i="98"/>
  <c r="CC113" i="98"/>
  <c r="CD113" i="98"/>
  <c r="AV375" i="98"/>
  <c r="CF230" i="98"/>
  <c r="CG230" i="98"/>
  <c r="BQ289" i="98"/>
  <c r="BR289" i="98"/>
  <c r="CF285" i="98"/>
  <c r="CG285" i="98"/>
  <c r="AQ375" i="98"/>
  <c r="BQ226" i="98"/>
  <c r="BR226" i="98"/>
  <c r="BQ292" i="98"/>
  <c r="BR292" i="98"/>
  <c r="CF286" i="98"/>
  <c r="CG286" i="98"/>
  <c r="CR116" i="98"/>
  <c r="CS116" i="98"/>
  <c r="BQ270" i="98"/>
  <c r="BR270" i="98"/>
  <c r="BZ120" i="98"/>
  <c r="CA120" i="98"/>
  <c r="CR123" i="98"/>
  <c r="CS123" i="98"/>
  <c r="BZ271" i="98"/>
  <c r="CA271" i="98"/>
  <c r="BZ281" i="98"/>
  <c r="CA281" i="98"/>
  <c r="BZ277" i="98"/>
  <c r="CA277" i="98"/>
  <c r="BZ264" i="98"/>
  <c r="CA264" i="98"/>
  <c r="BZ276" i="98"/>
  <c r="CA276" i="98"/>
  <c r="BZ282" i="98"/>
  <c r="CA282" i="98"/>
  <c r="BQ285" i="98"/>
  <c r="BR285" i="98"/>
  <c r="CU112" i="98"/>
  <c r="CV112" i="98"/>
  <c r="CI269" i="98"/>
  <c r="CJ269" i="98"/>
  <c r="AR375" i="98"/>
  <c r="BT220" i="98"/>
  <c r="BU220" i="98"/>
  <c r="AW375" i="98"/>
  <c r="CI219" i="98"/>
  <c r="CJ219" i="98"/>
  <c r="AY375" i="98"/>
  <c r="CO226" i="98"/>
  <c r="CP226" i="98"/>
  <c r="BT286" i="98"/>
  <c r="BU286" i="98"/>
  <c r="CU285" i="98"/>
  <c r="CV285" i="98"/>
  <c r="CC112" i="98"/>
  <c r="CD112" i="98"/>
  <c r="BW291" i="98"/>
  <c r="BX291" i="98"/>
  <c r="AT375" i="98"/>
  <c r="BZ216" i="98"/>
  <c r="CA216" i="98"/>
  <c r="AZ375" i="98"/>
  <c r="CR230" i="98"/>
  <c r="CS230" i="98"/>
  <c r="BA375" i="98"/>
  <c r="CU225" i="98"/>
  <c r="CV225" i="98"/>
  <c r="BQ114" i="98"/>
  <c r="BR114" i="98"/>
  <c r="AX375" i="98"/>
  <c r="CL216" i="98"/>
  <c r="CM216" i="98"/>
  <c r="AS375" i="98"/>
  <c r="BW225" i="98"/>
  <c r="BX225" i="98"/>
  <c r="CC285" i="98"/>
  <c r="CD285" i="98"/>
  <c r="CR132" i="98"/>
  <c r="CS132" i="98"/>
  <c r="CX137" i="98"/>
  <c r="CY137" i="98"/>
  <c r="BQ286" i="98"/>
  <c r="BR286" i="98"/>
  <c r="CU128" i="98"/>
  <c r="CV128" i="98"/>
  <c r="BZ115" i="98"/>
  <c r="CA115" i="98"/>
  <c r="CC263" i="98"/>
  <c r="CD263" i="98"/>
  <c r="CO116" i="98"/>
  <c r="CP116" i="98"/>
  <c r="CR137" i="98"/>
  <c r="CS137" i="98"/>
  <c r="BQ267" i="98"/>
  <c r="BR267" i="98"/>
  <c r="BQ280" i="98"/>
  <c r="BR280" i="98"/>
  <c r="CU135" i="98"/>
  <c r="CV135" i="98"/>
  <c r="CF278" i="98"/>
  <c r="CG278" i="98"/>
  <c r="BZ127" i="98"/>
  <c r="CA127" i="98"/>
  <c r="CC288" i="98"/>
  <c r="CD288" i="98"/>
  <c r="CC271" i="98"/>
  <c r="CD271" i="98"/>
  <c r="CO132" i="98"/>
  <c r="CP132" i="98"/>
  <c r="CR115" i="98"/>
  <c r="CS115" i="98"/>
  <c r="CX116" i="98"/>
  <c r="CY116" i="98"/>
  <c r="BQ279" i="98"/>
  <c r="BR279" i="98"/>
  <c r="BQ284" i="98"/>
  <c r="BR284" i="98"/>
  <c r="BQ268" i="98"/>
  <c r="BR268" i="98"/>
  <c r="BQ290" i="98"/>
  <c r="BR290" i="98"/>
  <c r="CU111" i="98"/>
  <c r="CV111" i="98"/>
  <c r="CF264" i="98"/>
  <c r="CG264" i="98"/>
  <c r="BZ130" i="98"/>
  <c r="CA130" i="98"/>
  <c r="CC287" i="98"/>
  <c r="CD287" i="98"/>
  <c r="CO133" i="98"/>
  <c r="CP133" i="98"/>
  <c r="CR124" i="98"/>
  <c r="CS124" i="98"/>
  <c r="CR131" i="98"/>
  <c r="CS131" i="98"/>
  <c r="CX123" i="98"/>
  <c r="CY123" i="98"/>
  <c r="BQ263" i="98"/>
  <c r="BR263" i="98"/>
  <c r="BQ266" i="98"/>
  <c r="BR266" i="98"/>
  <c r="BQ273" i="98"/>
  <c r="BR273" i="98"/>
  <c r="BQ291" i="98"/>
  <c r="BR291" i="98"/>
  <c r="CU120" i="98"/>
  <c r="CV120" i="98"/>
  <c r="CU127" i="98"/>
  <c r="CV127" i="98"/>
  <c r="CO279" i="98"/>
  <c r="CP279" i="98"/>
  <c r="CF279" i="98"/>
  <c r="CG279" i="98"/>
  <c r="BZ124" i="98"/>
  <c r="CA124" i="98"/>
  <c r="BZ121" i="98"/>
  <c r="CA121" i="98"/>
  <c r="BZ139" i="98"/>
  <c r="CA139" i="98"/>
  <c r="CC277" i="98"/>
  <c r="CD277" i="98"/>
  <c r="CC267" i="98"/>
  <c r="CD267" i="98"/>
  <c r="CC269" i="98"/>
  <c r="CD269" i="98"/>
  <c r="CC283" i="98"/>
  <c r="CD283" i="98"/>
  <c r="CO139" i="98"/>
  <c r="CP139" i="98"/>
  <c r="CO138" i="98"/>
  <c r="CP138" i="98"/>
  <c r="CR112" i="98"/>
  <c r="CS112" i="98"/>
  <c r="CR128" i="98"/>
  <c r="CS128" i="98"/>
  <c r="CR119" i="98"/>
  <c r="CS119" i="98"/>
  <c r="CR135" i="98"/>
  <c r="CS135" i="98"/>
  <c r="CX124" i="98"/>
  <c r="CY124" i="98"/>
  <c r="CX131" i="98"/>
  <c r="CY131" i="98"/>
  <c r="BQ287" i="98"/>
  <c r="BR287" i="98"/>
  <c r="BQ265" i="98"/>
  <c r="BR265" i="98"/>
  <c r="BQ288" i="98"/>
  <c r="BR288" i="98"/>
  <c r="BQ278" i="98"/>
  <c r="BR278" i="98"/>
  <c r="BQ269" i="98"/>
  <c r="BR269" i="98"/>
  <c r="BQ274" i="98"/>
  <c r="BR274" i="98"/>
  <c r="BQ281" i="98"/>
  <c r="BR281" i="98"/>
  <c r="CU139" i="98"/>
  <c r="CV139" i="98"/>
  <c r="CU124" i="98"/>
  <c r="CV124" i="98"/>
  <c r="CU115" i="98"/>
  <c r="CV115" i="98"/>
  <c r="CU131" i="98"/>
  <c r="CV131" i="98"/>
  <c r="CF269" i="98"/>
  <c r="CG269" i="98"/>
  <c r="CF275" i="98"/>
  <c r="CG275" i="98"/>
  <c r="CF288" i="98"/>
  <c r="CG288" i="98"/>
  <c r="BZ114" i="98"/>
  <c r="CA114" i="98"/>
  <c r="BZ111" i="98"/>
  <c r="CA111" i="98"/>
  <c r="BZ131" i="98"/>
  <c r="CA131" i="98"/>
  <c r="CC275" i="98"/>
  <c r="CD275" i="98"/>
  <c r="CC266" i="98"/>
  <c r="CD266" i="98"/>
  <c r="CC272" i="98"/>
  <c r="CD272" i="98"/>
  <c r="CC274" i="98"/>
  <c r="CD274" i="98"/>
  <c r="CO125" i="98"/>
  <c r="CP125" i="98"/>
  <c r="CO124" i="98"/>
  <c r="CP124" i="98"/>
  <c r="CR120" i="98"/>
  <c r="CS120" i="98"/>
  <c r="CR111" i="98"/>
  <c r="CS111" i="98"/>
  <c r="CR127" i="98"/>
  <c r="CS127" i="98"/>
  <c r="CR139" i="98"/>
  <c r="CS139" i="98"/>
  <c r="CX115" i="98"/>
  <c r="CY115" i="98"/>
  <c r="BQ275" i="98"/>
  <c r="BR275" i="98"/>
  <c r="BQ277" i="98"/>
  <c r="BR277" i="98"/>
  <c r="BQ276" i="98"/>
  <c r="BR276" i="98"/>
  <c r="BQ264" i="98"/>
  <c r="BR264" i="98"/>
  <c r="BQ272" i="98"/>
  <c r="BR272" i="98"/>
  <c r="BQ271" i="98"/>
  <c r="BR271" i="98"/>
  <c r="BQ282" i="98"/>
  <c r="BR282" i="98"/>
  <c r="CU116" i="98"/>
  <c r="CV116" i="98"/>
  <c r="CU132" i="98"/>
  <c r="CV132" i="98"/>
  <c r="CU123" i="98"/>
  <c r="CV123" i="98"/>
  <c r="CU137" i="98"/>
  <c r="CV137" i="98"/>
  <c r="CO271" i="98"/>
  <c r="CP271" i="98"/>
  <c r="CF270" i="98"/>
  <c r="CG270" i="98"/>
  <c r="CF266" i="98"/>
  <c r="CG266" i="98"/>
  <c r="CF289" i="98"/>
  <c r="CG289" i="98"/>
  <c r="BT263" i="98"/>
  <c r="BU263" i="98"/>
  <c r="CU266" i="98"/>
  <c r="CV266" i="98"/>
  <c r="CC129" i="98"/>
  <c r="CD129" i="98"/>
  <c r="CL268" i="98"/>
  <c r="CM268" i="98"/>
  <c r="CU286" i="98"/>
  <c r="CV286" i="98"/>
  <c r="CC128" i="98"/>
  <c r="CD128" i="98"/>
  <c r="BW279" i="98"/>
  <c r="BX279" i="98"/>
  <c r="BQ115" i="98"/>
  <c r="BR115" i="98"/>
  <c r="CI285" i="98"/>
  <c r="CJ285" i="98"/>
  <c r="CL265" i="98"/>
  <c r="CM265" i="98"/>
  <c r="BT277" i="98"/>
  <c r="BU277" i="98"/>
  <c r="CU265" i="98"/>
  <c r="CV265" i="98"/>
  <c r="CU274" i="98"/>
  <c r="CV274" i="98"/>
  <c r="CC121" i="98"/>
  <c r="CD121" i="98"/>
  <c r="CC120" i="98"/>
  <c r="CD120" i="98"/>
  <c r="BW287" i="98"/>
  <c r="BX287" i="98"/>
  <c r="BQ130" i="98"/>
  <c r="BR130" i="98"/>
  <c r="CI289" i="98"/>
  <c r="CJ289" i="98"/>
  <c r="CL272" i="98"/>
  <c r="CM272" i="98"/>
  <c r="BT270" i="98"/>
  <c r="BU270" i="98"/>
  <c r="CU277" i="98"/>
  <c r="CV277" i="98"/>
  <c r="CU280" i="98"/>
  <c r="CV280" i="98"/>
  <c r="CC136" i="98"/>
  <c r="CD136" i="98"/>
  <c r="BT116" i="98"/>
  <c r="BU116" i="98"/>
  <c r="BW263" i="98"/>
  <c r="BX263" i="98"/>
  <c r="BQ131" i="98"/>
  <c r="BR131" i="98"/>
  <c r="CI266" i="98"/>
  <c r="CJ266" i="98"/>
  <c r="CL279" i="98"/>
  <c r="CM279" i="98"/>
  <c r="CL289" i="98"/>
  <c r="CM289" i="98"/>
  <c r="BT267" i="98"/>
  <c r="BU267" i="98"/>
  <c r="CU278" i="98"/>
  <c r="CV278" i="98"/>
  <c r="CU279" i="98"/>
  <c r="CV279" i="98"/>
  <c r="CU272" i="98"/>
  <c r="CV272" i="98"/>
  <c r="CU291" i="98"/>
  <c r="CV291" i="98"/>
  <c r="CC139" i="98"/>
  <c r="CD139" i="98"/>
  <c r="CC125" i="98"/>
  <c r="CD125" i="98"/>
  <c r="CC138" i="98"/>
  <c r="CD138" i="98"/>
  <c r="CC124" i="98"/>
  <c r="CD124" i="98"/>
  <c r="BW282" i="98"/>
  <c r="BX282" i="98"/>
  <c r="BW288" i="98"/>
  <c r="BX288" i="98"/>
  <c r="BQ123" i="98"/>
  <c r="BR123" i="98"/>
  <c r="BQ122" i="98"/>
  <c r="BR122" i="98"/>
  <c r="CX291" i="98"/>
  <c r="CY291" i="98"/>
  <c r="CI265" i="98"/>
  <c r="CJ265" i="98"/>
  <c r="CI274" i="98"/>
  <c r="CJ274" i="98"/>
  <c r="CL273" i="98"/>
  <c r="CM273" i="98"/>
  <c r="CL278" i="98"/>
  <c r="CM278" i="98"/>
  <c r="BT271" i="98"/>
  <c r="BU271" i="98"/>
  <c r="BT284" i="98"/>
  <c r="BU284" i="98"/>
  <c r="CU282" i="98"/>
  <c r="CV282" i="98"/>
  <c r="CU271" i="98"/>
  <c r="CV271" i="98"/>
  <c r="CU289" i="98"/>
  <c r="CV289" i="98"/>
  <c r="CC117" i="98"/>
  <c r="CD117" i="98"/>
  <c r="CC133" i="98"/>
  <c r="CD133" i="98"/>
  <c r="CC116" i="98"/>
  <c r="CD116" i="98"/>
  <c r="CC132" i="98"/>
  <c r="CD132" i="98"/>
  <c r="BW271" i="98"/>
  <c r="BX271" i="98"/>
  <c r="CI133" i="98"/>
  <c r="CJ133" i="98"/>
  <c r="BQ137" i="98"/>
  <c r="BR137" i="98"/>
  <c r="CI282" i="98"/>
  <c r="CJ282" i="98"/>
  <c r="CI280" i="98"/>
  <c r="CJ280" i="98"/>
  <c r="CL280" i="98"/>
  <c r="CM280" i="98"/>
  <c r="CL263" i="98"/>
  <c r="CM263" i="98"/>
  <c r="CL282" i="98"/>
  <c r="CM282" i="98"/>
  <c r="BT280" i="98"/>
  <c r="BU280" i="98"/>
  <c r="BT285" i="98"/>
  <c r="BU285" i="98"/>
  <c r="BT278" i="98"/>
  <c r="BU278" i="98"/>
  <c r="BT292" i="98"/>
  <c r="BU292" i="98"/>
  <c r="CU263" i="98"/>
  <c r="CV263" i="98"/>
  <c r="CU264" i="98"/>
  <c r="CV264" i="98"/>
  <c r="CU290" i="98"/>
  <c r="CV290" i="98"/>
  <c r="CU268" i="98"/>
  <c r="CV268" i="98"/>
  <c r="CU273" i="98"/>
  <c r="CV273" i="98"/>
  <c r="CU284" i="98"/>
  <c r="CV284" i="98"/>
  <c r="CU292" i="98"/>
  <c r="CV292" i="98"/>
  <c r="CU281" i="98"/>
  <c r="CV281" i="98"/>
  <c r="CC111" i="98"/>
  <c r="CD111" i="98"/>
  <c r="CC119" i="98"/>
  <c r="CD119" i="98"/>
  <c r="CC127" i="98"/>
  <c r="CD127" i="98"/>
  <c r="CC135" i="98"/>
  <c r="CD135" i="98"/>
  <c r="CC110" i="98"/>
  <c r="CD110" i="98"/>
  <c r="CC118" i="98"/>
  <c r="CD118" i="98"/>
  <c r="CC126" i="98"/>
  <c r="CD126" i="98"/>
  <c r="CC134" i="98"/>
  <c r="CD134" i="98"/>
  <c r="BW267" i="98"/>
  <c r="BX267" i="98"/>
  <c r="BW269" i="98"/>
  <c r="BX269" i="98"/>
  <c r="BW284" i="98"/>
  <c r="BX284" i="98"/>
  <c r="BW285" i="98"/>
  <c r="BX285" i="98"/>
  <c r="BQ111" i="98"/>
  <c r="BR111" i="98"/>
  <c r="BQ127" i="98"/>
  <c r="BR127" i="98"/>
  <c r="BQ110" i="98"/>
  <c r="BR110" i="98"/>
  <c r="BQ126" i="98"/>
  <c r="BR126" i="98"/>
  <c r="CI275" i="98"/>
  <c r="CJ275" i="98"/>
  <c r="CI271" i="98"/>
  <c r="CJ271" i="98"/>
  <c r="CI272" i="98"/>
  <c r="CJ272" i="98"/>
  <c r="CF112" i="98"/>
  <c r="CG112" i="98"/>
  <c r="CL269" i="98"/>
  <c r="CM269" i="98"/>
  <c r="CL275" i="98"/>
  <c r="CM275" i="98"/>
  <c r="CL267" i="98"/>
  <c r="CM267" i="98"/>
  <c r="CL290" i="98"/>
  <c r="CM290" i="98"/>
  <c r="BT269" i="98"/>
  <c r="BU269" i="98"/>
  <c r="BT265" i="98"/>
  <c r="BU265" i="98"/>
  <c r="BT281" i="98"/>
  <c r="BU281" i="98"/>
  <c r="BT288" i="98"/>
  <c r="BU288" i="98"/>
  <c r="CU267" i="98"/>
  <c r="CV267" i="98"/>
  <c r="CU276" i="98"/>
  <c r="CV276" i="98"/>
  <c r="CU275" i="98"/>
  <c r="CV275" i="98"/>
  <c r="CU270" i="98"/>
  <c r="CV270" i="98"/>
  <c r="CU287" i="98"/>
  <c r="CV287" i="98"/>
  <c r="CU288" i="98"/>
  <c r="CV288" i="98"/>
  <c r="CC115" i="98"/>
  <c r="CD115" i="98"/>
  <c r="CC123" i="98"/>
  <c r="CD123" i="98"/>
  <c r="CC131" i="98"/>
  <c r="CD131" i="98"/>
  <c r="CC137" i="98"/>
  <c r="CD137" i="98"/>
  <c r="CC114" i="98"/>
  <c r="CD114" i="98"/>
  <c r="CC122" i="98"/>
  <c r="CD122" i="98"/>
  <c r="BT123" i="98"/>
  <c r="BU123" i="98"/>
  <c r="BW266" i="98"/>
  <c r="BX266" i="98"/>
  <c r="BW277" i="98"/>
  <c r="BX277" i="98"/>
  <c r="BW274" i="98"/>
  <c r="BX274" i="98"/>
  <c r="BW292" i="98"/>
  <c r="BX292" i="98"/>
  <c r="CI126" i="98"/>
  <c r="CJ126" i="98"/>
  <c r="BQ119" i="98"/>
  <c r="BR119" i="98"/>
  <c r="BQ135" i="98"/>
  <c r="BR135" i="98"/>
  <c r="BQ118" i="98"/>
  <c r="BR118" i="98"/>
  <c r="BQ134" i="98"/>
  <c r="BR134" i="98"/>
  <c r="CI278" i="98"/>
  <c r="CJ278" i="98"/>
  <c r="CI290" i="98"/>
  <c r="CJ290" i="98"/>
  <c r="CI286" i="98"/>
  <c r="CJ286" i="98"/>
  <c r="CI291" i="98"/>
  <c r="CJ291" i="98"/>
  <c r="CF113" i="98"/>
  <c r="CG113" i="98"/>
  <c r="BT124" i="98"/>
  <c r="BU124" i="98"/>
  <c r="BT131" i="98"/>
  <c r="BU131" i="98"/>
  <c r="CI134" i="98"/>
  <c r="CJ134" i="98"/>
  <c r="CI138" i="98"/>
  <c r="CJ138" i="98"/>
  <c r="CX285" i="98"/>
  <c r="CY285" i="98"/>
  <c r="CF124" i="98"/>
  <c r="CG124" i="98"/>
  <c r="BT132" i="98"/>
  <c r="BU132" i="98"/>
  <c r="BT137" i="98"/>
  <c r="BU137" i="98"/>
  <c r="CI110" i="98"/>
  <c r="CJ110" i="98"/>
  <c r="CI117" i="98"/>
  <c r="CJ117" i="98"/>
  <c r="CX292" i="98"/>
  <c r="CY292" i="98"/>
  <c r="CF125" i="98"/>
  <c r="CG125" i="98"/>
  <c r="CF134" i="98"/>
  <c r="CG134" i="98"/>
  <c r="CF135" i="98"/>
  <c r="CG135" i="98"/>
  <c r="BT115" i="98"/>
  <c r="BU115" i="98"/>
  <c r="CI118" i="98"/>
  <c r="CJ118" i="98"/>
  <c r="CI125" i="98"/>
  <c r="CJ125" i="98"/>
  <c r="CX274" i="98"/>
  <c r="CY274" i="98"/>
  <c r="BZ116" i="98"/>
  <c r="CA116" i="98"/>
  <c r="BZ128" i="98"/>
  <c r="CA128" i="98"/>
  <c r="BZ113" i="98"/>
  <c r="CA113" i="98"/>
  <c r="BZ123" i="98"/>
  <c r="CA123" i="98"/>
  <c r="BZ135" i="98"/>
  <c r="CA135" i="98"/>
  <c r="CC292" i="98"/>
  <c r="CD292" i="98"/>
  <c r="CC264" i="98"/>
  <c r="CD264" i="98"/>
  <c r="CC265" i="98"/>
  <c r="CD265" i="98"/>
  <c r="CC289" i="98"/>
  <c r="CD289" i="98"/>
  <c r="CC268" i="98"/>
  <c r="CD268" i="98"/>
  <c r="CC273" i="98"/>
  <c r="CD273" i="98"/>
  <c r="CC280" i="98"/>
  <c r="CD280" i="98"/>
  <c r="CO115" i="98"/>
  <c r="CP115" i="98"/>
  <c r="CO131" i="98"/>
  <c r="CP131" i="98"/>
  <c r="CO114" i="98"/>
  <c r="CP114" i="98"/>
  <c r="CO130" i="98"/>
  <c r="CP130" i="98"/>
  <c r="CR114" i="98"/>
  <c r="CS114" i="98"/>
  <c r="CR122" i="98"/>
  <c r="CS122" i="98"/>
  <c r="CR130" i="98"/>
  <c r="CS130" i="98"/>
  <c r="CR113" i="98"/>
  <c r="CS113" i="98"/>
  <c r="CR121" i="98"/>
  <c r="CS121" i="98"/>
  <c r="CR129" i="98"/>
  <c r="CS129" i="98"/>
  <c r="CR136" i="98"/>
  <c r="CS136" i="98"/>
  <c r="CX110" i="98"/>
  <c r="CY110" i="98"/>
  <c r="CX126" i="98"/>
  <c r="CY126" i="98"/>
  <c r="CX117" i="98"/>
  <c r="CY117" i="98"/>
  <c r="CX133" i="98"/>
  <c r="CY133" i="98"/>
  <c r="CU114" i="98"/>
  <c r="CV114" i="98"/>
  <c r="CU122" i="98"/>
  <c r="CV122" i="98"/>
  <c r="CU130" i="98"/>
  <c r="CV130" i="98"/>
  <c r="CU113" i="98"/>
  <c r="CV113" i="98"/>
  <c r="CU121" i="98"/>
  <c r="CV121" i="98"/>
  <c r="CU129" i="98"/>
  <c r="CV129" i="98"/>
  <c r="CU136" i="98"/>
  <c r="CV136" i="98"/>
  <c r="CO272" i="98"/>
  <c r="CP272" i="98"/>
  <c r="CF291" i="98"/>
  <c r="CG291" i="98"/>
  <c r="CF273" i="98"/>
  <c r="CG273" i="98"/>
  <c r="CF265" i="98"/>
  <c r="CG265" i="98"/>
  <c r="CF281" i="98"/>
  <c r="CG281" i="98"/>
  <c r="CF284" i="98"/>
  <c r="CG284" i="98"/>
  <c r="CF287" i="98"/>
  <c r="CG287" i="98"/>
  <c r="BZ112" i="98"/>
  <c r="CA112" i="98"/>
  <c r="BZ122" i="98"/>
  <c r="CA122" i="98"/>
  <c r="BZ132" i="98"/>
  <c r="CA132" i="98"/>
  <c r="BZ119" i="98"/>
  <c r="CA119" i="98"/>
  <c r="BZ129" i="98"/>
  <c r="CA129" i="98"/>
  <c r="BZ137" i="98"/>
  <c r="CA137" i="98"/>
  <c r="CC279" i="98"/>
  <c r="CD279" i="98"/>
  <c r="CC284" i="98"/>
  <c r="CD284" i="98"/>
  <c r="CC278" i="98"/>
  <c r="CD278" i="98"/>
  <c r="CC276" i="98"/>
  <c r="CD276" i="98"/>
  <c r="CC282" i="98"/>
  <c r="CD282" i="98"/>
  <c r="CC270" i="98"/>
  <c r="CD270" i="98"/>
  <c r="CC281" i="98"/>
  <c r="CD281" i="98"/>
  <c r="CO123" i="98"/>
  <c r="CP123" i="98"/>
  <c r="CO137" i="98"/>
  <c r="CP137" i="98"/>
  <c r="CO122" i="98"/>
  <c r="CP122" i="98"/>
  <c r="CR110" i="98"/>
  <c r="CS110" i="98"/>
  <c r="CR118" i="98"/>
  <c r="CS118" i="98"/>
  <c r="CR126" i="98"/>
  <c r="CS126" i="98"/>
  <c r="CR134" i="98"/>
  <c r="CS134" i="98"/>
  <c r="CR117" i="98"/>
  <c r="CS117" i="98"/>
  <c r="CR125" i="98"/>
  <c r="CS125" i="98"/>
  <c r="CR133" i="98"/>
  <c r="CS133" i="98"/>
  <c r="CX118" i="98"/>
  <c r="CY118" i="98"/>
  <c r="CX134" i="98"/>
  <c r="CY134" i="98"/>
  <c r="CX125" i="98"/>
  <c r="CY125" i="98"/>
  <c r="CX138" i="98"/>
  <c r="CY138" i="98"/>
  <c r="CU110" i="98"/>
  <c r="CV110" i="98"/>
  <c r="CU118" i="98"/>
  <c r="CV118" i="98"/>
  <c r="CU126" i="98"/>
  <c r="CV126" i="98"/>
  <c r="CU134" i="98"/>
  <c r="CV134" i="98"/>
  <c r="CU117" i="98"/>
  <c r="CV117" i="98"/>
  <c r="CU125" i="98"/>
  <c r="CV125" i="98"/>
  <c r="CU133" i="98"/>
  <c r="CV133" i="98"/>
  <c r="CO277" i="98"/>
  <c r="CP277" i="98"/>
  <c r="CF274" i="98"/>
  <c r="CG274" i="98"/>
  <c r="CF272" i="98"/>
  <c r="CG272" i="98"/>
  <c r="CF276" i="98"/>
  <c r="CG276" i="98"/>
  <c r="CF277" i="98"/>
  <c r="CG277" i="98"/>
  <c r="CF292" i="98"/>
  <c r="CG292" i="98"/>
  <c r="CF121" i="98"/>
  <c r="CG121" i="98"/>
  <c r="CF110" i="98"/>
  <c r="CG110" i="98"/>
  <c r="CF132" i="98"/>
  <c r="CG132" i="98"/>
  <c r="CL283" i="98"/>
  <c r="CM283" i="98"/>
  <c r="CL281" i="98"/>
  <c r="CM281" i="98"/>
  <c r="CL274" i="98"/>
  <c r="CM274" i="98"/>
  <c r="CL285" i="98"/>
  <c r="CM285" i="98"/>
  <c r="CL266" i="98"/>
  <c r="CM266" i="98"/>
  <c r="CL291" i="98"/>
  <c r="CM291" i="98"/>
  <c r="CL288" i="98"/>
  <c r="CM288" i="98"/>
  <c r="CL292" i="98"/>
  <c r="CM292" i="98"/>
  <c r="BT274" i="98"/>
  <c r="BU274" i="98"/>
  <c r="BT273" i="98"/>
  <c r="BU273" i="98"/>
  <c r="BT264" i="98"/>
  <c r="BU264" i="98"/>
  <c r="BT276" i="98"/>
  <c r="BU276" i="98"/>
  <c r="BT279" i="98"/>
  <c r="BU279" i="98"/>
  <c r="BT289" i="98"/>
  <c r="BU289" i="98"/>
  <c r="BT287" i="98"/>
  <c r="BU287" i="98"/>
  <c r="BT118" i="98"/>
  <c r="BU118" i="98"/>
  <c r="BT134" i="98"/>
  <c r="BU134" i="98"/>
  <c r="BT125" i="98"/>
  <c r="BU125" i="98"/>
  <c r="BT138" i="98"/>
  <c r="BU138" i="98"/>
  <c r="BW264" i="98"/>
  <c r="BX264" i="98"/>
  <c r="BW265" i="98"/>
  <c r="BX265" i="98"/>
  <c r="BW290" i="98"/>
  <c r="BX290" i="98"/>
  <c r="BW268" i="98"/>
  <c r="BX268" i="98"/>
  <c r="BW273" i="98"/>
  <c r="BX273" i="98"/>
  <c r="BW272" i="98"/>
  <c r="BX272" i="98"/>
  <c r="BW289" i="98"/>
  <c r="BX289" i="98"/>
  <c r="BW281" i="98"/>
  <c r="BX281" i="98"/>
  <c r="CI116" i="98"/>
  <c r="CJ116" i="98"/>
  <c r="CI132" i="98"/>
  <c r="CJ132" i="98"/>
  <c r="CI123" i="98"/>
  <c r="CJ123" i="98"/>
  <c r="CI137" i="98"/>
  <c r="CJ137" i="98"/>
  <c r="BQ113" i="98"/>
  <c r="BR113" i="98"/>
  <c r="BQ121" i="98"/>
  <c r="BR121" i="98"/>
  <c r="BQ129" i="98"/>
  <c r="BR129" i="98"/>
  <c r="BQ136" i="98"/>
  <c r="BR136" i="98"/>
  <c r="BQ112" i="98"/>
  <c r="BR112" i="98"/>
  <c r="BQ120" i="98"/>
  <c r="BR120" i="98"/>
  <c r="BQ128" i="98"/>
  <c r="BR128" i="98"/>
  <c r="CX279" i="98"/>
  <c r="CY279" i="98"/>
  <c r="CX289" i="98"/>
  <c r="CY289" i="98"/>
  <c r="CI263" i="98"/>
  <c r="CJ263" i="98"/>
  <c r="CI264" i="98"/>
  <c r="CJ264" i="98"/>
  <c r="CI279" i="98"/>
  <c r="CJ279" i="98"/>
  <c r="CI268" i="98"/>
  <c r="CJ268" i="98"/>
  <c r="CI273" i="98"/>
  <c r="CJ273" i="98"/>
  <c r="CI288" i="98"/>
  <c r="CJ288" i="98"/>
  <c r="CI287" i="98"/>
  <c r="CJ287" i="98"/>
  <c r="CI281" i="98"/>
  <c r="CJ281" i="98"/>
  <c r="CF111" i="98"/>
  <c r="CG111" i="98"/>
  <c r="CF133" i="98"/>
  <c r="CG133" i="98"/>
  <c r="CF120" i="98"/>
  <c r="CG120" i="98"/>
  <c r="CL271" i="98"/>
  <c r="CM271" i="98"/>
  <c r="CL270" i="98"/>
  <c r="CM270" i="98"/>
  <c r="CL277" i="98"/>
  <c r="CM277" i="98"/>
  <c r="CL264" i="98"/>
  <c r="CM264" i="98"/>
  <c r="CL276" i="98"/>
  <c r="CM276" i="98"/>
  <c r="CL286" i="98"/>
  <c r="CM286" i="98"/>
  <c r="BT268" i="98"/>
  <c r="BU268" i="98"/>
  <c r="BT272" i="98"/>
  <c r="BU272" i="98"/>
  <c r="BT291" i="98"/>
  <c r="BU291" i="98"/>
  <c r="BT266" i="98"/>
  <c r="BU266" i="98"/>
  <c r="BT275" i="98"/>
  <c r="BU275" i="98"/>
  <c r="BT283" i="98"/>
  <c r="BU283" i="98"/>
  <c r="BT282" i="98"/>
  <c r="BU282" i="98"/>
  <c r="BT110" i="98"/>
  <c r="BU110" i="98"/>
  <c r="BT126" i="98"/>
  <c r="BU126" i="98"/>
  <c r="BT117" i="98"/>
  <c r="BU117" i="98"/>
  <c r="BT133" i="98"/>
  <c r="BU133" i="98"/>
  <c r="BW276" i="98"/>
  <c r="BX276" i="98"/>
  <c r="BW278" i="98"/>
  <c r="BX278" i="98"/>
  <c r="BW275" i="98"/>
  <c r="BX275" i="98"/>
  <c r="BW270" i="98"/>
  <c r="BX270" i="98"/>
  <c r="BW280" i="98"/>
  <c r="BX280" i="98"/>
  <c r="BW286" i="98"/>
  <c r="BX286" i="98"/>
  <c r="CI139" i="98"/>
  <c r="CJ139" i="98"/>
  <c r="CI124" i="98"/>
  <c r="CJ124" i="98"/>
  <c r="CI115" i="98"/>
  <c r="CJ115" i="98"/>
  <c r="CI131" i="98"/>
  <c r="CJ131" i="98"/>
  <c r="BQ139" i="98"/>
  <c r="BR139" i="98"/>
  <c r="BQ117" i="98"/>
  <c r="BR117" i="98"/>
  <c r="BQ125" i="98"/>
  <c r="BR125" i="98"/>
  <c r="BQ133" i="98"/>
  <c r="BR133" i="98"/>
  <c r="BQ138" i="98"/>
  <c r="BR138" i="98"/>
  <c r="BQ116" i="98"/>
  <c r="BR116" i="98"/>
  <c r="BQ124" i="98"/>
  <c r="BR124" i="98"/>
  <c r="CX268" i="98"/>
  <c r="CY268" i="98"/>
  <c r="CX278" i="98"/>
  <c r="CY278" i="98"/>
  <c r="CI267" i="98"/>
  <c r="CJ267" i="98"/>
  <c r="CI276" i="98"/>
  <c r="CJ276" i="98"/>
  <c r="CI277" i="98"/>
  <c r="CJ277" i="98"/>
  <c r="CI270" i="98"/>
  <c r="CJ270" i="98"/>
  <c r="CI284" i="98"/>
  <c r="CJ284" i="98"/>
  <c r="CI292" i="98"/>
  <c r="CJ292" i="98"/>
  <c r="CF117" i="98"/>
  <c r="CG117" i="98"/>
  <c r="CF127" i="98"/>
  <c r="CG127" i="98"/>
  <c r="CF116" i="98"/>
  <c r="CG116" i="98"/>
  <c r="CF139" i="98"/>
  <c r="CG139" i="98"/>
  <c r="CF119" i="98"/>
  <c r="CG119" i="98"/>
  <c r="CF129" i="98"/>
  <c r="CG129" i="98"/>
  <c r="CF138" i="98"/>
  <c r="CG138" i="98"/>
  <c r="CF118" i="98"/>
  <c r="CG118" i="98"/>
  <c r="CF128" i="98"/>
  <c r="CG128" i="98"/>
  <c r="CO113" i="98"/>
  <c r="CP113" i="98"/>
  <c r="CO121" i="98"/>
  <c r="CP121" i="98"/>
  <c r="CO129" i="98"/>
  <c r="CP129" i="98"/>
  <c r="CO136" i="98"/>
  <c r="CP136" i="98"/>
  <c r="CO112" i="98"/>
  <c r="CP112" i="98"/>
  <c r="CO120" i="98"/>
  <c r="CP120" i="98"/>
  <c r="CO128" i="98"/>
  <c r="CP128" i="98"/>
  <c r="CX114" i="98"/>
  <c r="CY114" i="98"/>
  <c r="CX122" i="98"/>
  <c r="CY122" i="98"/>
  <c r="CX130" i="98"/>
  <c r="CY130" i="98"/>
  <c r="CX113" i="98"/>
  <c r="CY113" i="98"/>
  <c r="CX121" i="98"/>
  <c r="CY121" i="98"/>
  <c r="CX129" i="98"/>
  <c r="CY129" i="98"/>
  <c r="CX136" i="98"/>
  <c r="CY136" i="98"/>
  <c r="BT114" i="98"/>
  <c r="BU114" i="98"/>
  <c r="BT122" i="98"/>
  <c r="BU122" i="98"/>
  <c r="BT130" i="98"/>
  <c r="BU130" i="98"/>
  <c r="BT113" i="98"/>
  <c r="BU113" i="98"/>
  <c r="BT121" i="98"/>
  <c r="BU121" i="98"/>
  <c r="BT129" i="98"/>
  <c r="BU129" i="98"/>
  <c r="BT136" i="98"/>
  <c r="BU136" i="98"/>
  <c r="CO278" i="98"/>
  <c r="CP278" i="98"/>
  <c r="CO283" i="98"/>
  <c r="CP283" i="98"/>
  <c r="CI114" i="98"/>
  <c r="CJ114" i="98"/>
  <c r="CI122" i="98"/>
  <c r="CJ122" i="98"/>
  <c r="CI130" i="98"/>
  <c r="CJ130" i="98"/>
  <c r="CI113" i="98"/>
  <c r="CJ113" i="98"/>
  <c r="CI121" i="98"/>
  <c r="CJ121" i="98"/>
  <c r="CI129" i="98"/>
  <c r="CJ129" i="98"/>
  <c r="CI136" i="98"/>
  <c r="CJ136" i="98"/>
  <c r="CX271" i="98"/>
  <c r="CY271" i="98"/>
  <c r="CX283" i="98"/>
  <c r="CY283" i="98"/>
  <c r="CX266" i="98"/>
  <c r="CY266" i="98"/>
  <c r="CX288" i="98"/>
  <c r="CY288" i="98"/>
  <c r="CF136" i="98"/>
  <c r="CG136" i="98"/>
  <c r="CF126" i="98"/>
  <c r="CG126" i="98"/>
  <c r="CO111" i="98"/>
  <c r="CP111" i="98"/>
  <c r="CO119" i="98"/>
  <c r="CP119" i="98"/>
  <c r="CO127" i="98"/>
  <c r="CP127" i="98"/>
  <c r="CO135" i="98"/>
  <c r="CP135" i="98"/>
  <c r="CO110" i="98"/>
  <c r="CP110" i="98"/>
  <c r="CO118" i="98"/>
  <c r="CP118" i="98"/>
  <c r="CO126" i="98"/>
  <c r="CP126" i="98"/>
  <c r="CX112" i="98"/>
  <c r="CY112" i="98"/>
  <c r="CX120" i="98"/>
  <c r="CY120" i="98"/>
  <c r="CX128" i="98"/>
  <c r="CY128" i="98"/>
  <c r="CX111" i="98"/>
  <c r="CY111" i="98"/>
  <c r="CX119" i="98"/>
  <c r="CY119" i="98"/>
  <c r="CX127" i="98"/>
  <c r="CY127" i="98"/>
  <c r="CX135" i="98"/>
  <c r="CY135" i="98"/>
  <c r="BT112" i="98"/>
  <c r="BU112" i="98"/>
  <c r="BT120" i="98"/>
  <c r="BU120" i="98"/>
  <c r="BT128" i="98"/>
  <c r="BU128" i="98"/>
  <c r="BT111" i="98"/>
  <c r="BU111" i="98"/>
  <c r="BT119" i="98"/>
  <c r="BU119" i="98"/>
  <c r="BT127" i="98"/>
  <c r="BU127" i="98"/>
  <c r="BT135" i="98"/>
  <c r="BU135" i="98"/>
  <c r="CO276" i="98"/>
  <c r="CP276" i="98"/>
  <c r="CO290" i="98"/>
  <c r="CP290" i="98"/>
  <c r="CI112" i="98"/>
  <c r="CJ112" i="98"/>
  <c r="CI120" i="98"/>
  <c r="CJ120" i="98"/>
  <c r="CI128" i="98"/>
  <c r="CJ128" i="98"/>
  <c r="CI111" i="98"/>
  <c r="CJ111" i="98"/>
  <c r="CI119" i="98"/>
  <c r="CJ119" i="98"/>
  <c r="CI127" i="98"/>
  <c r="CJ127" i="98"/>
  <c r="CX269" i="98"/>
  <c r="CY269" i="98"/>
  <c r="CX281" i="98"/>
  <c r="CY281" i="98"/>
  <c r="CX265" i="98"/>
  <c r="CY265" i="98"/>
  <c r="CX287" i="98"/>
  <c r="CY287" i="98"/>
  <c r="CO287" i="98"/>
  <c r="CP287" i="98"/>
  <c r="CO263" i="98"/>
  <c r="CP263" i="98"/>
  <c r="CO286" i="98"/>
  <c r="CP286" i="98"/>
  <c r="CO284" i="98"/>
  <c r="CP284" i="98"/>
  <c r="CO268" i="98"/>
  <c r="CP268" i="98"/>
  <c r="CO273" i="98"/>
  <c r="CP273" i="98"/>
  <c r="CO281" i="98"/>
  <c r="CP281" i="98"/>
  <c r="CO291" i="98"/>
  <c r="CP291" i="98"/>
  <c r="CO289" i="98"/>
  <c r="CP289" i="98"/>
  <c r="CO265" i="98"/>
  <c r="CP265" i="98"/>
  <c r="CO264" i="98"/>
  <c r="CP264" i="98"/>
  <c r="CO288" i="98"/>
  <c r="CP288" i="98"/>
  <c r="CO269" i="98"/>
  <c r="CP269" i="98"/>
  <c r="CO274" i="98"/>
  <c r="CP274" i="98"/>
  <c r="CO285" i="98"/>
  <c r="CP285" i="98"/>
  <c r="CX273" i="98"/>
  <c r="CY273" i="98"/>
  <c r="CX280" i="98"/>
  <c r="CY280" i="98"/>
  <c r="CX275" i="98"/>
  <c r="CY275" i="98"/>
  <c r="CX263" i="98"/>
  <c r="CY263" i="98"/>
  <c r="CX267" i="98"/>
  <c r="CY267" i="98"/>
  <c r="CX282" i="98"/>
  <c r="CY282" i="98"/>
  <c r="CX290" i="98"/>
  <c r="CY290" i="98"/>
  <c r="CF115" i="98"/>
  <c r="CG115" i="98"/>
  <c r="CF123" i="98"/>
  <c r="CG123" i="98"/>
  <c r="CF131" i="98"/>
  <c r="CG131" i="98"/>
  <c r="CF137" i="98"/>
  <c r="CG137" i="98"/>
  <c r="CF114" i="98"/>
  <c r="CG114" i="98"/>
  <c r="CF122" i="98"/>
  <c r="CG122" i="98"/>
  <c r="BZ110" i="98"/>
  <c r="CA110" i="98"/>
  <c r="BZ118" i="98"/>
  <c r="CA118" i="98"/>
  <c r="BZ126" i="98"/>
  <c r="CA126" i="98"/>
  <c r="BZ134" i="98"/>
  <c r="CA134" i="98"/>
  <c r="BZ117" i="98"/>
  <c r="CA117" i="98"/>
  <c r="BZ125" i="98"/>
  <c r="CA125" i="98"/>
  <c r="BZ133" i="98"/>
  <c r="CA133" i="98"/>
  <c r="CO275" i="98"/>
  <c r="CP275" i="98"/>
  <c r="CO267" i="98"/>
  <c r="CP267" i="98"/>
  <c r="CO266" i="98"/>
  <c r="CP266" i="98"/>
  <c r="CO292" i="98"/>
  <c r="CP292" i="98"/>
  <c r="CO270" i="98"/>
  <c r="CP270" i="98"/>
  <c r="CO282" i="98"/>
  <c r="CP282" i="98"/>
  <c r="CX272" i="98"/>
  <c r="CY272" i="98"/>
  <c r="CX270" i="98"/>
  <c r="CY270" i="98"/>
  <c r="CX277" i="98"/>
  <c r="CY277" i="98"/>
  <c r="CX264" i="98"/>
  <c r="CY264" i="98"/>
  <c r="CX276" i="98"/>
  <c r="CY276" i="98"/>
  <c r="CX286" i="98"/>
  <c r="CY286" i="98"/>
  <c r="CF268" i="98"/>
  <c r="CG268" i="98"/>
  <c r="CF271" i="98"/>
  <c r="CG271" i="98"/>
  <c r="CF263" i="98"/>
  <c r="CG263" i="98"/>
  <c r="CF267" i="98"/>
  <c r="CG267" i="98"/>
  <c r="CF283" i="98"/>
  <c r="CG283" i="98"/>
  <c r="CF280" i="98"/>
  <c r="CG280" i="98"/>
  <c r="CF282" i="98"/>
  <c r="CG282" i="98"/>
  <c r="CF196" i="98"/>
  <c r="CG196" i="98"/>
  <c r="CF172" i="98"/>
  <c r="CG172" i="98"/>
  <c r="CF198" i="98"/>
  <c r="CG198" i="98"/>
  <c r="CF173" i="98"/>
  <c r="CG173" i="98"/>
  <c r="CF171" i="98"/>
  <c r="CG171" i="98"/>
  <c r="CF199" i="98"/>
  <c r="CG199" i="98"/>
  <c r="CF189" i="98"/>
  <c r="CG189" i="98"/>
  <c r="CF185" i="98"/>
  <c r="CG185" i="98"/>
  <c r="CF181" i="98"/>
  <c r="CG181" i="98"/>
  <c r="CF178" i="98"/>
  <c r="CG178" i="98"/>
  <c r="CF197" i="98"/>
  <c r="CG197" i="98"/>
  <c r="CF191" i="98"/>
  <c r="CG191" i="98"/>
  <c r="CF187" i="98"/>
  <c r="CG187" i="98"/>
  <c r="CF183" i="98"/>
  <c r="CG183" i="98"/>
  <c r="CF179" i="98"/>
  <c r="CG179" i="98"/>
  <c r="CF195" i="98"/>
  <c r="CG195" i="98"/>
  <c r="CF174" i="98"/>
  <c r="CG174" i="98"/>
  <c r="CF194" i="98"/>
  <c r="CG194" i="98"/>
  <c r="CF177" i="98"/>
  <c r="CG177" i="98"/>
  <c r="CF193" i="98"/>
  <c r="CG193" i="98"/>
  <c r="CF176" i="98"/>
  <c r="CG176" i="98"/>
  <c r="CF200" i="98"/>
  <c r="CG200" i="98"/>
  <c r="CF192" i="98"/>
  <c r="CG192" i="98"/>
  <c r="CF190" i="98"/>
  <c r="CG190" i="98"/>
  <c r="CF188" i="98"/>
  <c r="CG188" i="98"/>
  <c r="CF186" i="98"/>
  <c r="CG186" i="98"/>
  <c r="CF184" i="98"/>
  <c r="CG184" i="98"/>
  <c r="CF182" i="98"/>
  <c r="CG182" i="98"/>
  <c r="CF180" i="98"/>
  <c r="CG180" i="98"/>
  <c r="CF175" i="98"/>
  <c r="CG175" i="98"/>
  <c r="CU199" i="98"/>
  <c r="CV199" i="98"/>
  <c r="CU195" i="98"/>
  <c r="CV195" i="98"/>
  <c r="CU194" i="98"/>
  <c r="CV194" i="98"/>
  <c r="CU192" i="98"/>
  <c r="CV192" i="98"/>
  <c r="CU191" i="98"/>
  <c r="CV191" i="98"/>
  <c r="CU190" i="98"/>
  <c r="CV190" i="98"/>
  <c r="CU189" i="98"/>
  <c r="CV189" i="98"/>
  <c r="CU188" i="98"/>
  <c r="CV188" i="98"/>
  <c r="CU187" i="98"/>
  <c r="CV187" i="98"/>
  <c r="CU186" i="98"/>
  <c r="CV186" i="98"/>
  <c r="CU185" i="98"/>
  <c r="CV185" i="98"/>
  <c r="CU184" i="98"/>
  <c r="CV184" i="98"/>
  <c r="CU183" i="98"/>
  <c r="CV183" i="98"/>
  <c r="CU182" i="98"/>
  <c r="CV182" i="98"/>
  <c r="CU181" i="98"/>
  <c r="CV181" i="98"/>
  <c r="CU180" i="98"/>
  <c r="CV180" i="98"/>
  <c r="CU179" i="98"/>
  <c r="CV179" i="98"/>
  <c r="CU176" i="98"/>
  <c r="CV176" i="98"/>
  <c r="CU174" i="98"/>
  <c r="CV174" i="98"/>
  <c r="CU200" i="98"/>
  <c r="CV200" i="98"/>
  <c r="CU197" i="98"/>
  <c r="CV197" i="98"/>
  <c r="CU193" i="98"/>
  <c r="CV193" i="98"/>
  <c r="CU178" i="98"/>
  <c r="CV178" i="98"/>
  <c r="CU177" i="98"/>
  <c r="CV177" i="98"/>
  <c r="CU175" i="98"/>
  <c r="CV175" i="98"/>
  <c r="CU196" i="98"/>
  <c r="CV196" i="98"/>
  <c r="CU173" i="98"/>
  <c r="CV173" i="98"/>
  <c r="CU198" i="98"/>
  <c r="CV198" i="98"/>
  <c r="CU171" i="98"/>
  <c r="CV171" i="98"/>
  <c r="CU172" i="98"/>
  <c r="CV172" i="98"/>
  <c r="BT104" i="98"/>
  <c r="BU104" i="98"/>
  <c r="BT92" i="98"/>
  <c r="BU92" i="98"/>
  <c r="BT87" i="98"/>
  <c r="BU87" i="98"/>
  <c r="BT85" i="98"/>
  <c r="BU85" i="98"/>
  <c r="BT83" i="98"/>
  <c r="BU83" i="98"/>
  <c r="BT81" i="98"/>
  <c r="BU81" i="98"/>
  <c r="BT79" i="98"/>
  <c r="BU79" i="98"/>
  <c r="BT97" i="98"/>
  <c r="BU97" i="98"/>
  <c r="BT93" i="98"/>
  <c r="BU93" i="98"/>
  <c r="BT84" i="98"/>
  <c r="BU84" i="98"/>
  <c r="BT82" i="98"/>
  <c r="BU82" i="98"/>
  <c r="BT80" i="98"/>
  <c r="BU80" i="98"/>
  <c r="BT109" i="98"/>
  <c r="BU109" i="98"/>
  <c r="BT105" i="98"/>
  <c r="BU105" i="98"/>
  <c r="BT101" i="98"/>
  <c r="BU101" i="98"/>
  <c r="BT99" i="98"/>
  <c r="BU99" i="98"/>
  <c r="BT106" i="98"/>
  <c r="BU106" i="98"/>
  <c r="BT95" i="98"/>
  <c r="BU95" i="98"/>
  <c r="BT91" i="98"/>
  <c r="BU91" i="98"/>
  <c r="BT89" i="98"/>
  <c r="BU89" i="98"/>
  <c r="BT107" i="98"/>
  <c r="BU107" i="98"/>
  <c r="BT103" i="98"/>
  <c r="BU103" i="98"/>
  <c r="BT102" i="98"/>
  <c r="BU102" i="98"/>
  <c r="BT100" i="98"/>
  <c r="BU100" i="98"/>
  <c r="BT98" i="98"/>
  <c r="BU98" i="98"/>
  <c r="BT96" i="98"/>
  <c r="BU96" i="98"/>
  <c r="BT108" i="98"/>
  <c r="BU108" i="98"/>
  <c r="BT94" i="98"/>
  <c r="BU94" i="98"/>
  <c r="BT90" i="98"/>
  <c r="BU90" i="98"/>
  <c r="BT88" i="98"/>
  <c r="BU88" i="98"/>
  <c r="BT86" i="98"/>
  <c r="BU86" i="98"/>
  <c r="CR76" i="98"/>
  <c r="CS76" i="98"/>
  <c r="CR75" i="98"/>
  <c r="CS75" i="98"/>
  <c r="CR73" i="98"/>
  <c r="CS73" i="98"/>
  <c r="CR71" i="98"/>
  <c r="CS71" i="98"/>
  <c r="CR69" i="98"/>
  <c r="CS69" i="98"/>
  <c r="CR67" i="98"/>
  <c r="CS67" i="98"/>
  <c r="CR62" i="98"/>
  <c r="CS62" i="98"/>
  <c r="CR61" i="98"/>
  <c r="CS61" i="98"/>
  <c r="CR58" i="98"/>
  <c r="CS58" i="98"/>
  <c r="CR56" i="98"/>
  <c r="CS56" i="98"/>
  <c r="CR78" i="98"/>
  <c r="CS78" i="98"/>
  <c r="CR74" i="98"/>
  <c r="CS74" i="98"/>
  <c r="CR72" i="98"/>
  <c r="CS72" i="98"/>
  <c r="CR70" i="98"/>
  <c r="CS70" i="98"/>
  <c r="CR68" i="98"/>
  <c r="CS68" i="98"/>
  <c r="CR65" i="98"/>
  <c r="CS65" i="98"/>
  <c r="CR60" i="98"/>
  <c r="CS60" i="98"/>
  <c r="CR57" i="98"/>
  <c r="CS57" i="98"/>
  <c r="CR77" i="98"/>
  <c r="CS77" i="98"/>
  <c r="CR66" i="98"/>
  <c r="CS66" i="98"/>
  <c r="CR54" i="98"/>
  <c r="CS54" i="98"/>
  <c r="CR52" i="98"/>
  <c r="CS52" i="98"/>
  <c r="CR64" i="98"/>
  <c r="CS64" i="98"/>
  <c r="CR63" i="98"/>
  <c r="CS63" i="98"/>
  <c r="CR59" i="98"/>
  <c r="CS59" i="98"/>
  <c r="CR55" i="98"/>
  <c r="CS55" i="98"/>
  <c r="CR53" i="98"/>
  <c r="CS53" i="98"/>
  <c r="CR51" i="98"/>
  <c r="CS51" i="98"/>
  <c r="BW66" i="98"/>
  <c r="BX66" i="98"/>
  <c r="BW59" i="98"/>
  <c r="BX59" i="98"/>
  <c r="BW55" i="98"/>
  <c r="BX55" i="98"/>
  <c r="BW53" i="98"/>
  <c r="BX53" i="98"/>
  <c r="BW51" i="98"/>
  <c r="BX51" i="98"/>
  <c r="BW77" i="98"/>
  <c r="BX77" i="98"/>
  <c r="BW64" i="98"/>
  <c r="BX64" i="98"/>
  <c r="BW63" i="98"/>
  <c r="BX63" i="98"/>
  <c r="BW54" i="98"/>
  <c r="BX54" i="98"/>
  <c r="BW52" i="98"/>
  <c r="BX52" i="98"/>
  <c r="BW75" i="98"/>
  <c r="BX75" i="98"/>
  <c r="BW71" i="98"/>
  <c r="BX71" i="98"/>
  <c r="BW67" i="98"/>
  <c r="BX67" i="98"/>
  <c r="BW78" i="98"/>
  <c r="BX78" i="98"/>
  <c r="BW76" i="98"/>
  <c r="BX76" i="98"/>
  <c r="BW74" i="98"/>
  <c r="BX74" i="98"/>
  <c r="BW70" i="98"/>
  <c r="BX70" i="98"/>
  <c r="BW65" i="98"/>
  <c r="BX65" i="98"/>
  <c r="BW58" i="98"/>
  <c r="BX58" i="98"/>
  <c r="BW73" i="98"/>
  <c r="BX73" i="98"/>
  <c r="BW69" i="98"/>
  <c r="BX69" i="98"/>
  <c r="BW57" i="98"/>
  <c r="BX57" i="98"/>
  <c r="BW72" i="98"/>
  <c r="BX72" i="98"/>
  <c r="BW68" i="98"/>
  <c r="BX68" i="98"/>
  <c r="BW62" i="98"/>
  <c r="BX62" i="98"/>
  <c r="BW61" i="98"/>
  <c r="BX61" i="98"/>
  <c r="BW60" i="98"/>
  <c r="BX60" i="98"/>
  <c r="BW56" i="98"/>
  <c r="BX56" i="98"/>
  <c r="CU322" i="98"/>
  <c r="CV322" i="98"/>
  <c r="CU307" i="98"/>
  <c r="CV307" i="98"/>
  <c r="CU320" i="98"/>
  <c r="CV320" i="98"/>
  <c r="CU318" i="98"/>
  <c r="CV318" i="98"/>
  <c r="CU315" i="98"/>
  <c r="CV315" i="98"/>
  <c r="CU313" i="98"/>
  <c r="CV313" i="98"/>
  <c r="CU309" i="98"/>
  <c r="CV309" i="98"/>
  <c r="CU305" i="98"/>
  <c r="CV305" i="98"/>
  <c r="CU297" i="98"/>
  <c r="CV297" i="98"/>
  <c r="CU294" i="98"/>
  <c r="CV294" i="98"/>
  <c r="CU321" i="98"/>
  <c r="CV321" i="98"/>
  <c r="CU316" i="98"/>
  <c r="CV316" i="98"/>
  <c r="CU314" i="98"/>
  <c r="CV314" i="98"/>
  <c r="CU311" i="98"/>
  <c r="CV311" i="98"/>
  <c r="CU306" i="98"/>
  <c r="CV306" i="98"/>
  <c r="CU304" i="98"/>
  <c r="CV304" i="98"/>
  <c r="CU299" i="98"/>
  <c r="CV299" i="98"/>
  <c r="CU296" i="98"/>
  <c r="CV296" i="98"/>
  <c r="CU293" i="98"/>
  <c r="CV293" i="98"/>
  <c r="CU317" i="98"/>
  <c r="CV317" i="98"/>
  <c r="CU312" i="98"/>
  <c r="CV312" i="98"/>
  <c r="CU308" i="98"/>
  <c r="CV308" i="98"/>
  <c r="CU298" i="98"/>
  <c r="CV298" i="98"/>
  <c r="CU295" i="98"/>
  <c r="CV295" i="98"/>
  <c r="CU319" i="98"/>
  <c r="CV319" i="98"/>
  <c r="CU310" i="98"/>
  <c r="CV310" i="98"/>
  <c r="CU300" i="98"/>
  <c r="CV300" i="98"/>
  <c r="CU323" i="98"/>
  <c r="CV323" i="98"/>
  <c r="CU302" i="98"/>
  <c r="CV302" i="98"/>
  <c r="CU303" i="98"/>
  <c r="CV303" i="98"/>
  <c r="CU301" i="98"/>
  <c r="CV301" i="98"/>
  <c r="CF323" i="98"/>
  <c r="CG323" i="98"/>
  <c r="CF319" i="98"/>
  <c r="CG319" i="98"/>
  <c r="CF317" i="98"/>
  <c r="CG317" i="98"/>
  <c r="CF312" i="98"/>
  <c r="CG312" i="98"/>
  <c r="CF310" i="98"/>
  <c r="CG310" i="98"/>
  <c r="CF308" i="98"/>
  <c r="CG308" i="98"/>
  <c r="CF321" i="98"/>
  <c r="CG321" i="98"/>
  <c r="CF318" i="98"/>
  <c r="CG318" i="98"/>
  <c r="CF316" i="98"/>
  <c r="CG316" i="98"/>
  <c r="CF315" i="98"/>
  <c r="CG315" i="98"/>
  <c r="CF314" i="98"/>
  <c r="CG314" i="98"/>
  <c r="CF313" i="98"/>
  <c r="CG313" i="98"/>
  <c r="CF311" i="98"/>
  <c r="CG311" i="98"/>
  <c r="CF309" i="98"/>
  <c r="CG309" i="98"/>
  <c r="CF320" i="98"/>
  <c r="CG320" i="98"/>
  <c r="CF303" i="98"/>
  <c r="CG303" i="98"/>
  <c r="CF302" i="98"/>
  <c r="CG302" i="98"/>
  <c r="CF301" i="98"/>
  <c r="CG301" i="98"/>
  <c r="CF300" i="98"/>
  <c r="CG300" i="98"/>
  <c r="CF298" i="98"/>
  <c r="CG298" i="98"/>
  <c r="CF295" i="98"/>
  <c r="CG295" i="98"/>
  <c r="CF305" i="98"/>
  <c r="CG305" i="98"/>
  <c r="CF299" i="98"/>
  <c r="CG299" i="98"/>
  <c r="CF296" i="98"/>
  <c r="CG296" i="98"/>
  <c r="CF293" i="98"/>
  <c r="CG293" i="98"/>
  <c r="CF307" i="98"/>
  <c r="CG307" i="98"/>
  <c r="CF306" i="98"/>
  <c r="CG306" i="98"/>
  <c r="CF304" i="98"/>
  <c r="CG304" i="98"/>
  <c r="CF294" i="98"/>
  <c r="CG294" i="98"/>
  <c r="CF322" i="98"/>
  <c r="CG322" i="98"/>
  <c r="CF297" i="98"/>
  <c r="CG297" i="98"/>
  <c r="CL262" i="98"/>
  <c r="CM262" i="98"/>
  <c r="CL261" i="98"/>
  <c r="CM261" i="98"/>
  <c r="CL260" i="98"/>
  <c r="CM260" i="98"/>
  <c r="CL259" i="98"/>
  <c r="CM259" i="98"/>
  <c r="CL258" i="98"/>
  <c r="CM258" i="98"/>
  <c r="CL257" i="98"/>
  <c r="CM257" i="98"/>
  <c r="CL252" i="98"/>
  <c r="CM252" i="98"/>
  <c r="CL245" i="98"/>
  <c r="CM245" i="98"/>
  <c r="CL244" i="98"/>
  <c r="CM244" i="98"/>
  <c r="CL242" i="98"/>
  <c r="CM242" i="98"/>
  <c r="CL241" i="98"/>
  <c r="CM241" i="98"/>
  <c r="CL254" i="98"/>
  <c r="CM254" i="98"/>
  <c r="CL251" i="98"/>
  <c r="CM251" i="98"/>
  <c r="CL239" i="98"/>
  <c r="CM239" i="98"/>
  <c r="CL235" i="98"/>
  <c r="CM235" i="98"/>
  <c r="CL234" i="98"/>
  <c r="CM234" i="98"/>
  <c r="CL233" i="98"/>
  <c r="CM233" i="98"/>
  <c r="CL232" i="98"/>
  <c r="CM232" i="98"/>
  <c r="CL240" i="98"/>
  <c r="CM240" i="98"/>
  <c r="CL236" i="98"/>
  <c r="CM236" i="98"/>
  <c r="CL256" i="98"/>
  <c r="CM256" i="98"/>
  <c r="CL237" i="98"/>
  <c r="CM237" i="98"/>
  <c r="CL255" i="98"/>
  <c r="CM255" i="98"/>
  <c r="CL253" i="98"/>
  <c r="CM253" i="98"/>
  <c r="CL249" i="98"/>
  <c r="CM249" i="98"/>
  <c r="CL247" i="98"/>
  <c r="CM247" i="98"/>
  <c r="CL243" i="98"/>
  <c r="CM243" i="98"/>
  <c r="CL238" i="98"/>
  <c r="CM238" i="98"/>
  <c r="CL250" i="98"/>
  <c r="CM250" i="98"/>
  <c r="CL248" i="98"/>
  <c r="CM248" i="98"/>
  <c r="CL246" i="98"/>
  <c r="CM246" i="98"/>
  <c r="F382" i="98"/>
  <c r="F386" i="98"/>
  <c r="AB384" i="98"/>
  <c r="CX198" i="98"/>
  <c r="CY198" i="98"/>
  <c r="CX173" i="98"/>
  <c r="CY173" i="98"/>
  <c r="CX171" i="98"/>
  <c r="CY171" i="98"/>
  <c r="CX196" i="98"/>
  <c r="CY196" i="98"/>
  <c r="CX172" i="98"/>
  <c r="CY172" i="98"/>
  <c r="CX195" i="98"/>
  <c r="CY195" i="98"/>
  <c r="CX193" i="98"/>
  <c r="CY193" i="98"/>
  <c r="CX190" i="98"/>
  <c r="CY190" i="98"/>
  <c r="CX186" i="98"/>
  <c r="CY186" i="98"/>
  <c r="CX182" i="98"/>
  <c r="CY182" i="98"/>
  <c r="CX176" i="98"/>
  <c r="CY176" i="98"/>
  <c r="CX174" i="98"/>
  <c r="CY174" i="98"/>
  <c r="CX200" i="98"/>
  <c r="CY200" i="98"/>
  <c r="CX194" i="98"/>
  <c r="CY194" i="98"/>
  <c r="CX192" i="98"/>
  <c r="CY192" i="98"/>
  <c r="CX188" i="98"/>
  <c r="CY188" i="98"/>
  <c r="CX184" i="98"/>
  <c r="CY184" i="98"/>
  <c r="CX180" i="98"/>
  <c r="CY180" i="98"/>
  <c r="CX177" i="98"/>
  <c r="CY177" i="98"/>
  <c r="CX175" i="98"/>
  <c r="CY175" i="98"/>
  <c r="CX191" i="98"/>
  <c r="CY191" i="98"/>
  <c r="CX189" i="98"/>
  <c r="CY189" i="98"/>
  <c r="CX187" i="98"/>
  <c r="CY187" i="98"/>
  <c r="CX185" i="98"/>
  <c r="CY185" i="98"/>
  <c r="CX183" i="98"/>
  <c r="CY183" i="98"/>
  <c r="CX181" i="98"/>
  <c r="CY181" i="98"/>
  <c r="CX179" i="98"/>
  <c r="CY179" i="98"/>
  <c r="CX199" i="98"/>
  <c r="CY199" i="98"/>
  <c r="CX197" i="98"/>
  <c r="CY197" i="98"/>
  <c r="CX178" i="98"/>
  <c r="CY178" i="98"/>
  <c r="CX97" i="98"/>
  <c r="CY97" i="98"/>
  <c r="CX93" i="98"/>
  <c r="CY93" i="98"/>
  <c r="CX84" i="98"/>
  <c r="CY84" i="98"/>
  <c r="CX82" i="98"/>
  <c r="CY82" i="98"/>
  <c r="CX80" i="98"/>
  <c r="CY80" i="98"/>
  <c r="CX104" i="98"/>
  <c r="CY104" i="98"/>
  <c r="CX92" i="98"/>
  <c r="CY92" i="98"/>
  <c r="CX87" i="98"/>
  <c r="CY87" i="98"/>
  <c r="CX85" i="98"/>
  <c r="CY85" i="98"/>
  <c r="CX83" i="98"/>
  <c r="CY83" i="98"/>
  <c r="CX81" i="98"/>
  <c r="CY81" i="98"/>
  <c r="CX79" i="98"/>
  <c r="CY79" i="98"/>
  <c r="CX108" i="98"/>
  <c r="CY108" i="98"/>
  <c r="CX94" i="98"/>
  <c r="CY94" i="98"/>
  <c r="CX90" i="98"/>
  <c r="CY90" i="98"/>
  <c r="CX88" i="98"/>
  <c r="CY88" i="98"/>
  <c r="CX86" i="98"/>
  <c r="CY86" i="98"/>
  <c r="CX109" i="98"/>
  <c r="CY109" i="98"/>
  <c r="CX105" i="98"/>
  <c r="CY105" i="98"/>
  <c r="CX101" i="98"/>
  <c r="CY101" i="98"/>
  <c r="CX99" i="98"/>
  <c r="CY99" i="98"/>
  <c r="CX106" i="98"/>
  <c r="CY106" i="98"/>
  <c r="CX95" i="98"/>
  <c r="CY95" i="98"/>
  <c r="CX91" i="98"/>
  <c r="CY91" i="98"/>
  <c r="CX89" i="98"/>
  <c r="CY89" i="98"/>
  <c r="CX107" i="98"/>
  <c r="CY107" i="98"/>
  <c r="CX103" i="98"/>
  <c r="CY103" i="98"/>
  <c r="CX102" i="98"/>
  <c r="CY102" i="98"/>
  <c r="CX100" i="98"/>
  <c r="CY100" i="98"/>
  <c r="CX98" i="98"/>
  <c r="CY98" i="98"/>
  <c r="CX96" i="98"/>
  <c r="CY96" i="98"/>
  <c r="CR104" i="98"/>
  <c r="CS104" i="98"/>
  <c r="CR92" i="98"/>
  <c r="CS92" i="98"/>
  <c r="CR87" i="98"/>
  <c r="CS87" i="98"/>
  <c r="CR85" i="98"/>
  <c r="CS85" i="98"/>
  <c r="CR83" i="98"/>
  <c r="CS83" i="98"/>
  <c r="CR81" i="98"/>
  <c r="CS81" i="98"/>
  <c r="CR79" i="98"/>
  <c r="CS79" i="98"/>
  <c r="CR97" i="98"/>
  <c r="CS97" i="98"/>
  <c r="CR93" i="98"/>
  <c r="CS93" i="98"/>
  <c r="CR84" i="98"/>
  <c r="CS84" i="98"/>
  <c r="CR82" i="98"/>
  <c r="CS82" i="98"/>
  <c r="CR80" i="98"/>
  <c r="CS80" i="98"/>
  <c r="CR109" i="98"/>
  <c r="CS109" i="98"/>
  <c r="CR105" i="98"/>
  <c r="CS105" i="98"/>
  <c r="CR101" i="98"/>
  <c r="CS101" i="98"/>
  <c r="CR99" i="98"/>
  <c r="CS99" i="98"/>
  <c r="CR106" i="98"/>
  <c r="CS106" i="98"/>
  <c r="CR95" i="98"/>
  <c r="CS95" i="98"/>
  <c r="CR91" i="98"/>
  <c r="CS91" i="98"/>
  <c r="CR89" i="98"/>
  <c r="CS89" i="98"/>
  <c r="CR107" i="98"/>
  <c r="CS107" i="98"/>
  <c r="CR103" i="98"/>
  <c r="CS103" i="98"/>
  <c r="CR102" i="98"/>
  <c r="CS102" i="98"/>
  <c r="CR100" i="98"/>
  <c r="CS100" i="98"/>
  <c r="CR98" i="98"/>
  <c r="CS98" i="98"/>
  <c r="CR96" i="98"/>
  <c r="CS96" i="98"/>
  <c r="CR108" i="98"/>
  <c r="CS108" i="98"/>
  <c r="CR94" i="98"/>
  <c r="CS94" i="98"/>
  <c r="CR90" i="98"/>
  <c r="CS90" i="98"/>
  <c r="CR88" i="98"/>
  <c r="CS88" i="98"/>
  <c r="CR86" i="98"/>
  <c r="CS86" i="98"/>
  <c r="BW109" i="98"/>
  <c r="BX109" i="98"/>
  <c r="BW108" i="98"/>
  <c r="BX108" i="98"/>
  <c r="BW107" i="98"/>
  <c r="BX107" i="98"/>
  <c r="BW106" i="98"/>
  <c r="BX106" i="98"/>
  <c r="BW105" i="98"/>
  <c r="BX105" i="98"/>
  <c r="BW103" i="98"/>
  <c r="BX103" i="98"/>
  <c r="BW102" i="98"/>
  <c r="BX102" i="98"/>
  <c r="BW100" i="98"/>
  <c r="BX100" i="98"/>
  <c r="BW98" i="98"/>
  <c r="BX98" i="98"/>
  <c r="BW94" i="98"/>
  <c r="BX94" i="98"/>
  <c r="BW91" i="98"/>
  <c r="BX91" i="98"/>
  <c r="BW89" i="98"/>
  <c r="BX89" i="98"/>
  <c r="BW86" i="98"/>
  <c r="BX86" i="98"/>
  <c r="BW101" i="98"/>
  <c r="BX101" i="98"/>
  <c r="BW99" i="98"/>
  <c r="BX99" i="98"/>
  <c r="BW96" i="98"/>
  <c r="BX96" i="98"/>
  <c r="BW95" i="98"/>
  <c r="BX95" i="98"/>
  <c r="BW90" i="98"/>
  <c r="BX90" i="98"/>
  <c r="BW88" i="98"/>
  <c r="BX88" i="98"/>
  <c r="BW93" i="98"/>
  <c r="BX93" i="98"/>
  <c r="BW87" i="98"/>
  <c r="BX87" i="98"/>
  <c r="BW83" i="98"/>
  <c r="BX83" i="98"/>
  <c r="BW79" i="98"/>
  <c r="BX79" i="98"/>
  <c r="BW92" i="98"/>
  <c r="BX92" i="98"/>
  <c r="BW82" i="98"/>
  <c r="BX82" i="98"/>
  <c r="BW104" i="98"/>
  <c r="BX104" i="98"/>
  <c r="BW85" i="98"/>
  <c r="BX85" i="98"/>
  <c r="BW81" i="98"/>
  <c r="BX81" i="98"/>
  <c r="BW97" i="98"/>
  <c r="BX97" i="98"/>
  <c r="BW84" i="98"/>
  <c r="BX84" i="98"/>
  <c r="BW80" i="98"/>
  <c r="BX80" i="98"/>
  <c r="BM161" i="98"/>
  <c r="BN161" i="98"/>
  <c r="BL162" i="98"/>
  <c r="BO316" i="98"/>
  <c r="CZ316" i="98"/>
  <c r="BW155" i="98"/>
  <c r="BX155" i="98"/>
  <c r="BW169" i="98"/>
  <c r="BX169" i="98"/>
  <c r="BW165" i="98"/>
  <c r="BX165" i="98"/>
  <c r="BW161" i="98"/>
  <c r="BX161" i="98"/>
  <c r="BW157" i="98"/>
  <c r="BX157" i="98"/>
  <c r="BW153" i="98"/>
  <c r="BX153" i="98"/>
  <c r="BW151" i="98"/>
  <c r="BX151" i="98"/>
  <c r="BW149" i="98"/>
  <c r="BX149" i="98"/>
  <c r="BW147" i="98"/>
  <c r="BX147" i="98"/>
  <c r="BW145" i="98"/>
  <c r="BX145" i="98"/>
  <c r="BW143" i="98"/>
  <c r="BX143" i="98"/>
  <c r="BW167" i="98"/>
  <c r="BX167" i="98"/>
  <c r="BW163" i="98"/>
  <c r="BX163" i="98"/>
  <c r="BW159" i="98"/>
  <c r="BX159" i="98"/>
  <c r="BW156" i="98"/>
  <c r="BX156" i="98"/>
  <c r="BW154" i="98"/>
  <c r="BX154" i="98"/>
  <c r="BW152" i="98"/>
  <c r="BX152" i="98"/>
  <c r="BW150" i="98"/>
  <c r="BX150" i="98"/>
  <c r="BW148" i="98"/>
  <c r="BX148" i="98"/>
  <c r="BW146" i="98"/>
  <c r="BX146" i="98"/>
  <c r="BW144" i="98"/>
  <c r="BX144" i="98"/>
  <c r="BW168" i="98"/>
  <c r="BX168" i="98"/>
  <c r="BW164" i="98"/>
  <c r="BX164" i="98"/>
  <c r="BW160" i="98"/>
  <c r="BX160" i="98"/>
  <c r="BW141" i="98"/>
  <c r="BX141" i="98"/>
  <c r="BW142" i="98"/>
  <c r="BX142" i="98"/>
  <c r="BW170" i="98"/>
  <c r="BX170" i="98"/>
  <c r="BW166" i="98"/>
  <c r="BX166" i="98"/>
  <c r="BW162" i="98"/>
  <c r="BX162" i="98"/>
  <c r="BW158" i="98"/>
  <c r="BX158" i="98"/>
  <c r="BW140" i="98"/>
  <c r="BX140" i="98"/>
  <c r="CC200" i="98"/>
  <c r="CD200" i="98"/>
  <c r="CC197" i="98"/>
  <c r="CD197" i="98"/>
  <c r="CC193" i="98"/>
  <c r="CD193" i="98"/>
  <c r="CC178" i="98"/>
  <c r="CD178" i="98"/>
  <c r="CC177" i="98"/>
  <c r="CD177" i="98"/>
  <c r="CC175" i="98"/>
  <c r="CD175" i="98"/>
  <c r="CC199" i="98"/>
  <c r="CD199" i="98"/>
  <c r="CC195" i="98"/>
  <c r="CD195" i="98"/>
  <c r="CC194" i="98"/>
  <c r="CD194" i="98"/>
  <c r="CC192" i="98"/>
  <c r="CD192" i="98"/>
  <c r="CC191" i="98"/>
  <c r="CD191" i="98"/>
  <c r="CC190" i="98"/>
  <c r="CD190" i="98"/>
  <c r="CC189" i="98"/>
  <c r="CD189" i="98"/>
  <c r="CC188" i="98"/>
  <c r="CD188" i="98"/>
  <c r="CC187" i="98"/>
  <c r="CD187" i="98"/>
  <c r="CC186" i="98"/>
  <c r="CD186" i="98"/>
  <c r="CC185" i="98"/>
  <c r="CD185" i="98"/>
  <c r="CC184" i="98"/>
  <c r="CD184" i="98"/>
  <c r="CC183" i="98"/>
  <c r="CD183" i="98"/>
  <c r="CC182" i="98"/>
  <c r="CD182" i="98"/>
  <c r="CC181" i="98"/>
  <c r="CD181" i="98"/>
  <c r="CC180" i="98"/>
  <c r="CD180" i="98"/>
  <c r="CC179" i="98"/>
  <c r="CD179" i="98"/>
  <c r="CC176" i="98"/>
  <c r="CD176" i="98"/>
  <c r="CC174" i="98"/>
  <c r="CD174" i="98"/>
  <c r="CC172" i="98"/>
  <c r="CD172" i="98"/>
  <c r="CC198" i="98"/>
  <c r="CD198" i="98"/>
  <c r="CC196" i="98"/>
  <c r="CD196" i="98"/>
  <c r="CC171" i="98"/>
  <c r="CD171" i="98"/>
  <c r="CC173" i="98"/>
  <c r="CD173" i="98"/>
  <c r="CL97" i="98"/>
  <c r="CM97" i="98"/>
  <c r="CL93" i="98"/>
  <c r="CM93" i="98"/>
  <c r="CL84" i="98"/>
  <c r="CM84" i="98"/>
  <c r="CL82" i="98"/>
  <c r="CM82" i="98"/>
  <c r="CL80" i="98"/>
  <c r="CM80" i="98"/>
  <c r="CL104" i="98"/>
  <c r="CM104" i="98"/>
  <c r="CL92" i="98"/>
  <c r="CM92" i="98"/>
  <c r="CL87" i="98"/>
  <c r="CM87" i="98"/>
  <c r="CL85" i="98"/>
  <c r="CM85" i="98"/>
  <c r="CL83" i="98"/>
  <c r="CM83" i="98"/>
  <c r="CL81" i="98"/>
  <c r="CM81" i="98"/>
  <c r="CL79" i="98"/>
  <c r="CM79" i="98"/>
  <c r="CL106" i="98"/>
  <c r="CM106" i="98"/>
  <c r="CL95" i="98"/>
  <c r="CM95" i="98"/>
  <c r="CL91" i="98"/>
  <c r="CM91" i="98"/>
  <c r="CL89" i="98"/>
  <c r="CM89" i="98"/>
  <c r="CL107" i="98"/>
  <c r="CM107" i="98"/>
  <c r="CL103" i="98"/>
  <c r="CM103" i="98"/>
  <c r="CL102" i="98"/>
  <c r="CM102" i="98"/>
  <c r="CL100" i="98"/>
  <c r="CM100" i="98"/>
  <c r="CL98" i="98"/>
  <c r="CM98" i="98"/>
  <c r="CL96" i="98"/>
  <c r="CM96" i="98"/>
  <c r="CL108" i="98"/>
  <c r="CM108" i="98"/>
  <c r="CL94" i="98"/>
  <c r="CM94" i="98"/>
  <c r="CL90" i="98"/>
  <c r="CM90" i="98"/>
  <c r="CL88" i="98"/>
  <c r="CM88" i="98"/>
  <c r="CL86" i="98"/>
  <c r="CM86" i="98"/>
  <c r="CL109" i="98"/>
  <c r="CM109" i="98"/>
  <c r="CL105" i="98"/>
  <c r="CM105" i="98"/>
  <c r="CL101" i="98"/>
  <c r="CM101" i="98"/>
  <c r="CL99" i="98"/>
  <c r="CM99" i="98"/>
  <c r="CO101" i="98"/>
  <c r="CP101" i="98"/>
  <c r="CO99" i="98"/>
  <c r="CP99" i="98"/>
  <c r="CO96" i="98"/>
  <c r="CP96" i="98"/>
  <c r="CO95" i="98"/>
  <c r="CP95" i="98"/>
  <c r="CO90" i="98"/>
  <c r="CP90" i="98"/>
  <c r="CO88" i="98"/>
  <c r="CP88" i="98"/>
  <c r="CO109" i="98"/>
  <c r="CP109" i="98"/>
  <c r="CO108" i="98"/>
  <c r="CP108" i="98"/>
  <c r="CO107" i="98"/>
  <c r="CP107" i="98"/>
  <c r="CO106" i="98"/>
  <c r="CP106" i="98"/>
  <c r="CO105" i="98"/>
  <c r="CP105" i="98"/>
  <c r="CO103" i="98"/>
  <c r="CP103" i="98"/>
  <c r="CO102" i="98"/>
  <c r="CP102" i="98"/>
  <c r="CO100" i="98"/>
  <c r="CP100" i="98"/>
  <c r="CO98" i="98"/>
  <c r="CP98" i="98"/>
  <c r="CO94" i="98"/>
  <c r="CP94" i="98"/>
  <c r="CO91" i="98"/>
  <c r="CP91" i="98"/>
  <c r="CO89" i="98"/>
  <c r="CP89" i="98"/>
  <c r="CO86" i="98"/>
  <c r="CP86" i="98"/>
  <c r="CO92" i="98"/>
  <c r="CP92" i="98"/>
  <c r="CO82" i="98"/>
  <c r="CP82" i="98"/>
  <c r="CO104" i="98"/>
  <c r="CP104" i="98"/>
  <c r="CO85" i="98"/>
  <c r="CP85" i="98"/>
  <c r="CO81" i="98"/>
  <c r="CP81" i="98"/>
  <c r="CO97" i="98"/>
  <c r="CP97" i="98"/>
  <c r="CO84" i="98"/>
  <c r="CP84" i="98"/>
  <c r="CO80" i="98"/>
  <c r="CP80" i="98"/>
  <c r="CO93" i="98"/>
  <c r="CP93" i="98"/>
  <c r="CO87" i="98"/>
  <c r="CP87" i="98"/>
  <c r="CO83" i="98"/>
  <c r="CP83" i="98"/>
  <c r="CO79" i="98"/>
  <c r="CP79" i="98"/>
  <c r="BM254" i="98"/>
  <c r="BN254" i="98"/>
  <c r="BL255" i="98"/>
  <c r="BM195" i="98"/>
  <c r="BN195" i="98"/>
  <c r="BL196" i="98"/>
  <c r="CX78" i="98"/>
  <c r="CY78" i="98"/>
  <c r="CX74" i="98"/>
  <c r="CY74" i="98"/>
  <c r="CX72" i="98"/>
  <c r="CY72" i="98"/>
  <c r="CX70" i="98"/>
  <c r="CY70" i="98"/>
  <c r="CX68" i="98"/>
  <c r="CY68" i="98"/>
  <c r="CX65" i="98"/>
  <c r="CY65" i="98"/>
  <c r="CX60" i="98"/>
  <c r="CY60" i="98"/>
  <c r="CX57" i="98"/>
  <c r="CY57" i="98"/>
  <c r="CX76" i="98"/>
  <c r="CY76" i="98"/>
  <c r="CX75" i="98"/>
  <c r="CY75" i="98"/>
  <c r="CX73" i="98"/>
  <c r="CY73" i="98"/>
  <c r="CX71" i="98"/>
  <c r="CY71" i="98"/>
  <c r="CX69" i="98"/>
  <c r="CY69" i="98"/>
  <c r="CX67" i="98"/>
  <c r="CY67" i="98"/>
  <c r="CX62" i="98"/>
  <c r="CY62" i="98"/>
  <c r="CX61" i="98"/>
  <c r="CY61" i="98"/>
  <c r="CX58" i="98"/>
  <c r="CY58" i="98"/>
  <c r="CX56" i="98"/>
  <c r="CY56" i="98"/>
  <c r="CX77" i="98"/>
  <c r="CY77" i="98"/>
  <c r="CX66" i="98"/>
  <c r="CY66" i="98"/>
  <c r="CX54" i="98"/>
  <c r="CY54" i="98"/>
  <c r="CX52" i="98"/>
  <c r="CY52" i="98"/>
  <c r="CX64" i="98"/>
  <c r="CY64" i="98"/>
  <c r="CX63" i="98"/>
  <c r="CY63" i="98"/>
  <c r="CX59" i="98"/>
  <c r="CY59" i="98"/>
  <c r="CX55" i="98"/>
  <c r="CY55" i="98"/>
  <c r="CX53" i="98"/>
  <c r="CY53" i="98"/>
  <c r="CX51" i="98"/>
  <c r="CY51" i="98"/>
  <c r="BZ321" i="98"/>
  <c r="CA321" i="98"/>
  <c r="BZ318" i="98"/>
  <c r="CA318" i="98"/>
  <c r="BZ316" i="98"/>
  <c r="CA316" i="98"/>
  <c r="BZ315" i="98"/>
  <c r="CA315" i="98"/>
  <c r="BZ314" i="98"/>
  <c r="CA314" i="98"/>
  <c r="BZ313" i="98"/>
  <c r="CA313" i="98"/>
  <c r="BZ311" i="98"/>
  <c r="CA311" i="98"/>
  <c r="BZ309" i="98"/>
  <c r="CA309" i="98"/>
  <c r="BZ323" i="98"/>
  <c r="CA323" i="98"/>
  <c r="BZ319" i="98"/>
  <c r="CA319" i="98"/>
  <c r="BZ317" i="98"/>
  <c r="CA317" i="98"/>
  <c r="BZ312" i="98"/>
  <c r="CA312" i="98"/>
  <c r="BZ310" i="98"/>
  <c r="CA310" i="98"/>
  <c r="BZ308" i="98"/>
  <c r="CA308" i="98"/>
  <c r="BZ300" i="98"/>
  <c r="CA300" i="98"/>
  <c r="BZ298" i="98"/>
  <c r="CA298" i="98"/>
  <c r="BZ295" i="98"/>
  <c r="CA295" i="98"/>
  <c r="BZ322" i="98"/>
  <c r="CA322" i="98"/>
  <c r="BZ307" i="98"/>
  <c r="CA307" i="98"/>
  <c r="BZ303" i="98"/>
  <c r="CA303" i="98"/>
  <c r="BZ302" i="98"/>
  <c r="CA302" i="98"/>
  <c r="BZ301" i="98"/>
  <c r="CA301" i="98"/>
  <c r="BZ297" i="98"/>
  <c r="CA297" i="98"/>
  <c r="BZ294" i="98"/>
  <c r="CA294" i="98"/>
  <c r="BZ296" i="98"/>
  <c r="CA296" i="98"/>
  <c r="BZ320" i="98"/>
  <c r="CA320" i="98"/>
  <c r="BZ306" i="98"/>
  <c r="CA306" i="98"/>
  <c r="BZ305" i="98"/>
  <c r="CA305" i="98"/>
  <c r="BZ304" i="98"/>
  <c r="CA304" i="98"/>
  <c r="BZ299" i="98"/>
  <c r="CA299" i="98"/>
  <c r="BZ293" i="98"/>
  <c r="CA293" i="98"/>
  <c r="BQ256" i="98"/>
  <c r="BR256" i="98"/>
  <c r="BQ255" i="98"/>
  <c r="BR255" i="98"/>
  <c r="BQ249" i="98"/>
  <c r="BR249" i="98"/>
  <c r="BQ247" i="98"/>
  <c r="BR247" i="98"/>
  <c r="BQ238" i="98"/>
  <c r="BR238" i="98"/>
  <c r="BQ253" i="98"/>
  <c r="BR253" i="98"/>
  <c r="BQ250" i="98"/>
  <c r="BR250" i="98"/>
  <c r="BQ248" i="98"/>
  <c r="BR248" i="98"/>
  <c r="BQ246" i="98"/>
  <c r="BR246" i="98"/>
  <c r="BQ243" i="98"/>
  <c r="BR243" i="98"/>
  <c r="BQ240" i="98"/>
  <c r="BR240" i="98"/>
  <c r="BQ237" i="98"/>
  <c r="BR237" i="98"/>
  <c r="BQ236" i="98"/>
  <c r="BR236" i="98"/>
  <c r="BQ262" i="98"/>
  <c r="BR262" i="98"/>
  <c r="BQ260" i="98"/>
  <c r="BR260" i="98"/>
  <c r="BQ258" i="98"/>
  <c r="BR258" i="98"/>
  <c r="BQ245" i="98"/>
  <c r="BR245" i="98"/>
  <c r="BQ234" i="98"/>
  <c r="BR234" i="98"/>
  <c r="BQ232" i="98"/>
  <c r="BR232" i="98"/>
  <c r="BQ261" i="98"/>
  <c r="BR261" i="98"/>
  <c r="BQ259" i="98"/>
  <c r="BR259" i="98"/>
  <c r="BQ257" i="98"/>
  <c r="BR257" i="98"/>
  <c r="BQ254" i="98"/>
  <c r="BR254" i="98"/>
  <c r="BQ252" i="98"/>
  <c r="BR252" i="98"/>
  <c r="BQ244" i="98"/>
  <c r="BR244" i="98"/>
  <c r="BQ241" i="98"/>
  <c r="BR241" i="98"/>
  <c r="BQ235" i="98"/>
  <c r="BR235" i="98"/>
  <c r="BQ233" i="98"/>
  <c r="BR233" i="98"/>
  <c r="BQ242" i="98"/>
  <c r="BR242" i="98"/>
  <c r="BQ251" i="98"/>
  <c r="BR251" i="98"/>
  <c r="BQ239" i="98"/>
  <c r="BR239" i="98"/>
  <c r="CR254" i="98"/>
  <c r="CS254" i="98"/>
  <c r="CR251" i="98"/>
  <c r="CS251" i="98"/>
  <c r="CR239" i="98"/>
  <c r="CS239" i="98"/>
  <c r="CR235" i="98"/>
  <c r="CS235" i="98"/>
  <c r="CR234" i="98"/>
  <c r="CS234" i="98"/>
  <c r="CR233" i="98"/>
  <c r="CS233" i="98"/>
  <c r="CR232" i="98"/>
  <c r="CS232" i="98"/>
  <c r="CR262" i="98"/>
  <c r="CS262" i="98"/>
  <c r="CR261" i="98"/>
  <c r="CS261" i="98"/>
  <c r="CR260" i="98"/>
  <c r="CS260" i="98"/>
  <c r="CR259" i="98"/>
  <c r="CS259" i="98"/>
  <c r="CR258" i="98"/>
  <c r="CS258" i="98"/>
  <c r="CR257" i="98"/>
  <c r="CS257" i="98"/>
  <c r="CR252" i="98"/>
  <c r="CS252" i="98"/>
  <c r="CR245" i="98"/>
  <c r="CS245" i="98"/>
  <c r="CR244" i="98"/>
  <c r="CS244" i="98"/>
  <c r="CR242" i="98"/>
  <c r="CS242" i="98"/>
  <c r="CR241" i="98"/>
  <c r="CS241" i="98"/>
  <c r="CR250" i="98"/>
  <c r="CS250" i="98"/>
  <c r="CR248" i="98"/>
  <c r="CS248" i="98"/>
  <c r="CR246" i="98"/>
  <c r="CS246" i="98"/>
  <c r="CR243" i="98"/>
  <c r="CS243" i="98"/>
  <c r="CR237" i="98"/>
  <c r="CS237" i="98"/>
  <c r="CR255" i="98"/>
  <c r="CS255" i="98"/>
  <c r="CR253" i="98"/>
  <c r="CS253" i="98"/>
  <c r="CR249" i="98"/>
  <c r="CS249" i="98"/>
  <c r="CR247" i="98"/>
  <c r="CS247" i="98"/>
  <c r="CR238" i="98"/>
  <c r="CS238" i="98"/>
  <c r="CR240" i="98"/>
  <c r="CS240" i="98"/>
  <c r="CR236" i="98"/>
  <c r="CS236" i="98"/>
  <c r="CR256" i="98"/>
  <c r="CS256" i="98"/>
  <c r="BM225" i="98"/>
  <c r="BN225" i="98"/>
  <c r="BL226" i="98"/>
  <c r="BT196" i="98"/>
  <c r="BU196" i="98"/>
  <c r="BT172" i="98"/>
  <c r="BU172" i="98"/>
  <c r="BT198" i="98"/>
  <c r="BU198" i="98"/>
  <c r="BT173" i="98"/>
  <c r="BU173" i="98"/>
  <c r="BT171" i="98"/>
  <c r="BU171" i="98"/>
  <c r="BT197" i="98"/>
  <c r="BU197" i="98"/>
  <c r="BT191" i="98"/>
  <c r="BU191" i="98"/>
  <c r="BT187" i="98"/>
  <c r="BU187" i="98"/>
  <c r="BT183" i="98"/>
  <c r="BU183" i="98"/>
  <c r="BT179" i="98"/>
  <c r="BU179" i="98"/>
  <c r="BT199" i="98"/>
  <c r="BU199" i="98"/>
  <c r="BT189" i="98"/>
  <c r="BU189" i="98"/>
  <c r="BT185" i="98"/>
  <c r="BU185" i="98"/>
  <c r="BT181" i="98"/>
  <c r="BU181" i="98"/>
  <c r="BT178" i="98"/>
  <c r="BU178" i="98"/>
  <c r="BT194" i="98"/>
  <c r="BU194" i="98"/>
  <c r="BT177" i="98"/>
  <c r="BU177" i="98"/>
  <c r="BT193" i="98"/>
  <c r="BU193" i="98"/>
  <c r="BT176" i="98"/>
  <c r="BU176" i="98"/>
  <c r="BT200" i="98"/>
  <c r="BU200" i="98"/>
  <c r="BT192" i="98"/>
  <c r="BU192" i="98"/>
  <c r="BT190" i="98"/>
  <c r="BU190" i="98"/>
  <c r="BT188" i="98"/>
  <c r="BU188" i="98"/>
  <c r="BT186" i="98"/>
  <c r="BU186" i="98"/>
  <c r="BT184" i="98"/>
  <c r="BU184" i="98"/>
  <c r="BT182" i="98"/>
  <c r="BU182" i="98"/>
  <c r="BT180" i="98"/>
  <c r="BU180" i="98"/>
  <c r="BT175" i="98"/>
  <c r="BU175" i="98"/>
  <c r="BT195" i="98"/>
  <c r="BU195" i="98"/>
  <c r="BT174" i="98"/>
  <c r="BU174" i="98"/>
  <c r="CO200" i="98"/>
  <c r="CP200" i="98"/>
  <c r="CO197" i="98"/>
  <c r="CP197" i="98"/>
  <c r="CO193" i="98"/>
  <c r="CP193" i="98"/>
  <c r="CO178" i="98"/>
  <c r="CP178" i="98"/>
  <c r="CO177" i="98"/>
  <c r="CP177" i="98"/>
  <c r="CO175" i="98"/>
  <c r="CP175" i="98"/>
  <c r="CO199" i="98"/>
  <c r="CP199" i="98"/>
  <c r="CO195" i="98"/>
  <c r="CP195" i="98"/>
  <c r="CO194" i="98"/>
  <c r="CP194" i="98"/>
  <c r="CO192" i="98"/>
  <c r="CP192" i="98"/>
  <c r="CO191" i="98"/>
  <c r="CP191" i="98"/>
  <c r="CO190" i="98"/>
  <c r="CP190" i="98"/>
  <c r="CO189" i="98"/>
  <c r="CP189" i="98"/>
  <c r="CO188" i="98"/>
  <c r="CP188" i="98"/>
  <c r="CO187" i="98"/>
  <c r="CP187" i="98"/>
  <c r="CO186" i="98"/>
  <c r="CP186" i="98"/>
  <c r="CO185" i="98"/>
  <c r="CP185" i="98"/>
  <c r="CO184" i="98"/>
  <c r="CP184" i="98"/>
  <c r="CO183" i="98"/>
  <c r="CP183" i="98"/>
  <c r="CO182" i="98"/>
  <c r="CP182" i="98"/>
  <c r="CO181" i="98"/>
  <c r="CP181" i="98"/>
  <c r="CO180" i="98"/>
  <c r="CP180" i="98"/>
  <c r="CO179" i="98"/>
  <c r="CP179" i="98"/>
  <c r="CO176" i="98"/>
  <c r="CP176" i="98"/>
  <c r="CO174" i="98"/>
  <c r="CP174" i="98"/>
  <c r="CO172" i="98"/>
  <c r="CP172" i="98"/>
  <c r="CO198" i="98"/>
  <c r="CP198" i="98"/>
  <c r="CO196" i="98"/>
  <c r="CP196" i="98"/>
  <c r="CO171" i="98"/>
  <c r="CP171" i="98"/>
  <c r="CO173" i="98"/>
  <c r="CP173" i="98"/>
  <c r="CF76" i="98"/>
  <c r="CG76" i="98"/>
  <c r="CF75" i="98"/>
  <c r="CG75" i="98"/>
  <c r="CF73" i="98"/>
  <c r="CG73" i="98"/>
  <c r="CF71" i="98"/>
  <c r="CG71" i="98"/>
  <c r="CF69" i="98"/>
  <c r="CG69" i="98"/>
  <c r="CF67" i="98"/>
  <c r="CG67" i="98"/>
  <c r="CF62" i="98"/>
  <c r="CG62" i="98"/>
  <c r="CF61" i="98"/>
  <c r="CG61" i="98"/>
  <c r="CF58" i="98"/>
  <c r="CG58" i="98"/>
  <c r="CF56" i="98"/>
  <c r="CG56" i="98"/>
  <c r="CF78" i="98"/>
  <c r="CG78" i="98"/>
  <c r="CF74" i="98"/>
  <c r="CG74" i="98"/>
  <c r="CF72" i="98"/>
  <c r="CG72" i="98"/>
  <c r="CF70" i="98"/>
  <c r="CG70" i="98"/>
  <c r="CF68" i="98"/>
  <c r="CG68" i="98"/>
  <c r="CF65" i="98"/>
  <c r="CG65" i="98"/>
  <c r="CF60" i="98"/>
  <c r="CG60" i="98"/>
  <c r="CF57" i="98"/>
  <c r="CG57" i="98"/>
  <c r="CF59" i="98"/>
  <c r="CG59" i="98"/>
  <c r="CF55" i="98"/>
  <c r="CG55" i="98"/>
  <c r="CF53" i="98"/>
  <c r="CG53" i="98"/>
  <c r="CF51" i="98"/>
  <c r="CG51" i="98"/>
  <c r="CF77" i="98"/>
  <c r="CG77" i="98"/>
  <c r="CF66" i="98"/>
  <c r="CG66" i="98"/>
  <c r="CF54" i="98"/>
  <c r="CG54" i="98"/>
  <c r="CF52" i="98"/>
  <c r="CG52" i="98"/>
  <c r="CF64" i="98"/>
  <c r="CG64" i="98"/>
  <c r="CF63" i="98"/>
  <c r="CG63" i="98"/>
  <c r="BQ77" i="98"/>
  <c r="BR77" i="98"/>
  <c r="BQ64" i="98"/>
  <c r="BR64" i="98"/>
  <c r="BQ63" i="98"/>
  <c r="BR63" i="98"/>
  <c r="BQ54" i="98"/>
  <c r="BR54" i="98"/>
  <c r="BQ52" i="98"/>
  <c r="BR52" i="98"/>
  <c r="BQ66" i="98"/>
  <c r="BR66" i="98"/>
  <c r="BQ59" i="98"/>
  <c r="BR59" i="98"/>
  <c r="BQ55" i="98"/>
  <c r="BR55" i="98"/>
  <c r="BQ53" i="98"/>
  <c r="BR53" i="98"/>
  <c r="BQ51" i="98"/>
  <c r="BR51" i="98"/>
  <c r="BQ78" i="98"/>
  <c r="BR78" i="98"/>
  <c r="BQ76" i="98"/>
  <c r="BR76" i="98"/>
  <c r="BQ74" i="98"/>
  <c r="BR74" i="98"/>
  <c r="BQ70" i="98"/>
  <c r="BR70" i="98"/>
  <c r="BQ65" i="98"/>
  <c r="BR65" i="98"/>
  <c r="BQ58" i="98"/>
  <c r="BR58" i="98"/>
  <c r="BQ73" i="98"/>
  <c r="BR73" i="98"/>
  <c r="BQ69" i="98"/>
  <c r="BR69" i="98"/>
  <c r="BQ57" i="98"/>
  <c r="BR57" i="98"/>
  <c r="BQ72" i="98"/>
  <c r="BR72" i="98"/>
  <c r="BQ68" i="98"/>
  <c r="BR68" i="98"/>
  <c r="BQ62" i="98"/>
  <c r="BR62" i="98"/>
  <c r="BQ61" i="98"/>
  <c r="BR61" i="98"/>
  <c r="BQ60" i="98"/>
  <c r="BR60" i="98"/>
  <c r="BQ56" i="98"/>
  <c r="BR56" i="98"/>
  <c r="BQ75" i="98"/>
  <c r="BR75" i="98"/>
  <c r="BQ71" i="98"/>
  <c r="BR71" i="98"/>
  <c r="BQ67" i="98"/>
  <c r="BR67" i="98"/>
  <c r="CI66" i="98"/>
  <c r="CJ66" i="98"/>
  <c r="CI59" i="98"/>
  <c r="CJ59" i="98"/>
  <c r="CI55" i="98"/>
  <c r="CJ55" i="98"/>
  <c r="CI53" i="98"/>
  <c r="CJ53" i="98"/>
  <c r="CI51" i="98"/>
  <c r="CJ51" i="98"/>
  <c r="CI77" i="98"/>
  <c r="CJ77" i="98"/>
  <c r="CI64" i="98"/>
  <c r="CJ64" i="98"/>
  <c r="CI63" i="98"/>
  <c r="CJ63" i="98"/>
  <c r="CI54" i="98"/>
  <c r="CJ54" i="98"/>
  <c r="CI52" i="98"/>
  <c r="CJ52" i="98"/>
  <c r="CI73" i="98"/>
  <c r="CJ73" i="98"/>
  <c r="CI69" i="98"/>
  <c r="CJ69" i="98"/>
  <c r="CI57" i="98"/>
  <c r="CJ57" i="98"/>
  <c r="CI72" i="98"/>
  <c r="CJ72" i="98"/>
  <c r="CI68" i="98"/>
  <c r="CJ68" i="98"/>
  <c r="CI62" i="98"/>
  <c r="CJ62" i="98"/>
  <c r="CI61" i="98"/>
  <c r="CJ61" i="98"/>
  <c r="CI60" i="98"/>
  <c r="CJ60" i="98"/>
  <c r="CI56" i="98"/>
  <c r="CJ56" i="98"/>
  <c r="CI75" i="98"/>
  <c r="CJ75" i="98"/>
  <c r="CI71" i="98"/>
  <c r="CJ71" i="98"/>
  <c r="CI67" i="98"/>
  <c r="CJ67" i="98"/>
  <c r="CI78" i="98"/>
  <c r="CJ78" i="98"/>
  <c r="CI76" i="98"/>
  <c r="CJ76" i="98"/>
  <c r="CI74" i="98"/>
  <c r="CJ74" i="98"/>
  <c r="CI70" i="98"/>
  <c r="CJ70" i="98"/>
  <c r="CI65" i="98"/>
  <c r="CJ65" i="98"/>
  <c r="CI58" i="98"/>
  <c r="CJ58" i="98"/>
  <c r="AC406" i="98"/>
  <c r="AD394" i="98"/>
  <c r="AD406" i="98"/>
  <c r="AD408" i="98"/>
  <c r="AK399" i="98"/>
  <c r="CC320" i="98"/>
  <c r="CD320" i="98"/>
  <c r="CC322" i="98"/>
  <c r="CD322" i="98"/>
  <c r="CC307" i="98"/>
  <c r="CD307" i="98"/>
  <c r="CC319" i="98"/>
  <c r="CD319" i="98"/>
  <c r="CC310" i="98"/>
  <c r="CD310" i="98"/>
  <c r="CC306" i="98"/>
  <c r="CD306" i="98"/>
  <c r="CC304" i="98"/>
  <c r="CD304" i="98"/>
  <c r="CC299" i="98"/>
  <c r="CD299" i="98"/>
  <c r="CC296" i="98"/>
  <c r="CD296" i="98"/>
  <c r="CC293" i="98"/>
  <c r="CD293" i="98"/>
  <c r="CC323" i="98"/>
  <c r="CD323" i="98"/>
  <c r="CC317" i="98"/>
  <c r="CD317" i="98"/>
  <c r="CC312" i="98"/>
  <c r="CD312" i="98"/>
  <c r="CC308" i="98"/>
  <c r="CD308" i="98"/>
  <c r="CC305" i="98"/>
  <c r="CD305" i="98"/>
  <c r="CC297" i="98"/>
  <c r="CD297" i="98"/>
  <c r="CC294" i="98"/>
  <c r="CD294" i="98"/>
  <c r="CC318" i="98"/>
  <c r="CD318" i="98"/>
  <c r="CC315" i="98"/>
  <c r="CD315" i="98"/>
  <c r="CC313" i="98"/>
  <c r="CD313" i="98"/>
  <c r="CC309" i="98"/>
  <c r="CD309" i="98"/>
  <c r="CC302" i="98"/>
  <c r="CD302" i="98"/>
  <c r="CC321" i="98"/>
  <c r="CD321" i="98"/>
  <c r="CC316" i="98"/>
  <c r="CD316" i="98"/>
  <c r="CC314" i="98"/>
  <c r="CD314" i="98"/>
  <c r="CC311" i="98"/>
  <c r="CD311" i="98"/>
  <c r="CC303" i="98"/>
  <c r="CD303" i="98"/>
  <c r="CC301" i="98"/>
  <c r="CD301" i="98"/>
  <c r="CC300" i="98"/>
  <c r="CD300" i="98"/>
  <c r="CC298" i="98"/>
  <c r="CD298" i="98"/>
  <c r="CC295" i="98"/>
  <c r="CD295" i="98"/>
  <c r="CL321" i="98"/>
  <c r="CM321" i="98"/>
  <c r="CL318" i="98"/>
  <c r="CM318" i="98"/>
  <c r="CL316" i="98"/>
  <c r="CM316" i="98"/>
  <c r="CL315" i="98"/>
  <c r="CM315" i="98"/>
  <c r="CL314" i="98"/>
  <c r="CM314" i="98"/>
  <c r="CL313" i="98"/>
  <c r="CM313" i="98"/>
  <c r="CL311" i="98"/>
  <c r="CM311" i="98"/>
  <c r="CL309" i="98"/>
  <c r="CM309" i="98"/>
  <c r="CL323" i="98"/>
  <c r="CM323" i="98"/>
  <c r="CL319" i="98"/>
  <c r="CM319" i="98"/>
  <c r="CL317" i="98"/>
  <c r="CM317" i="98"/>
  <c r="CL312" i="98"/>
  <c r="CM312" i="98"/>
  <c r="CL310" i="98"/>
  <c r="CM310" i="98"/>
  <c r="CL308" i="98"/>
  <c r="CM308" i="98"/>
  <c r="CL322" i="98"/>
  <c r="CM322" i="98"/>
  <c r="CL307" i="98"/>
  <c r="CM307" i="98"/>
  <c r="CL300" i="98"/>
  <c r="CM300" i="98"/>
  <c r="CL298" i="98"/>
  <c r="CM298" i="98"/>
  <c r="CL295" i="98"/>
  <c r="CM295" i="98"/>
  <c r="CL303" i="98"/>
  <c r="CM303" i="98"/>
  <c r="CL302" i="98"/>
  <c r="CM302" i="98"/>
  <c r="CL301" i="98"/>
  <c r="CM301" i="98"/>
  <c r="CL297" i="98"/>
  <c r="CM297" i="98"/>
  <c r="CL294" i="98"/>
  <c r="CM294" i="98"/>
  <c r="CL320" i="98"/>
  <c r="CM320" i="98"/>
  <c r="CL305" i="98"/>
  <c r="CM305" i="98"/>
  <c r="CL299" i="98"/>
  <c r="CM299" i="98"/>
  <c r="CL306" i="98"/>
  <c r="CM306" i="98"/>
  <c r="CL304" i="98"/>
  <c r="CM304" i="98"/>
  <c r="CL293" i="98"/>
  <c r="CM293" i="98"/>
  <c r="CL296" i="98"/>
  <c r="CM296" i="98"/>
  <c r="CR323" i="98"/>
  <c r="CS323" i="98"/>
  <c r="CR319" i="98"/>
  <c r="CS319" i="98"/>
  <c r="CR317" i="98"/>
  <c r="CS317" i="98"/>
  <c r="CR312" i="98"/>
  <c r="CS312" i="98"/>
  <c r="CR310" i="98"/>
  <c r="CS310" i="98"/>
  <c r="CR308" i="98"/>
  <c r="CS308" i="98"/>
  <c r="CR321" i="98"/>
  <c r="CS321" i="98"/>
  <c r="CR318" i="98"/>
  <c r="CS318" i="98"/>
  <c r="CR316" i="98"/>
  <c r="CS316" i="98"/>
  <c r="CR315" i="98"/>
  <c r="CS315" i="98"/>
  <c r="CR314" i="98"/>
  <c r="CS314" i="98"/>
  <c r="CR313" i="98"/>
  <c r="CS313" i="98"/>
  <c r="CR311" i="98"/>
  <c r="CS311" i="98"/>
  <c r="CR309" i="98"/>
  <c r="CS309" i="98"/>
  <c r="CR303" i="98"/>
  <c r="CS303" i="98"/>
  <c r="CR302" i="98"/>
  <c r="CS302" i="98"/>
  <c r="CR301" i="98"/>
  <c r="CS301" i="98"/>
  <c r="CR320" i="98"/>
  <c r="CS320" i="98"/>
  <c r="CR300" i="98"/>
  <c r="CS300" i="98"/>
  <c r="CR298" i="98"/>
  <c r="CS298" i="98"/>
  <c r="CR295" i="98"/>
  <c r="CS295" i="98"/>
  <c r="CR322" i="98"/>
  <c r="CS322" i="98"/>
  <c r="CR306" i="98"/>
  <c r="CS306" i="98"/>
  <c r="CR304" i="98"/>
  <c r="CS304" i="98"/>
  <c r="CR305" i="98"/>
  <c r="CS305" i="98"/>
  <c r="CR299" i="98"/>
  <c r="CS299" i="98"/>
  <c r="CR296" i="98"/>
  <c r="CS296" i="98"/>
  <c r="CR293" i="98"/>
  <c r="CS293" i="98"/>
  <c r="CR297" i="98"/>
  <c r="CS297" i="98"/>
  <c r="CR307" i="98"/>
  <c r="CS307" i="98"/>
  <c r="CR294" i="98"/>
  <c r="CS294" i="98"/>
  <c r="CI253" i="98"/>
  <c r="CJ253" i="98"/>
  <c r="CI250" i="98"/>
  <c r="CJ250" i="98"/>
  <c r="CI248" i="98"/>
  <c r="CJ248" i="98"/>
  <c r="CI246" i="98"/>
  <c r="CJ246" i="98"/>
  <c r="CI243" i="98"/>
  <c r="CJ243" i="98"/>
  <c r="CI240" i="98"/>
  <c r="CJ240" i="98"/>
  <c r="CI237" i="98"/>
  <c r="CJ237" i="98"/>
  <c r="CI236" i="98"/>
  <c r="CJ236" i="98"/>
  <c r="CI256" i="98"/>
  <c r="CJ256" i="98"/>
  <c r="CI255" i="98"/>
  <c r="CJ255" i="98"/>
  <c r="CI249" i="98"/>
  <c r="CJ249" i="98"/>
  <c r="CI247" i="98"/>
  <c r="CJ247" i="98"/>
  <c r="CI238" i="98"/>
  <c r="CJ238" i="98"/>
  <c r="CI251" i="98"/>
  <c r="CJ251" i="98"/>
  <c r="CI242" i="98"/>
  <c r="CJ242" i="98"/>
  <c r="CI239" i="98"/>
  <c r="CJ239" i="98"/>
  <c r="CI262" i="98"/>
  <c r="CJ262" i="98"/>
  <c r="CI260" i="98"/>
  <c r="CJ260" i="98"/>
  <c r="CI258" i="98"/>
  <c r="CJ258" i="98"/>
  <c r="CI254" i="98"/>
  <c r="CJ254" i="98"/>
  <c r="CI252" i="98"/>
  <c r="CJ252" i="98"/>
  <c r="CI244" i="98"/>
  <c r="CJ244" i="98"/>
  <c r="CI235" i="98"/>
  <c r="CJ235" i="98"/>
  <c r="CI233" i="98"/>
  <c r="CJ233" i="98"/>
  <c r="CI261" i="98"/>
  <c r="CJ261" i="98"/>
  <c r="CI259" i="98"/>
  <c r="CJ259" i="98"/>
  <c r="CI257" i="98"/>
  <c r="CJ257" i="98"/>
  <c r="CI245" i="98"/>
  <c r="CJ245" i="98"/>
  <c r="CI241" i="98"/>
  <c r="CJ241" i="98"/>
  <c r="CI234" i="98"/>
  <c r="CJ234" i="98"/>
  <c r="CI232" i="98"/>
  <c r="CJ232" i="98"/>
  <c r="CO256" i="98"/>
  <c r="CP256" i="98"/>
  <c r="CO255" i="98"/>
  <c r="CP255" i="98"/>
  <c r="CO249" i="98"/>
  <c r="CP249" i="98"/>
  <c r="CO247" i="98"/>
  <c r="CP247" i="98"/>
  <c r="CO238" i="98"/>
  <c r="CP238" i="98"/>
  <c r="CO253" i="98"/>
  <c r="CP253" i="98"/>
  <c r="CO250" i="98"/>
  <c r="CP250" i="98"/>
  <c r="CO248" i="98"/>
  <c r="CP248" i="98"/>
  <c r="CO246" i="98"/>
  <c r="CP246" i="98"/>
  <c r="CO243" i="98"/>
  <c r="CP243" i="98"/>
  <c r="CO240" i="98"/>
  <c r="CP240" i="98"/>
  <c r="CO237" i="98"/>
  <c r="CP237" i="98"/>
  <c r="CO236" i="98"/>
  <c r="CP236" i="98"/>
  <c r="CO262" i="98"/>
  <c r="CP262" i="98"/>
  <c r="CO260" i="98"/>
  <c r="CP260" i="98"/>
  <c r="CO258" i="98"/>
  <c r="CP258" i="98"/>
  <c r="CO245" i="98"/>
  <c r="CP245" i="98"/>
  <c r="CO234" i="98"/>
  <c r="CP234" i="98"/>
  <c r="CO232" i="98"/>
  <c r="CP232" i="98"/>
  <c r="CO261" i="98"/>
  <c r="CP261" i="98"/>
  <c r="CO259" i="98"/>
  <c r="CP259" i="98"/>
  <c r="CO257" i="98"/>
  <c r="CP257" i="98"/>
  <c r="CO254" i="98"/>
  <c r="CP254" i="98"/>
  <c r="CO252" i="98"/>
  <c r="CP252" i="98"/>
  <c r="CO244" i="98"/>
  <c r="CP244" i="98"/>
  <c r="CO241" i="98"/>
  <c r="CP241" i="98"/>
  <c r="CO235" i="98"/>
  <c r="CP235" i="98"/>
  <c r="CO233" i="98"/>
  <c r="CP233" i="98"/>
  <c r="CO251" i="98"/>
  <c r="CP251" i="98"/>
  <c r="CO239" i="98"/>
  <c r="CP239" i="98"/>
  <c r="CO242" i="98"/>
  <c r="CP242" i="98"/>
  <c r="CX262" i="98"/>
  <c r="CY262" i="98"/>
  <c r="CX261" i="98"/>
  <c r="CY261" i="98"/>
  <c r="CX260" i="98"/>
  <c r="CY260" i="98"/>
  <c r="CX259" i="98"/>
  <c r="CY259" i="98"/>
  <c r="CX258" i="98"/>
  <c r="CY258" i="98"/>
  <c r="CX257" i="98"/>
  <c r="CY257" i="98"/>
  <c r="CX252" i="98"/>
  <c r="CY252" i="98"/>
  <c r="CX245" i="98"/>
  <c r="CY245" i="98"/>
  <c r="CX244" i="98"/>
  <c r="CY244" i="98"/>
  <c r="CX242" i="98"/>
  <c r="CY242" i="98"/>
  <c r="CX241" i="98"/>
  <c r="CY241" i="98"/>
  <c r="CX254" i="98"/>
  <c r="CY254" i="98"/>
  <c r="CX251" i="98"/>
  <c r="CY251" i="98"/>
  <c r="CX239" i="98"/>
  <c r="CY239" i="98"/>
  <c r="CX235" i="98"/>
  <c r="CY235" i="98"/>
  <c r="CX234" i="98"/>
  <c r="CY234" i="98"/>
  <c r="CX233" i="98"/>
  <c r="CY233" i="98"/>
  <c r="CX232" i="98"/>
  <c r="CY232" i="98"/>
  <c r="CX256" i="98"/>
  <c r="CY256" i="98"/>
  <c r="CX240" i="98"/>
  <c r="CY240" i="98"/>
  <c r="CX236" i="98"/>
  <c r="CY236" i="98"/>
  <c r="CX250" i="98"/>
  <c r="CY250" i="98"/>
  <c r="CX248" i="98"/>
  <c r="CY248" i="98"/>
  <c r="CX246" i="98"/>
  <c r="CY246" i="98"/>
  <c r="CX237" i="98"/>
  <c r="CY237" i="98"/>
  <c r="CX255" i="98"/>
  <c r="CY255" i="98"/>
  <c r="CX253" i="98"/>
  <c r="CY253" i="98"/>
  <c r="CX249" i="98"/>
  <c r="CY249" i="98"/>
  <c r="CX247" i="98"/>
  <c r="CY247" i="98"/>
  <c r="CX243" i="98"/>
  <c r="CY243" i="98"/>
  <c r="CX238" i="98"/>
  <c r="CY238" i="98"/>
  <c r="BM375" i="98"/>
  <c r="BN375" i="98"/>
  <c r="BL376" i="98"/>
  <c r="BM133" i="98"/>
  <c r="BN133" i="98"/>
  <c r="BL134" i="98"/>
  <c r="BM74" i="98"/>
  <c r="BN74" i="98"/>
  <c r="BL75" i="98"/>
  <c r="BM282" i="98"/>
  <c r="BN282" i="98"/>
  <c r="BL283" i="98"/>
  <c r="BZ198" i="98"/>
  <c r="CA198" i="98"/>
  <c r="BZ173" i="98"/>
  <c r="CA173" i="98"/>
  <c r="BZ171" i="98"/>
  <c r="CA171" i="98"/>
  <c r="BZ196" i="98"/>
  <c r="CA196" i="98"/>
  <c r="BZ172" i="98"/>
  <c r="CA172" i="98"/>
  <c r="BZ195" i="98"/>
  <c r="CA195" i="98"/>
  <c r="BZ193" i="98"/>
  <c r="CA193" i="98"/>
  <c r="BZ190" i="98"/>
  <c r="CA190" i="98"/>
  <c r="BZ186" i="98"/>
  <c r="CA186" i="98"/>
  <c r="BZ182" i="98"/>
  <c r="CA182" i="98"/>
  <c r="BZ176" i="98"/>
  <c r="CA176" i="98"/>
  <c r="BZ174" i="98"/>
  <c r="CA174" i="98"/>
  <c r="BZ200" i="98"/>
  <c r="CA200" i="98"/>
  <c r="BZ194" i="98"/>
  <c r="CA194" i="98"/>
  <c r="BZ192" i="98"/>
  <c r="CA192" i="98"/>
  <c r="BZ188" i="98"/>
  <c r="CA188" i="98"/>
  <c r="BZ184" i="98"/>
  <c r="CA184" i="98"/>
  <c r="BZ180" i="98"/>
  <c r="CA180" i="98"/>
  <c r="BZ177" i="98"/>
  <c r="CA177" i="98"/>
  <c r="BZ175" i="98"/>
  <c r="CA175" i="98"/>
  <c r="BZ199" i="98"/>
  <c r="CA199" i="98"/>
  <c r="BZ197" i="98"/>
  <c r="CA197" i="98"/>
  <c r="BZ178" i="98"/>
  <c r="CA178" i="98"/>
  <c r="BZ191" i="98"/>
  <c r="CA191" i="98"/>
  <c r="BZ189" i="98"/>
  <c r="CA189" i="98"/>
  <c r="BZ187" i="98"/>
  <c r="CA187" i="98"/>
  <c r="BZ185" i="98"/>
  <c r="CA185" i="98"/>
  <c r="BZ183" i="98"/>
  <c r="CA183" i="98"/>
  <c r="BZ181" i="98"/>
  <c r="CA181" i="98"/>
  <c r="BZ179" i="98"/>
  <c r="CA179" i="98"/>
  <c r="CR196" i="98"/>
  <c r="CS196" i="98"/>
  <c r="CR172" i="98"/>
  <c r="CS172" i="98"/>
  <c r="CR198" i="98"/>
  <c r="CS198" i="98"/>
  <c r="CR173" i="98"/>
  <c r="CS173" i="98"/>
  <c r="CR171" i="98"/>
  <c r="CS171" i="98"/>
  <c r="CR197" i="98"/>
  <c r="CS197" i="98"/>
  <c r="CR191" i="98"/>
  <c r="CS191" i="98"/>
  <c r="CR187" i="98"/>
  <c r="CS187" i="98"/>
  <c r="CR183" i="98"/>
  <c r="CS183" i="98"/>
  <c r="CR179" i="98"/>
  <c r="CS179" i="98"/>
  <c r="CR199" i="98"/>
  <c r="CS199" i="98"/>
  <c r="CR189" i="98"/>
  <c r="CS189" i="98"/>
  <c r="CR185" i="98"/>
  <c r="CS185" i="98"/>
  <c r="CR181" i="98"/>
  <c r="CS181" i="98"/>
  <c r="CR178" i="98"/>
  <c r="CS178" i="98"/>
  <c r="CR200" i="98"/>
  <c r="CS200" i="98"/>
  <c r="CR192" i="98"/>
  <c r="CS192" i="98"/>
  <c r="CR190" i="98"/>
  <c r="CS190" i="98"/>
  <c r="CR188" i="98"/>
  <c r="CS188" i="98"/>
  <c r="CR186" i="98"/>
  <c r="CS186" i="98"/>
  <c r="CR184" i="98"/>
  <c r="CS184" i="98"/>
  <c r="CR182" i="98"/>
  <c r="CS182" i="98"/>
  <c r="CR180" i="98"/>
  <c r="CS180" i="98"/>
  <c r="CR175" i="98"/>
  <c r="CS175" i="98"/>
  <c r="CR195" i="98"/>
  <c r="CS195" i="98"/>
  <c r="CR174" i="98"/>
  <c r="CS174" i="98"/>
  <c r="CR194" i="98"/>
  <c r="CS194" i="98"/>
  <c r="CR177" i="98"/>
  <c r="CS177" i="98"/>
  <c r="CR193" i="98"/>
  <c r="CS193" i="98"/>
  <c r="CR176" i="98"/>
  <c r="CS176" i="98"/>
  <c r="BW199" i="98"/>
  <c r="BX199" i="98"/>
  <c r="BW195" i="98"/>
  <c r="BX195" i="98"/>
  <c r="BW194" i="98"/>
  <c r="BX194" i="98"/>
  <c r="BW192" i="98"/>
  <c r="BX192" i="98"/>
  <c r="BW191" i="98"/>
  <c r="BX191" i="98"/>
  <c r="BW190" i="98"/>
  <c r="BX190" i="98"/>
  <c r="BW189" i="98"/>
  <c r="BX189" i="98"/>
  <c r="BW188" i="98"/>
  <c r="BX188" i="98"/>
  <c r="BW187" i="98"/>
  <c r="BX187" i="98"/>
  <c r="BW186" i="98"/>
  <c r="BX186" i="98"/>
  <c r="BW185" i="98"/>
  <c r="BX185" i="98"/>
  <c r="BW184" i="98"/>
  <c r="BX184" i="98"/>
  <c r="BW183" i="98"/>
  <c r="BX183" i="98"/>
  <c r="BW182" i="98"/>
  <c r="BX182" i="98"/>
  <c r="BW181" i="98"/>
  <c r="BX181" i="98"/>
  <c r="BW180" i="98"/>
  <c r="BX180" i="98"/>
  <c r="BW179" i="98"/>
  <c r="BX179" i="98"/>
  <c r="BW176" i="98"/>
  <c r="BX176" i="98"/>
  <c r="BW174" i="98"/>
  <c r="BX174" i="98"/>
  <c r="BW200" i="98"/>
  <c r="BX200" i="98"/>
  <c r="BW197" i="98"/>
  <c r="BX197" i="98"/>
  <c r="BW193" i="98"/>
  <c r="BX193" i="98"/>
  <c r="BW178" i="98"/>
  <c r="BX178" i="98"/>
  <c r="BW177" i="98"/>
  <c r="BX177" i="98"/>
  <c r="BW175" i="98"/>
  <c r="BX175" i="98"/>
  <c r="BW196" i="98"/>
  <c r="BX196" i="98"/>
  <c r="BW173" i="98"/>
  <c r="BX173" i="98"/>
  <c r="BW198" i="98"/>
  <c r="BX198" i="98"/>
  <c r="BW171" i="98"/>
  <c r="BX171" i="98"/>
  <c r="BW172" i="98"/>
  <c r="BX172" i="98"/>
  <c r="BZ97" i="98"/>
  <c r="CA97" i="98"/>
  <c r="BZ93" i="98"/>
  <c r="CA93" i="98"/>
  <c r="BZ84" i="98"/>
  <c r="CA84" i="98"/>
  <c r="BZ82" i="98"/>
  <c r="CA82" i="98"/>
  <c r="BZ80" i="98"/>
  <c r="CA80" i="98"/>
  <c r="BZ104" i="98"/>
  <c r="CA104" i="98"/>
  <c r="BZ92" i="98"/>
  <c r="CA92" i="98"/>
  <c r="BZ87" i="98"/>
  <c r="CA87" i="98"/>
  <c r="BZ85" i="98"/>
  <c r="CA85" i="98"/>
  <c r="BZ83" i="98"/>
  <c r="CA83" i="98"/>
  <c r="BZ81" i="98"/>
  <c r="CA81" i="98"/>
  <c r="BZ79" i="98"/>
  <c r="CA79" i="98"/>
  <c r="BZ108" i="98"/>
  <c r="CA108" i="98"/>
  <c r="BZ94" i="98"/>
  <c r="CA94" i="98"/>
  <c r="BZ90" i="98"/>
  <c r="CA90" i="98"/>
  <c r="BZ88" i="98"/>
  <c r="CA88" i="98"/>
  <c r="BZ86" i="98"/>
  <c r="CA86" i="98"/>
  <c r="BZ109" i="98"/>
  <c r="CA109" i="98"/>
  <c r="BZ105" i="98"/>
  <c r="CA105" i="98"/>
  <c r="BZ101" i="98"/>
  <c r="CA101" i="98"/>
  <c r="BZ99" i="98"/>
  <c r="CA99" i="98"/>
  <c r="BZ106" i="98"/>
  <c r="CA106" i="98"/>
  <c r="BZ95" i="98"/>
  <c r="CA95" i="98"/>
  <c r="BZ91" i="98"/>
  <c r="CA91" i="98"/>
  <c r="BZ89" i="98"/>
  <c r="CA89" i="98"/>
  <c r="BZ107" i="98"/>
  <c r="CA107" i="98"/>
  <c r="BZ103" i="98"/>
  <c r="CA103" i="98"/>
  <c r="BZ102" i="98"/>
  <c r="CA102" i="98"/>
  <c r="BZ100" i="98"/>
  <c r="CA100" i="98"/>
  <c r="BZ98" i="98"/>
  <c r="CA98" i="98"/>
  <c r="BZ96" i="98"/>
  <c r="CA96" i="98"/>
  <c r="BQ101" i="98"/>
  <c r="BR101" i="98"/>
  <c r="BQ99" i="98"/>
  <c r="BR99" i="98"/>
  <c r="BQ96" i="98"/>
  <c r="BR96" i="98"/>
  <c r="BQ95" i="98"/>
  <c r="BR95" i="98"/>
  <c r="BQ90" i="98"/>
  <c r="BR90" i="98"/>
  <c r="BQ88" i="98"/>
  <c r="BR88" i="98"/>
  <c r="BQ109" i="98"/>
  <c r="BR109" i="98"/>
  <c r="BQ108" i="98"/>
  <c r="BR108" i="98"/>
  <c r="BQ107" i="98"/>
  <c r="BR107" i="98"/>
  <c r="BQ106" i="98"/>
  <c r="BR106" i="98"/>
  <c r="BQ105" i="98"/>
  <c r="BR105" i="98"/>
  <c r="BQ103" i="98"/>
  <c r="BR103" i="98"/>
  <c r="BQ102" i="98"/>
  <c r="BR102" i="98"/>
  <c r="BQ100" i="98"/>
  <c r="BR100" i="98"/>
  <c r="BQ98" i="98"/>
  <c r="BR98" i="98"/>
  <c r="BQ94" i="98"/>
  <c r="BR94" i="98"/>
  <c r="BQ91" i="98"/>
  <c r="BR91" i="98"/>
  <c r="BQ89" i="98"/>
  <c r="BR89" i="98"/>
  <c r="BQ86" i="98"/>
  <c r="BR86" i="98"/>
  <c r="BQ92" i="98"/>
  <c r="BR92" i="98"/>
  <c r="BQ82" i="98"/>
  <c r="BR82" i="98"/>
  <c r="BQ104" i="98"/>
  <c r="BR104" i="98"/>
  <c r="BQ85" i="98"/>
  <c r="BR85" i="98"/>
  <c r="BQ81" i="98"/>
  <c r="BR81" i="98"/>
  <c r="BQ97" i="98"/>
  <c r="BR97" i="98"/>
  <c r="BQ84" i="98"/>
  <c r="BR84" i="98"/>
  <c r="BQ80" i="98"/>
  <c r="BR80" i="98"/>
  <c r="BQ93" i="98"/>
  <c r="BR93" i="98"/>
  <c r="BQ87" i="98"/>
  <c r="BR87" i="98"/>
  <c r="BQ83" i="98"/>
  <c r="BR83" i="98"/>
  <c r="BQ79" i="98"/>
  <c r="BR79" i="98"/>
  <c r="CI109" i="98"/>
  <c r="CJ109" i="98"/>
  <c r="CI108" i="98"/>
  <c r="CJ108" i="98"/>
  <c r="CI107" i="98"/>
  <c r="CJ107" i="98"/>
  <c r="CI106" i="98"/>
  <c r="CJ106" i="98"/>
  <c r="CI105" i="98"/>
  <c r="CJ105" i="98"/>
  <c r="CI103" i="98"/>
  <c r="CJ103" i="98"/>
  <c r="CI102" i="98"/>
  <c r="CJ102" i="98"/>
  <c r="CI100" i="98"/>
  <c r="CJ100" i="98"/>
  <c r="CI98" i="98"/>
  <c r="CJ98" i="98"/>
  <c r="CI94" i="98"/>
  <c r="CJ94" i="98"/>
  <c r="CI91" i="98"/>
  <c r="CJ91" i="98"/>
  <c r="CI89" i="98"/>
  <c r="CJ89" i="98"/>
  <c r="CI86" i="98"/>
  <c r="CJ86" i="98"/>
  <c r="CI101" i="98"/>
  <c r="CJ101" i="98"/>
  <c r="CI99" i="98"/>
  <c r="CJ99" i="98"/>
  <c r="CI96" i="98"/>
  <c r="CJ96" i="98"/>
  <c r="CI95" i="98"/>
  <c r="CJ95" i="98"/>
  <c r="CI90" i="98"/>
  <c r="CJ90" i="98"/>
  <c r="CI88" i="98"/>
  <c r="CJ88" i="98"/>
  <c r="CI104" i="98"/>
  <c r="CJ104" i="98"/>
  <c r="CI85" i="98"/>
  <c r="CJ85" i="98"/>
  <c r="CI81" i="98"/>
  <c r="CJ81" i="98"/>
  <c r="CI97" i="98"/>
  <c r="CJ97" i="98"/>
  <c r="CI84" i="98"/>
  <c r="CJ84" i="98"/>
  <c r="CI80" i="98"/>
  <c r="CJ80" i="98"/>
  <c r="CI93" i="98"/>
  <c r="CJ93" i="98"/>
  <c r="CI87" i="98"/>
  <c r="CJ87" i="98"/>
  <c r="CI83" i="98"/>
  <c r="CJ83" i="98"/>
  <c r="CI79" i="98"/>
  <c r="CJ79" i="98"/>
  <c r="CI92" i="98"/>
  <c r="CJ92" i="98"/>
  <c r="CI82" i="98"/>
  <c r="CJ82" i="98"/>
  <c r="BM39" i="98"/>
  <c r="BN39" i="98"/>
  <c r="BL40" i="98"/>
  <c r="BT384" i="98"/>
  <c r="BU384" i="98"/>
  <c r="BT382" i="98"/>
  <c r="BU382" i="98"/>
  <c r="BT379" i="98"/>
  <c r="BU379" i="98"/>
  <c r="BT377" i="98"/>
  <c r="BU377" i="98"/>
  <c r="BT381" i="98"/>
  <c r="BU381" i="98"/>
  <c r="BT380" i="98"/>
  <c r="BU380" i="98"/>
  <c r="BT378" i="98"/>
  <c r="BU378" i="98"/>
  <c r="BT376" i="98"/>
  <c r="BU376" i="98"/>
  <c r="BT374" i="98"/>
  <c r="BU374" i="98"/>
  <c r="BT367" i="98"/>
  <c r="BU367" i="98"/>
  <c r="BT383" i="98"/>
  <c r="BU383" i="98"/>
  <c r="BT375" i="98"/>
  <c r="BU375" i="98"/>
  <c r="BT372" i="98"/>
  <c r="BU372" i="98"/>
  <c r="BT373" i="98"/>
  <c r="BU373" i="98"/>
  <c r="BT371" i="98"/>
  <c r="BU371" i="98"/>
  <c r="BT360" i="98"/>
  <c r="BU360" i="98"/>
  <c r="BT356" i="98"/>
  <c r="BU356" i="98"/>
  <c r="BT369" i="98"/>
  <c r="BU369" i="98"/>
  <c r="BT362" i="98"/>
  <c r="BU362" i="98"/>
  <c r="BT358" i="98"/>
  <c r="BU358" i="98"/>
  <c r="BT354" i="98"/>
  <c r="BU354" i="98"/>
  <c r="BT364" i="98"/>
  <c r="BU364" i="98"/>
  <c r="BT366" i="98"/>
  <c r="BU366" i="98"/>
  <c r="BT365" i="98"/>
  <c r="BU365" i="98"/>
  <c r="BT363" i="98"/>
  <c r="BU363" i="98"/>
  <c r="BT361" i="98"/>
  <c r="BU361" i="98"/>
  <c r="BT359" i="98"/>
  <c r="BU359" i="98"/>
  <c r="BT357" i="98"/>
  <c r="BU357" i="98"/>
  <c r="BT355" i="98"/>
  <c r="BU355" i="98"/>
  <c r="BT370" i="98"/>
  <c r="BU370" i="98"/>
  <c r="BT368" i="98"/>
  <c r="BU368" i="98"/>
  <c r="BM349" i="98"/>
  <c r="BN349" i="98"/>
  <c r="BL350" i="98"/>
  <c r="BO253" i="98"/>
  <c r="CZ253" i="98"/>
  <c r="BO194" i="98"/>
  <c r="CZ194" i="98"/>
  <c r="CL78" i="98"/>
  <c r="CM78" i="98"/>
  <c r="CL74" i="98"/>
  <c r="CM74" i="98"/>
  <c r="CL72" i="98"/>
  <c r="CM72" i="98"/>
  <c r="CL70" i="98"/>
  <c r="CM70" i="98"/>
  <c r="CL68" i="98"/>
  <c r="CM68" i="98"/>
  <c r="CL65" i="98"/>
  <c r="CM65" i="98"/>
  <c r="CL60" i="98"/>
  <c r="CM60" i="98"/>
  <c r="CL57" i="98"/>
  <c r="CM57" i="98"/>
  <c r="CL76" i="98"/>
  <c r="CM76" i="98"/>
  <c r="CL75" i="98"/>
  <c r="CM75" i="98"/>
  <c r="CL73" i="98"/>
  <c r="CM73" i="98"/>
  <c r="CL71" i="98"/>
  <c r="CM71" i="98"/>
  <c r="CL69" i="98"/>
  <c r="CM69" i="98"/>
  <c r="CL67" i="98"/>
  <c r="CM67" i="98"/>
  <c r="CL62" i="98"/>
  <c r="CM62" i="98"/>
  <c r="CL61" i="98"/>
  <c r="CM61" i="98"/>
  <c r="CL58" i="98"/>
  <c r="CM58" i="98"/>
  <c r="CL56" i="98"/>
  <c r="CM56" i="98"/>
  <c r="CL64" i="98"/>
  <c r="CM64" i="98"/>
  <c r="CL63" i="98"/>
  <c r="CM63" i="98"/>
  <c r="CL59" i="98"/>
  <c r="CM59" i="98"/>
  <c r="CL55" i="98"/>
  <c r="CM55" i="98"/>
  <c r="CL53" i="98"/>
  <c r="CM53" i="98"/>
  <c r="CL51" i="98"/>
  <c r="CM51" i="98"/>
  <c r="CL77" i="98"/>
  <c r="CM77" i="98"/>
  <c r="CL66" i="98"/>
  <c r="CM66" i="98"/>
  <c r="CL54" i="98"/>
  <c r="CM54" i="98"/>
  <c r="CL52" i="98"/>
  <c r="CM52" i="98"/>
  <c r="CC77" i="98"/>
  <c r="CD77" i="98"/>
  <c r="CC64" i="98"/>
  <c r="CD64" i="98"/>
  <c r="CC63" i="98"/>
  <c r="CD63" i="98"/>
  <c r="CC54" i="98"/>
  <c r="CD54" i="98"/>
  <c r="CC52" i="98"/>
  <c r="CD52" i="98"/>
  <c r="CC66" i="98"/>
  <c r="CD66" i="98"/>
  <c r="CC59" i="98"/>
  <c r="CD59" i="98"/>
  <c r="CC55" i="98"/>
  <c r="CD55" i="98"/>
  <c r="CC53" i="98"/>
  <c r="CD53" i="98"/>
  <c r="CC51" i="98"/>
  <c r="CD51" i="98"/>
  <c r="CC72" i="98"/>
  <c r="CD72" i="98"/>
  <c r="CC68" i="98"/>
  <c r="CD68" i="98"/>
  <c r="CC62" i="98"/>
  <c r="CD62" i="98"/>
  <c r="CC61" i="98"/>
  <c r="CD61" i="98"/>
  <c r="CC60" i="98"/>
  <c r="CD60" i="98"/>
  <c r="CC56" i="98"/>
  <c r="CD56" i="98"/>
  <c r="CC75" i="98"/>
  <c r="CD75" i="98"/>
  <c r="CC71" i="98"/>
  <c r="CD71" i="98"/>
  <c r="CC67" i="98"/>
  <c r="CD67" i="98"/>
  <c r="CC78" i="98"/>
  <c r="CD78" i="98"/>
  <c r="CC76" i="98"/>
  <c r="CD76" i="98"/>
  <c r="CC74" i="98"/>
  <c r="CD74" i="98"/>
  <c r="CC70" i="98"/>
  <c r="CD70" i="98"/>
  <c r="CC65" i="98"/>
  <c r="CD65" i="98"/>
  <c r="CC58" i="98"/>
  <c r="CD58" i="98"/>
  <c r="CC73" i="98"/>
  <c r="CD73" i="98"/>
  <c r="CC69" i="98"/>
  <c r="CD69" i="98"/>
  <c r="CC57" i="98"/>
  <c r="CD57" i="98"/>
  <c r="CU66" i="98"/>
  <c r="CV66" i="98"/>
  <c r="CU59" i="98"/>
  <c r="CV59" i="98"/>
  <c r="CU55" i="98"/>
  <c r="CV55" i="98"/>
  <c r="CU53" i="98"/>
  <c r="CV53" i="98"/>
  <c r="CU51" i="98"/>
  <c r="CV51" i="98"/>
  <c r="CU77" i="98"/>
  <c r="CV77" i="98"/>
  <c r="CU64" i="98"/>
  <c r="CV64" i="98"/>
  <c r="CU63" i="98"/>
  <c r="CV63" i="98"/>
  <c r="CU54" i="98"/>
  <c r="CV54" i="98"/>
  <c r="CU52" i="98"/>
  <c r="CV52" i="98"/>
  <c r="CU75" i="98"/>
  <c r="CV75" i="98"/>
  <c r="CU71" i="98"/>
  <c r="CV71" i="98"/>
  <c r="CU67" i="98"/>
  <c r="CV67" i="98"/>
  <c r="CU78" i="98"/>
  <c r="CV78" i="98"/>
  <c r="CU76" i="98"/>
  <c r="CV76" i="98"/>
  <c r="CU74" i="98"/>
  <c r="CV74" i="98"/>
  <c r="CU70" i="98"/>
  <c r="CV70" i="98"/>
  <c r="CU65" i="98"/>
  <c r="CV65" i="98"/>
  <c r="CU58" i="98"/>
  <c r="CV58" i="98"/>
  <c r="CU73" i="98"/>
  <c r="CV73" i="98"/>
  <c r="CU69" i="98"/>
  <c r="CV69" i="98"/>
  <c r="CU57" i="98"/>
  <c r="CV57" i="98"/>
  <c r="CU72" i="98"/>
  <c r="CV72" i="98"/>
  <c r="CU68" i="98"/>
  <c r="CV68" i="98"/>
  <c r="CU62" i="98"/>
  <c r="CV62" i="98"/>
  <c r="CU61" i="98"/>
  <c r="CV61" i="98"/>
  <c r="CU60" i="98"/>
  <c r="CV60" i="98"/>
  <c r="CU56" i="98"/>
  <c r="CV56" i="98"/>
  <c r="BM102" i="98"/>
  <c r="BN102" i="98"/>
  <c r="BL103" i="98"/>
  <c r="CI322" i="98"/>
  <c r="CJ322" i="98"/>
  <c r="CI307" i="98"/>
  <c r="CJ307" i="98"/>
  <c r="CI320" i="98"/>
  <c r="CJ320" i="98"/>
  <c r="CI321" i="98"/>
  <c r="CJ321" i="98"/>
  <c r="CI316" i="98"/>
  <c r="CJ316" i="98"/>
  <c r="CI314" i="98"/>
  <c r="CJ314" i="98"/>
  <c r="CI311" i="98"/>
  <c r="CJ311" i="98"/>
  <c r="CI305" i="98"/>
  <c r="CJ305" i="98"/>
  <c r="CI297" i="98"/>
  <c r="CJ297" i="98"/>
  <c r="CI294" i="98"/>
  <c r="CJ294" i="98"/>
  <c r="CI318" i="98"/>
  <c r="CJ318" i="98"/>
  <c r="CI315" i="98"/>
  <c r="CJ315" i="98"/>
  <c r="CI313" i="98"/>
  <c r="CJ313" i="98"/>
  <c r="CI309" i="98"/>
  <c r="CJ309" i="98"/>
  <c r="CI306" i="98"/>
  <c r="CJ306" i="98"/>
  <c r="CI304" i="98"/>
  <c r="CJ304" i="98"/>
  <c r="CI299" i="98"/>
  <c r="CJ299" i="98"/>
  <c r="CI296" i="98"/>
  <c r="CJ296" i="98"/>
  <c r="CI293" i="98"/>
  <c r="CJ293" i="98"/>
  <c r="CI323" i="98"/>
  <c r="CJ323" i="98"/>
  <c r="CI300" i="98"/>
  <c r="CJ300" i="98"/>
  <c r="CI298" i="98"/>
  <c r="CJ298" i="98"/>
  <c r="CI295" i="98"/>
  <c r="CJ295" i="98"/>
  <c r="CI317" i="98"/>
  <c r="CJ317" i="98"/>
  <c r="CI310" i="98"/>
  <c r="CJ310" i="98"/>
  <c r="CI319" i="98"/>
  <c r="CJ319" i="98"/>
  <c r="CI312" i="98"/>
  <c r="CJ312" i="98"/>
  <c r="CI308" i="98"/>
  <c r="CJ308" i="98"/>
  <c r="CI303" i="98"/>
  <c r="CJ303" i="98"/>
  <c r="CI302" i="98"/>
  <c r="CJ302" i="98"/>
  <c r="CI301" i="98"/>
  <c r="CJ301" i="98"/>
  <c r="BQ320" i="98"/>
  <c r="BR320" i="98"/>
  <c r="BQ322" i="98"/>
  <c r="BR322" i="98"/>
  <c r="BQ323" i="98"/>
  <c r="BR323" i="98"/>
  <c r="BQ317" i="98"/>
  <c r="BR317" i="98"/>
  <c r="BQ312" i="98"/>
  <c r="BR312" i="98"/>
  <c r="BQ308" i="98"/>
  <c r="BR308" i="98"/>
  <c r="BQ306" i="98"/>
  <c r="BR306" i="98"/>
  <c r="BQ304" i="98"/>
  <c r="BR304" i="98"/>
  <c r="BQ299" i="98"/>
  <c r="BR299" i="98"/>
  <c r="BQ296" i="98"/>
  <c r="BR296" i="98"/>
  <c r="BQ293" i="98"/>
  <c r="BR293" i="98"/>
  <c r="BQ319" i="98"/>
  <c r="BR319" i="98"/>
  <c r="BQ310" i="98"/>
  <c r="BR310" i="98"/>
  <c r="BQ307" i="98"/>
  <c r="BR307" i="98"/>
  <c r="BQ305" i="98"/>
  <c r="BR305" i="98"/>
  <c r="BQ297" i="98"/>
  <c r="BR297" i="98"/>
  <c r="BQ294" i="98"/>
  <c r="BR294" i="98"/>
  <c r="BQ303" i="98"/>
  <c r="BR303" i="98"/>
  <c r="BQ301" i="98"/>
  <c r="BR301" i="98"/>
  <c r="BQ302" i="98"/>
  <c r="BR302" i="98"/>
  <c r="BQ321" i="98"/>
  <c r="BR321" i="98"/>
  <c r="BQ318" i="98"/>
  <c r="BR318" i="98"/>
  <c r="BQ311" i="98"/>
  <c r="BR311" i="98"/>
  <c r="BQ316" i="98"/>
  <c r="BR316" i="98"/>
  <c r="BQ315" i="98"/>
  <c r="BR315" i="98"/>
  <c r="BQ314" i="98"/>
  <c r="BR314" i="98"/>
  <c r="BQ313" i="98"/>
  <c r="BR313" i="98"/>
  <c r="BQ309" i="98"/>
  <c r="BR309" i="98"/>
  <c r="BQ295" i="98"/>
  <c r="BR295" i="98"/>
  <c r="BQ298" i="98"/>
  <c r="BR298" i="98"/>
  <c r="BQ300" i="98"/>
  <c r="BR300" i="98"/>
  <c r="CX321" i="98"/>
  <c r="CY321" i="98"/>
  <c r="CX318" i="98"/>
  <c r="CY318" i="98"/>
  <c r="CX316" i="98"/>
  <c r="CY316" i="98"/>
  <c r="CX315" i="98"/>
  <c r="CY315" i="98"/>
  <c r="CX314" i="98"/>
  <c r="CY314" i="98"/>
  <c r="CX313" i="98"/>
  <c r="CY313" i="98"/>
  <c r="CX311" i="98"/>
  <c r="CY311" i="98"/>
  <c r="CX309" i="98"/>
  <c r="CY309" i="98"/>
  <c r="CX323" i="98"/>
  <c r="CY323" i="98"/>
  <c r="CX319" i="98"/>
  <c r="CY319" i="98"/>
  <c r="CX317" i="98"/>
  <c r="CY317" i="98"/>
  <c r="CX312" i="98"/>
  <c r="CY312" i="98"/>
  <c r="CX310" i="98"/>
  <c r="CY310" i="98"/>
  <c r="CX308" i="98"/>
  <c r="CY308" i="98"/>
  <c r="CX300" i="98"/>
  <c r="CY300" i="98"/>
  <c r="CX298" i="98"/>
  <c r="CY298" i="98"/>
  <c r="CX295" i="98"/>
  <c r="CY295" i="98"/>
  <c r="CX322" i="98"/>
  <c r="CY322" i="98"/>
  <c r="CX307" i="98"/>
  <c r="CY307" i="98"/>
  <c r="CX303" i="98"/>
  <c r="CY303" i="98"/>
  <c r="CX302" i="98"/>
  <c r="CY302" i="98"/>
  <c r="CX301" i="98"/>
  <c r="CY301" i="98"/>
  <c r="CX297" i="98"/>
  <c r="CY297" i="98"/>
  <c r="CX294" i="98"/>
  <c r="CY294" i="98"/>
  <c r="CX320" i="98"/>
  <c r="CY320" i="98"/>
  <c r="CX296" i="98"/>
  <c r="CY296" i="98"/>
  <c r="CX306" i="98"/>
  <c r="CY306" i="98"/>
  <c r="CX305" i="98"/>
  <c r="CY305" i="98"/>
  <c r="CX304" i="98"/>
  <c r="CY304" i="98"/>
  <c r="CX299" i="98"/>
  <c r="CY299" i="98"/>
  <c r="CX293" i="98"/>
  <c r="CY293" i="98"/>
  <c r="CC229" i="98"/>
  <c r="CD229" i="98"/>
  <c r="CC228" i="98"/>
  <c r="CD228" i="98"/>
  <c r="CC227" i="98"/>
  <c r="CD227" i="98"/>
  <c r="CC226" i="98"/>
  <c r="CD226" i="98"/>
  <c r="CC224" i="98"/>
  <c r="CD224" i="98"/>
  <c r="CC222" i="98"/>
  <c r="CD222" i="98"/>
  <c r="CC213" i="98"/>
  <c r="CD213" i="98"/>
  <c r="CC209" i="98"/>
  <c r="CD209" i="98"/>
  <c r="CC225" i="98"/>
  <c r="CD225" i="98"/>
  <c r="CC223" i="98"/>
  <c r="CD223" i="98"/>
  <c r="CC221" i="98"/>
  <c r="CD221" i="98"/>
  <c r="CC219" i="98"/>
  <c r="CD219" i="98"/>
  <c r="CC218" i="98"/>
  <c r="CD218" i="98"/>
  <c r="CC215" i="98"/>
  <c r="CD215" i="98"/>
  <c r="CC211" i="98"/>
  <c r="CD211" i="98"/>
  <c r="CC208" i="98"/>
  <c r="CD208" i="98"/>
  <c r="CC230" i="98"/>
  <c r="CD230" i="98"/>
  <c r="CC206" i="98"/>
  <c r="CD206" i="98"/>
  <c r="CC205" i="98"/>
  <c r="CD205" i="98"/>
  <c r="CC203" i="98"/>
  <c r="CD203" i="98"/>
  <c r="CC217" i="98"/>
  <c r="CD217" i="98"/>
  <c r="CC204" i="98"/>
  <c r="CD204" i="98"/>
  <c r="CC202" i="98"/>
  <c r="CD202" i="98"/>
  <c r="CC201" i="98"/>
  <c r="CD201" i="98"/>
  <c r="CC220" i="98"/>
  <c r="CD220" i="98"/>
  <c r="CC216" i="98"/>
  <c r="CD216" i="98"/>
  <c r="CC214" i="98"/>
  <c r="CD214" i="98"/>
  <c r="CC212" i="98"/>
  <c r="CD212" i="98"/>
  <c r="CC210" i="98"/>
  <c r="CD210" i="98"/>
  <c r="CC207" i="98"/>
  <c r="CD207" i="98"/>
  <c r="CC231" i="98"/>
  <c r="CD231" i="98"/>
  <c r="CU253" i="98"/>
  <c r="CV253" i="98"/>
  <c r="CU250" i="98"/>
  <c r="CV250" i="98"/>
  <c r="CU248" i="98"/>
  <c r="CV248" i="98"/>
  <c r="CU246" i="98"/>
  <c r="CV246" i="98"/>
  <c r="CU243" i="98"/>
  <c r="CV243" i="98"/>
  <c r="CU240" i="98"/>
  <c r="CV240" i="98"/>
  <c r="CU237" i="98"/>
  <c r="CV237" i="98"/>
  <c r="CU236" i="98"/>
  <c r="CV236" i="98"/>
  <c r="CU256" i="98"/>
  <c r="CV256" i="98"/>
  <c r="CU255" i="98"/>
  <c r="CV255" i="98"/>
  <c r="CU249" i="98"/>
  <c r="CV249" i="98"/>
  <c r="CU247" i="98"/>
  <c r="CV247" i="98"/>
  <c r="CU238" i="98"/>
  <c r="CV238" i="98"/>
  <c r="CU251" i="98"/>
  <c r="CV251" i="98"/>
  <c r="CU242" i="98"/>
  <c r="CV242" i="98"/>
  <c r="CU239" i="98"/>
  <c r="CV239" i="98"/>
  <c r="CU262" i="98"/>
  <c r="CV262" i="98"/>
  <c r="CU260" i="98"/>
  <c r="CV260" i="98"/>
  <c r="CU258" i="98"/>
  <c r="CV258" i="98"/>
  <c r="CU254" i="98"/>
  <c r="CV254" i="98"/>
  <c r="CU252" i="98"/>
  <c r="CV252" i="98"/>
  <c r="CU244" i="98"/>
  <c r="CV244" i="98"/>
  <c r="CU235" i="98"/>
  <c r="CV235" i="98"/>
  <c r="CU233" i="98"/>
  <c r="CV233" i="98"/>
  <c r="CU261" i="98"/>
  <c r="CV261" i="98"/>
  <c r="CU259" i="98"/>
  <c r="CV259" i="98"/>
  <c r="CU257" i="98"/>
  <c r="CV257" i="98"/>
  <c r="CU245" i="98"/>
  <c r="CV245" i="98"/>
  <c r="CU241" i="98"/>
  <c r="CV241" i="98"/>
  <c r="CU234" i="98"/>
  <c r="CV234" i="98"/>
  <c r="CU232" i="98"/>
  <c r="CV232" i="98"/>
  <c r="CC256" i="98"/>
  <c r="CD256" i="98"/>
  <c r="CC255" i="98"/>
  <c r="CD255" i="98"/>
  <c r="CC249" i="98"/>
  <c r="CD249" i="98"/>
  <c r="CC247" i="98"/>
  <c r="CD247" i="98"/>
  <c r="CC238" i="98"/>
  <c r="CD238" i="98"/>
  <c r="CC253" i="98"/>
  <c r="CD253" i="98"/>
  <c r="CC250" i="98"/>
  <c r="CD250" i="98"/>
  <c r="CC248" i="98"/>
  <c r="CD248" i="98"/>
  <c r="CC246" i="98"/>
  <c r="CD246" i="98"/>
  <c r="CC243" i="98"/>
  <c r="CD243" i="98"/>
  <c r="CC240" i="98"/>
  <c r="CD240" i="98"/>
  <c r="CC237" i="98"/>
  <c r="CD237" i="98"/>
  <c r="CC236" i="98"/>
  <c r="CD236" i="98"/>
  <c r="CC261" i="98"/>
  <c r="CD261" i="98"/>
  <c r="CC259" i="98"/>
  <c r="CD259" i="98"/>
  <c r="CC257" i="98"/>
  <c r="CD257" i="98"/>
  <c r="CC254" i="98"/>
  <c r="CD254" i="98"/>
  <c r="CC252" i="98"/>
  <c r="CD252" i="98"/>
  <c r="CC244" i="98"/>
  <c r="CD244" i="98"/>
  <c r="CC241" i="98"/>
  <c r="CD241" i="98"/>
  <c r="CC235" i="98"/>
  <c r="CD235" i="98"/>
  <c r="CC233" i="98"/>
  <c r="CD233" i="98"/>
  <c r="CC262" i="98"/>
  <c r="CD262" i="98"/>
  <c r="CC260" i="98"/>
  <c r="CD260" i="98"/>
  <c r="CC258" i="98"/>
  <c r="CD258" i="98"/>
  <c r="CC245" i="98"/>
  <c r="CD245" i="98"/>
  <c r="CC234" i="98"/>
  <c r="CD234" i="98"/>
  <c r="CC232" i="98"/>
  <c r="CD232" i="98"/>
  <c r="CC239" i="98"/>
  <c r="CD239" i="98"/>
  <c r="CC242" i="98"/>
  <c r="CD242" i="98"/>
  <c r="CC251" i="98"/>
  <c r="CD251" i="98"/>
  <c r="BT254" i="98"/>
  <c r="BU254" i="98"/>
  <c r="BT251" i="98"/>
  <c r="BU251" i="98"/>
  <c r="BT239" i="98"/>
  <c r="BU239" i="98"/>
  <c r="BT235" i="98"/>
  <c r="BU235" i="98"/>
  <c r="BT234" i="98"/>
  <c r="BU234" i="98"/>
  <c r="BT233" i="98"/>
  <c r="BU233" i="98"/>
  <c r="BT232" i="98"/>
  <c r="BU232" i="98"/>
  <c r="BT262" i="98"/>
  <c r="BU262" i="98"/>
  <c r="BT261" i="98"/>
  <c r="BU261" i="98"/>
  <c r="BT260" i="98"/>
  <c r="BU260" i="98"/>
  <c r="BT259" i="98"/>
  <c r="BU259" i="98"/>
  <c r="BT258" i="98"/>
  <c r="BU258" i="98"/>
  <c r="BT257" i="98"/>
  <c r="BU257" i="98"/>
  <c r="BT252" i="98"/>
  <c r="BU252" i="98"/>
  <c r="BT245" i="98"/>
  <c r="BU245" i="98"/>
  <c r="BT244" i="98"/>
  <c r="BU244" i="98"/>
  <c r="BT242" i="98"/>
  <c r="BU242" i="98"/>
  <c r="BT241" i="98"/>
  <c r="BU241" i="98"/>
  <c r="BT250" i="98"/>
  <c r="BU250" i="98"/>
  <c r="BT248" i="98"/>
  <c r="BU248" i="98"/>
  <c r="BT246" i="98"/>
  <c r="BU246" i="98"/>
  <c r="BT243" i="98"/>
  <c r="BU243" i="98"/>
  <c r="BT237" i="98"/>
  <c r="BU237" i="98"/>
  <c r="BT255" i="98"/>
  <c r="BU255" i="98"/>
  <c r="BT253" i="98"/>
  <c r="BU253" i="98"/>
  <c r="BT249" i="98"/>
  <c r="BU249" i="98"/>
  <c r="BT247" i="98"/>
  <c r="BU247" i="98"/>
  <c r="BT238" i="98"/>
  <c r="BU238" i="98"/>
  <c r="BT256" i="98"/>
  <c r="BU256" i="98"/>
  <c r="BT240" i="98"/>
  <c r="BU240" i="98"/>
  <c r="BT236" i="98"/>
  <c r="BU236" i="98"/>
  <c r="AO384" i="98"/>
  <c r="AP369" i="98"/>
  <c r="BO224" i="98"/>
  <c r="CZ224" i="98"/>
  <c r="CL198" i="98"/>
  <c r="CM198" i="98"/>
  <c r="CL173" i="98"/>
  <c r="CM173" i="98"/>
  <c r="CL171" i="98"/>
  <c r="CM171" i="98"/>
  <c r="CL196" i="98"/>
  <c r="CM196" i="98"/>
  <c r="CL172" i="98"/>
  <c r="CM172" i="98"/>
  <c r="CL200" i="98"/>
  <c r="CM200" i="98"/>
  <c r="CL194" i="98"/>
  <c r="CM194" i="98"/>
  <c r="CL192" i="98"/>
  <c r="CM192" i="98"/>
  <c r="CL188" i="98"/>
  <c r="CM188" i="98"/>
  <c r="CL184" i="98"/>
  <c r="CM184" i="98"/>
  <c r="CL180" i="98"/>
  <c r="CM180" i="98"/>
  <c r="CL177" i="98"/>
  <c r="CM177" i="98"/>
  <c r="CL175" i="98"/>
  <c r="CM175" i="98"/>
  <c r="CL195" i="98"/>
  <c r="CM195" i="98"/>
  <c r="CL193" i="98"/>
  <c r="CM193" i="98"/>
  <c r="CL190" i="98"/>
  <c r="CM190" i="98"/>
  <c r="CL186" i="98"/>
  <c r="CM186" i="98"/>
  <c r="CL182" i="98"/>
  <c r="CM182" i="98"/>
  <c r="CL176" i="98"/>
  <c r="CM176" i="98"/>
  <c r="CL174" i="98"/>
  <c r="CM174" i="98"/>
  <c r="CL199" i="98"/>
  <c r="CM199" i="98"/>
  <c r="CL197" i="98"/>
  <c r="CM197" i="98"/>
  <c r="CL178" i="98"/>
  <c r="CM178" i="98"/>
  <c r="CL191" i="98"/>
  <c r="CM191" i="98"/>
  <c r="CL189" i="98"/>
  <c r="CM189" i="98"/>
  <c r="CL187" i="98"/>
  <c r="CM187" i="98"/>
  <c r="CL185" i="98"/>
  <c r="CM185" i="98"/>
  <c r="CL183" i="98"/>
  <c r="CM183" i="98"/>
  <c r="CL181" i="98"/>
  <c r="CM181" i="98"/>
  <c r="CL179" i="98"/>
  <c r="CM179" i="98"/>
  <c r="BQ200" i="98"/>
  <c r="BR200" i="98"/>
  <c r="BQ197" i="98"/>
  <c r="BR197" i="98"/>
  <c r="BQ193" i="98"/>
  <c r="BR193" i="98"/>
  <c r="BQ178" i="98"/>
  <c r="BR178" i="98"/>
  <c r="BQ177" i="98"/>
  <c r="BR177" i="98"/>
  <c r="BQ175" i="98"/>
  <c r="BR175" i="98"/>
  <c r="BQ199" i="98"/>
  <c r="BR199" i="98"/>
  <c r="BQ195" i="98"/>
  <c r="BR195" i="98"/>
  <c r="BQ194" i="98"/>
  <c r="BR194" i="98"/>
  <c r="BQ192" i="98"/>
  <c r="BR192" i="98"/>
  <c r="BQ191" i="98"/>
  <c r="BR191" i="98"/>
  <c r="BQ190" i="98"/>
  <c r="BR190" i="98"/>
  <c r="BQ189" i="98"/>
  <c r="BR189" i="98"/>
  <c r="BQ188" i="98"/>
  <c r="BR188" i="98"/>
  <c r="BQ187" i="98"/>
  <c r="BR187" i="98"/>
  <c r="BQ186" i="98"/>
  <c r="BR186" i="98"/>
  <c r="BQ185" i="98"/>
  <c r="BR185" i="98"/>
  <c r="BQ184" i="98"/>
  <c r="BR184" i="98"/>
  <c r="BQ183" i="98"/>
  <c r="BR183" i="98"/>
  <c r="BQ182" i="98"/>
  <c r="BR182" i="98"/>
  <c r="BQ181" i="98"/>
  <c r="BR181" i="98"/>
  <c r="BQ180" i="98"/>
  <c r="BR180" i="98"/>
  <c r="BQ179" i="98"/>
  <c r="BR179" i="98"/>
  <c r="BQ176" i="98"/>
  <c r="BR176" i="98"/>
  <c r="BQ174" i="98"/>
  <c r="BR174" i="98"/>
  <c r="BQ172" i="98"/>
  <c r="BR172" i="98"/>
  <c r="BQ173" i="98"/>
  <c r="BR173" i="98"/>
  <c r="BQ198" i="98"/>
  <c r="BR198" i="98"/>
  <c r="BQ196" i="98"/>
  <c r="BR196" i="98"/>
  <c r="BQ171" i="98"/>
  <c r="BR171" i="98"/>
  <c r="CI199" i="98"/>
  <c r="CJ199" i="98"/>
  <c r="CI195" i="98"/>
  <c r="CJ195" i="98"/>
  <c r="CI194" i="98"/>
  <c r="CJ194" i="98"/>
  <c r="CI192" i="98"/>
  <c r="CJ192" i="98"/>
  <c r="CI191" i="98"/>
  <c r="CJ191" i="98"/>
  <c r="CI190" i="98"/>
  <c r="CJ190" i="98"/>
  <c r="CI189" i="98"/>
  <c r="CJ189" i="98"/>
  <c r="CI188" i="98"/>
  <c r="CJ188" i="98"/>
  <c r="CI187" i="98"/>
  <c r="CJ187" i="98"/>
  <c r="CI186" i="98"/>
  <c r="CJ186" i="98"/>
  <c r="CI185" i="98"/>
  <c r="CJ185" i="98"/>
  <c r="CI184" i="98"/>
  <c r="CJ184" i="98"/>
  <c r="CI183" i="98"/>
  <c r="CJ183" i="98"/>
  <c r="CI182" i="98"/>
  <c r="CJ182" i="98"/>
  <c r="CI181" i="98"/>
  <c r="CJ181" i="98"/>
  <c r="CI180" i="98"/>
  <c r="CJ180" i="98"/>
  <c r="CI179" i="98"/>
  <c r="CJ179" i="98"/>
  <c r="CI176" i="98"/>
  <c r="CJ176" i="98"/>
  <c r="CI174" i="98"/>
  <c r="CJ174" i="98"/>
  <c r="CI200" i="98"/>
  <c r="CJ200" i="98"/>
  <c r="CI197" i="98"/>
  <c r="CJ197" i="98"/>
  <c r="CI193" i="98"/>
  <c r="CJ193" i="98"/>
  <c r="CI178" i="98"/>
  <c r="CJ178" i="98"/>
  <c r="CI177" i="98"/>
  <c r="CJ177" i="98"/>
  <c r="CI175" i="98"/>
  <c r="CJ175" i="98"/>
  <c r="CI198" i="98"/>
  <c r="CJ198" i="98"/>
  <c r="CI171" i="98"/>
  <c r="CJ171" i="98"/>
  <c r="CI196" i="98"/>
  <c r="CJ196" i="98"/>
  <c r="CI173" i="98"/>
  <c r="CJ173" i="98"/>
  <c r="CI172" i="98"/>
  <c r="CJ172" i="98"/>
  <c r="CF104" i="98"/>
  <c r="CG104" i="98"/>
  <c r="CF92" i="98"/>
  <c r="CG92" i="98"/>
  <c r="CF87" i="98"/>
  <c r="CG87" i="98"/>
  <c r="CF85" i="98"/>
  <c r="CG85" i="98"/>
  <c r="CF83" i="98"/>
  <c r="CG83" i="98"/>
  <c r="CF81" i="98"/>
  <c r="CG81" i="98"/>
  <c r="CF79" i="98"/>
  <c r="CG79" i="98"/>
  <c r="CF97" i="98"/>
  <c r="CG97" i="98"/>
  <c r="CF93" i="98"/>
  <c r="CG93" i="98"/>
  <c r="CF84" i="98"/>
  <c r="CG84" i="98"/>
  <c r="CF82" i="98"/>
  <c r="CG82" i="98"/>
  <c r="CF80" i="98"/>
  <c r="CG80" i="98"/>
  <c r="CF107" i="98"/>
  <c r="CG107" i="98"/>
  <c r="CF103" i="98"/>
  <c r="CG103" i="98"/>
  <c r="CF102" i="98"/>
  <c r="CG102" i="98"/>
  <c r="CF100" i="98"/>
  <c r="CG100" i="98"/>
  <c r="CF98" i="98"/>
  <c r="CG98" i="98"/>
  <c r="CF96" i="98"/>
  <c r="CG96" i="98"/>
  <c r="CF108" i="98"/>
  <c r="CG108" i="98"/>
  <c r="CF94" i="98"/>
  <c r="CG94" i="98"/>
  <c r="CF90" i="98"/>
  <c r="CG90" i="98"/>
  <c r="CF88" i="98"/>
  <c r="CG88" i="98"/>
  <c r="CF86" i="98"/>
  <c r="CG86" i="98"/>
  <c r="CF109" i="98"/>
  <c r="CG109" i="98"/>
  <c r="CF105" i="98"/>
  <c r="CG105" i="98"/>
  <c r="CF101" i="98"/>
  <c r="CG101" i="98"/>
  <c r="CF99" i="98"/>
  <c r="CG99" i="98"/>
  <c r="CF106" i="98"/>
  <c r="CG106" i="98"/>
  <c r="CF95" i="98"/>
  <c r="CG95" i="98"/>
  <c r="CF91" i="98"/>
  <c r="CG91" i="98"/>
  <c r="CF89" i="98"/>
  <c r="CG89" i="98"/>
  <c r="CC101" i="98"/>
  <c r="CD101" i="98"/>
  <c r="CC99" i="98"/>
  <c r="CD99" i="98"/>
  <c r="CC96" i="98"/>
  <c r="CD96" i="98"/>
  <c r="CC95" i="98"/>
  <c r="CD95" i="98"/>
  <c r="CC90" i="98"/>
  <c r="CD90" i="98"/>
  <c r="CC88" i="98"/>
  <c r="CD88" i="98"/>
  <c r="CC109" i="98"/>
  <c r="CD109" i="98"/>
  <c r="CC108" i="98"/>
  <c r="CD108" i="98"/>
  <c r="CC107" i="98"/>
  <c r="CD107" i="98"/>
  <c r="CC106" i="98"/>
  <c r="CD106" i="98"/>
  <c r="CC105" i="98"/>
  <c r="CD105" i="98"/>
  <c r="CC103" i="98"/>
  <c r="CD103" i="98"/>
  <c r="CC102" i="98"/>
  <c r="CD102" i="98"/>
  <c r="CC100" i="98"/>
  <c r="CD100" i="98"/>
  <c r="CC98" i="98"/>
  <c r="CD98" i="98"/>
  <c r="CC94" i="98"/>
  <c r="CD94" i="98"/>
  <c r="CC91" i="98"/>
  <c r="CD91" i="98"/>
  <c r="CC89" i="98"/>
  <c r="CD89" i="98"/>
  <c r="CC86" i="98"/>
  <c r="CD86" i="98"/>
  <c r="CC97" i="98"/>
  <c r="CD97" i="98"/>
  <c r="CC84" i="98"/>
  <c r="CD84" i="98"/>
  <c r="CC80" i="98"/>
  <c r="CD80" i="98"/>
  <c r="CC93" i="98"/>
  <c r="CD93" i="98"/>
  <c r="CC87" i="98"/>
  <c r="CD87" i="98"/>
  <c r="CC83" i="98"/>
  <c r="CD83" i="98"/>
  <c r="CC79" i="98"/>
  <c r="CD79" i="98"/>
  <c r="CC92" i="98"/>
  <c r="CD92" i="98"/>
  <c r="CC82" i="98"/>
  <c r="CD82" i="98"/>
  <c r="CC104" i="98"/>
  <c r="CD104" i="98"/>
  <c r="CC85" i="98"/>
  <c r="CD85" i="98"/>
  <c r="CC81" i="98"/>
  <c r="CD81" i="98"/>
  <c r="CU109" i="98"/>
  <c r="CV109" i="98"/>
  <c r="CU108" i="98"/>
  <c r="CV108" i="98"/>
  <c r="CU107" i="98"/>
  <c r="CV107" i="98"/>
  <c r="CU106" i="98"/>
  <c r="CV106" i="98"/>
  <c r="CU105" i="98"/>
  <c r="CV105" i="98"/>
  <c r="CU103" i="98"/>
  <c r="CV103" i="98"/>
  <c r="CU102" i="98"/>
  <c r="CV102" i="98"/>
  <c r="CU100" i="98"/>
  <c r="CV100" i="98"/>
  <c r="CU98" i="98"/>
  <c r="CV98" i="98"/>
  <c r="CU94" i="98"/>
  <c r="CV94" i="98"/>
  <c r="CU91" i="98"/>
  <c r="CV91" i="98"/>
  <c r="CU89" i="98"/>
  <c r="CV89" i="98"/>
  <c r="CU86" i="98"/>
  <c r="CV86" i="98"/>
  <c r="CU101" i="98"/>
  <c r="CV101" i="98"/>
  <c r="CU99" i="98"/>
  <c r="CV99" i="98"/>
  <c r="CU96" i="98"/>
  <c r="CV96" i="98"/>
  <c r="CU95" i="98"/>
  <c r="CV95" i="98"/>
  <c r="CU90" i="98"/>
  <c r="CV90" i="98"/>
  <c r="CU88" i="98"/>
  <c r="CV88" i="98"/>
  <c r="CU93" i="98"/>
  <c r="CV93" i="98"/>
  <c r="CU87" i="98"/>
  <c r="CV87" i="98"/>
  <c r="CU83" i="98"/>
  <c r="CV83" i="98"/>
  <c r="CU79" i="98"/>
  <c r="CV79" i="98"/>
  <c r="CU92" i="98"/>
  <c r="CV92" i="98"/>
  <c r="CU82" i="98"/>
  <c r="CV82" i="98"/>
  <c r="CU104" i="98"/>
  <c r="CV104" i="98"/>
  <c r="CU85" i="98"/>
  <c r="CV85" i="98"/>
  <c r="CU81" i="98"/>
  <c r="CV81" i="98"/>
  <c r="CU97" i="98"/>
  <c r="CV97" i="98"/>
  <c r="CU84" i="98"/>
  <c r="CV84" i="98"/>
  <c r="CU80" i="98"/>
  <c r="CV80" i="98"/>
  <c r="BW373" i="98"/>
  <c r="BX373" i="98"/>
  <c r="BZ382" i="98"/>
  <c r="CA382" i="98"/>
  <c r="BZ384" i="98"/>
  <c r="CA384" i="98"/>
  <c r="BZ381" i="98"/>
  <c r="CA381" i="98"/>
  <c r="BZ380" i="98"/>
  <c r="CA380" i="98"/>
  <c r="BZ378" i="98"/>
  <c r="CA378" i="98"/>
  <c r="BZ376" i="98"/>
  <c r="CA376" i="98"/>
  <c r="BZ383" i="98"/>
  <c r="CA383" i="98"/>
  <c r="BZ379" i="98"/>
  <c r="CA379" i="98"/>
  <c r="BZ377" i="98"/>
  <c r="CA377" i="98"/>
  <c r="BZ373" i="98"/>
  <c r="CA373" i="98"/>
  <c r="BZ371" i="98"/>
  <c r="CA371" i="98"/>
  <c r="BZ367" i="98"/>
  <c r="CA367" i="98"/>
  <c r="BZ368" i="98"/>
  <c r="CA368" i="98"/>
  <c r="BZ365" i="98"/>
  <c r="CA365" i="98"/>
  <c r="BZ363" i="98"/>
  <c r="CA363" i="98"/>
  <c r="BZ359" i="98"/>
  <c r="CA359" i="98"/>
  <c r="BZ355" i="98"/>
  <c r="CA355" i="98"/>
  <c r="BZ370" i="98"/>
  <c r="CA370" i="98"/>
  <c r="BZ366" i="98"/>
  <c r="CA366" i="98"/>
  <c r="BZ364" i="98"/>
  <c r="CA364" i="98"/>
  <c r="BZ361" i="98"/>
  <c r="CA361" i="98"/>
  <c r="BZ357" i="98"/>
  <c r="CA357" i="98"/>
  <c r="BZ375" i="98"/>
  <c r="CA375" i="98"/>
  <c r="BZ369" i="98"/>
  <c r="CA369" i="98"/>
  <c r="BZ360" i="98"/>
  <c r="CA360" i="98"/>
  <c r="BZ356" i="98"/>
  <c r="CA356" i="98"/>
  <c r="BZ362" i="98"/>
  <c r="CA362" i="98"/>
  <c r="BZ358" i="98"/>
  <c r="CA358" i="98"/>
  <c r="BZ354" i="98"/>
  <c r="CA354" i="98"/>
  <c r="BZ374" i="98"/>
  <c r="CA374" i="98"/>
  <c r="BZ372" i="98"/>
  <c r="CA372" i="98"/>
  <c r="BO160" i="98"/>
  <c r="CZ160" i="98"/>
  <c r="BT76" i="98"/>
  <c r="BU76" i="98"/>
  <c r="BT75" i="98"/>
  <c r="BU75" i="98"/>
  <c r="BT73" i="98"/>
  <c r="BU73" i="98"/>
  <c r="BT71" i="98"/>
  <c r="BU71" i="98"/>
  <c r="BT69" i="98"/>
  <c r="BU69" i="98"/>
  <c r="BT67" i="98"/>
  <c r="BU67" i="98"/>
  <c r="BT62" i="98"/>
  <c r="BU62" i="98"/>
  <c r="BT61" i="98"/>
  <c r="BU61" i="98"/>
  <c r="BT58" i="98"/>
  <c r="BU58" i="98"/>
  <c r="BT56" i="98"/>
  <c r="BU56" i="98"/>
  <c r="BT78" i="98"/>
  <c r="BU78" i="98"/>
  <c r="BT74" i="98"/>
  <c r="BU74" i="98"/>
  <c r="BT72" i="98"/>
  <c r="BU72" i="98"/>
  <c r="BT70" i="98"/>
  <c r="BU70" i="98"/>
  <c r="BT68" i="98"/>
  <c r="BU68" i="98"/>
  <c r="BT65" i="98"/>
  <c r="BU65" i="98"/>
  <c r="BT60" i="98"/>
  <c r="BU60" i="98"/>
  <c r="BT57" i="98"/>
  <c r="BU57" i="98"/>
  <c r="BT77" i="98"/>
  <c r="BU77" i="98"/>
  <c r="BT66" i="98"/>
  <c r="BU66" i="98"/>
  <c r="BT54" i="98"/>
  <c r="BU54" i="98"/>
  <c r="BT52" i="98"/>
  <c r="BU52" i="98"/>
  <c r="BT64" i="98"/>
  <c r="BU64" i="98"/>
  <c r="BT63" i="98"/>
  <c r="BU63" i="98"/>
  <c r="BT59" i="98"/>
  <c r="BU59" i="98"/>
  <c r="BT55" i="98"/>
  <c r="BU55" i="98"/>
  <c r="BT53" i="98"/>
  <c r="BU53" i="98"/>
  <c r="BT51" i="98"/>
  <c r="BU51" i="98"/>
  <c r="BZ78" i="98"/>
  <c r="CA78" i="98"/>
  <c r="BZ74" i="98"/>
  <c r="CA74" i="98"/>
  <c r="BZ72" i="98"/>
  <c r="CA72" i="98"/>
  <c r="BZ70" i="98"/>
  <c r="CA70" i="98"/>
  <c r="BZ68" i="98"/>
  <c r="CA68" i="98"/>
  <c r="BZ65" i="98"/>
  <c r="CA65" i="98"/>
  <c r="BZ60" i="98"/>
  <c r="CA60" i="98"/>
  <c r="BZ57" i="98"/>
  <c r="CA57" i="98"/>
  <c r="BZ76" i="98"/>
  <c r="CA76" i="98"/>
  <c r="BZ75" i="98"/>
  <c r="CA75" i="98"/>
  <c r="BZ73" i="98"/>
  <c r="CA73" i="98"/>
  <c r="BZ71" i="98"/>
  <c r="CA71" i="98"/>
  <c r="BZ69" i="98"/>
  <c r="CA69" i="98"/>
  <c r="BZ67" i="98"/>
  <c r="CA67" i="98"/>
  <c r="BZ62" i="98"/>
  <c r="CA62" i="98"/>
  <c r="BZ61" i="98"/>
  <c r="CA61" i="98"/>
  <c r="BZ58" i="98"/>
  <c r="CA58" i="98"/>
  <c r="BZ56" i="98"/>
  <c r="CA56" i="98"/>
  <c r="BZ77" i="98"/>
  <c r="CA77" i="98"/>
  <c r="BZ66" i="98"/>
  <c r="CA66" i="98"/>
  <c r="BZ54" i="98"/>
  <c r="CA54" i="98"/>
  <c r="BZ52" i="98"/>
  <c r="CA52" i="98"/>
  <c r="BZ64" i="98"/>
  <c r="CA64" i="98"/>
  <c r="BZ63" i="98"/>
  <c r="CA63" i="98"/>
  <c r="BZ59" i="98"/>
  <c r="CA59" i="98"/>
  <c r="BZ55" i="98"/>
  <c r="CA55" i="98"/>
  <c r="BZ53" i="98"/>
  <c r="CA53" i="98"/>
  <c r="BZ51" i="98"/>
  <c r="CA51" i="98"/>
  <c r="CO77" i="98"/>
  <c r="CP77" i="98"/>
  <c r="CO64" i="98"/>
  <c r="CP64" i="98"/>
  <c r="CO63" i="98"/>
  <c r="CP63" i="98"/>
  <c r="CO54" i="98"/>
  <c r="CP54" i="98"/>
  <c r="CO52" i="98"/>
  <c r="CP52" i="98"/>
  <c r="CO66" i="98"/>
  <c r="CP66" i="98"/>
  <c r="CO59" i="98"/>
  <c r="CP59" i="98"/>
  <c r="CO55" i="98"/>
  <c r="CP55" i="98"/>
  <c r="CO53" i="98"/>
  <c r="CP53" i="98"/>
  <c r="CO51" i="98"/>
  <c r="CP51" i="98"/>
  <c r="CO78" i="98"/>
  <c r="CP78" i="98"/>
  <c r="CO76" i="98"/>
  <c r="CP76" i="98"/>
  <c r="CO74" i="98"/>
  <c r="CP74" i="98"/>
  <c r="CO70" i="98"/>
  <c r="CP70" i="98"/>
  <c r="CO65" i="98"/>
  <c r="CP65" i="98"/>
  <c r="CO58" i="98"/>
  <c r="CP58" i="98"/>
  <c r="CO73" i="98"/>
  <c r="CP73" i="98"/>
  <c r="CO69" i="98"/>
  <c r="CP69" i="98"/>
  <c r="CO57" i="98"/>
  <c r="CP57" i="98"/>
  <c r="CO72" i="98"/>
  <c r="CP72" i="98"/>
  <c r="CO68" i="98"/>
  <c r="CP68" i="98"/>
  <c r="CO62" i="98"/>
  <c r="CP62" i="98"/>
  <c r="CO61" i="98"/>
  <c r="CP61" i="98"/>
  <c r="CO60" i="98"/>
  <c r="CP60" i="98"/>
  <c r="CO56" i="98"/>
  <c r="CP56" i="98"/>
  <c r="CO75" i="98"/>
  <c r="CP75" i="98"/>
  <c r="CO71" i="98"/>
  <c r="CP71" i="98"/>
  <c r="CO67" i="98"/>
  <c r="CP67" i="98"/>
  <c r="BM317" i="98"/>
  <c r="BN317" i="98"/>
  <c r="BL318" i="98"/>
  <c r="BW322" i="98"/>
  <c r="BX322" i="98"/>
  <c r="BW320" i="98"/>
  <c r="BX320" i="98"/>
  <c r="BW318" i="98"/>
  <c r="BX318" i="98"/>
  <c r="BW315" i="98"/>
  <c r="BX315" i="98"/>
  <c r="BW313" i="98"/>
  <c r="BX313" i="98"/>
  <c r="BW309" i="98"/>
  <c r="BX309" i="98"/>
  <c r="BW307" i="98"/>
  <c r="BX307" i="98"/>
  <c r="BW305" i="98"/>
  <c r="BX305" i="98"/>
  <c r="BW297" i="98"/>
  <c r="BX297" i="98"/>
  <c r="BW294" i="98"/>
  <c r="BX294" i="98"/>
  <c r="BW321" i="98"/>
  <c r="BX321" i="98"/>
  <c r="BW316" i="98"/>
  <c r="BX316" i="98"/>
  <c r="BW314" i="98"/>
  <c r="BX314" i="98"/>
  <c r="BW311" i="98"/>
  <c r="BX311" i="98"/>
  <c r="BW306" i="98"/>
  <c r="BX306" i="98"/>
  <c r="BW304" i="98"/>
  <c r="BX304" i="98"/>
  <c r="BW299" i="98"/>
  <c r="BX299" i="98"/>
  <c r="BW296" i="98"/>
  <c r="BX296" i="98"/>
  <c r="BW293" i="98"/>
  <c r="BX293" i="98"/>
  <c r="BW319" i="98"/>
  <c r="BX319" i="98"/>
  <c r="BW310" i="98"/>
  <c r="BX310" i="98"/>
  <c r="BW298" i="98"/>
  <c r="BX298" i="98"/>
  <c r="BW295" i="98"/>
  <c r="BX295" i="98"/>
  <c r="BW317" i="98"/>
  <c r="BX317" i="98"/>
  <c r="BW312" i="98"/>
  <c r="BX312" i="98"/>
  <c r="BW308" i="98"/>
  <c r="BX308" i="98"/>
  <c r="BW300" i="98"/>
  <c r="BX300" i="98"/>
  <c r="BW303" i="98"/>
  <c r="BX303" i="98"/>
  <c r="BW301" i="98"/>
  <c r="BX301" i="98"/>
  <c r="BW302" i="98"/>
  <c r="BX302" i="98"/>
  <c r="BW323" i="98"/>
  <c r="BX323" i="98"/>
  <c r="CO320" i="98"/>
  <c r="CP320" i="98"/>
  <c r="CO322" i="98"/>
  <c r="CP322" i="98"/>
  <c r="CO307" i="98"/>
  <c r="CP307" i="98"/>
  <c r="CO323" i="98"/>
  <c r="CP323" i="98"/>
  <c r="CO317" i="98"/>
  <c r="CP317" i="98"/>
  <c r="CO312" i="98"/>
  <c r="CP312" i="98"/>
  <c r="CO308" i="98"/>
  <c r="CP308" i="98"/>
  <c r="CO306" i="98"/>
  <c r="CP306" i="98"/>
  <c r="CO304" i="98"/>
  <c r="CP304" i="98"/>
  <c r="CO299" i="98"/>
  <c r="CP299" i="98"/>
  <c r="CO296" i="98"/>
  <c r="CP296" i="98"/>
  <c r="CO293" i="98"/>
  <c r="CP293" i="98"/>
  <c r="CO319" i="98"/>
  <c r="CP319" i="98"/>
  <c r="CO310" i="98"/>
  <c r="CP310" i="98"/>
  <c r="CO305" i="98"/>
  <c r="CP305" i="98"/>
  <c r="CO297" i="98"/>
  <c r="CP297" i="98"/>
  <c r="CO294" i="98"/>
  <c r="CP294" i="98"/>
  <c r="CO303" i="98"/>
  <c r="CP303" i="98"/>
  <c r="CO301" i="98"/>
  <c r="CP301" i="98"/>
  <c r="CO302" i="98"/>
  <c r="CP302" i="98"/>
  <c r="CO295" i="98"/>
  <c r="CP295" i="98"/>
  <c r="CO314" i="98"/>
  <c r="CP314" i="98"/>
  <c r="CO300" i="98"/>
  <c r="CP300" i="98"/>
  <c r="CO313" i="98"/>
  <c r="CP313" i="98"/>
  <c r="CO311" i="98"/>
  <c r="CP311" i="98"/>
  <c r="CO309" i="98"/>
  <c r="CP309" i="98"/>
  <c r="CO318" i="98"/>
  <c r="CP318" i="98"/>
  <c r="CO316" i="98"/>
  <c r="CP316" i="98"/>
  <c r="CO298" i="98"/>
  <c r="CP298" i="98"/>
  <c r="CO321" i="98"/>
  <c r="CP321" i="98"/>
  <c r="CO315" i="98"/>
  <c r="CP315" i="98"/>
  <c r="BT323" i="98"/>
  <c r="BU323" i="98"/>
  <c r="BT319" i="98"/>
  <c r="BU319" i="98"/>
  <c r="BT317" i="98"/>
  <c r="BU317" i="98"/>
  <c r="BT312" i="98"/>
  <c r="BU312" i="98"/>
  <c r="BT310" i="98"/>
  <c r="BU310" i="98"/>
  <c r="BT308" i="98"/>
  <c r="BU308" i="98"/>
  <c r="BT321" i="98"/>
  <c r="BU321" i="98"/>
  <c r="BT318" i="98"/>
  <c r="BU318" i="98"/>
  <c r="BT316" i="98"/>
  <c r="BU316" i="98"/>
  <c r="BT315" i="98"/>
  <c r="BU315" i="98"/>
  <c r="BT314" i="98"/>
  <c r="BU314" i="98"/>
  <c r="BT313" i="98"/>
  <c r="BU313" i="98"/>
  <c r="BT311" i="98"/>
  <c r="BU311" i="98"/>
  <c r="BT309" i="98"/>
  <c r="BU309" i="98"/>
  <c r="BT303" i="98"/>
  <c r="BU303" i="98"/>
  <c r="BT302" i="98"/>
  <c r="BU302" i="98"/>
  <c r="BT301" i="98"/>
  <c r="BU301" i="98"/>
  <c r="BT320" i="98"/>
  <c r="BU320" i="98"/>
  <c r="BT300" i="98"/>
  <c r="BU300" i="98"/>
  <c r="BT298" i="98"/>
  <c r="BU298" i="98"/>
  <c r="BT295" i="98"/>
  <c r="BU295" i="98"/>
  <c r="BT306" i="98"/>
  <c r="BU306" i="98"/>
  <c r="BT304" i="98"/>
  <c r="BU304" i="98"/>
  <c r="BT322" i="98"/>
  <c r="BU322" i="98"/>
  <c r="BT307" i="98"/>
  <c r="BU307" i="98"/>
  <c r="BT305" i="98"/>
  <c r="BU305" i="98"/>
  <c r="BT299" i="98"/>
  <c r="BU299" i="98"/>
  <c r="BT296" i="98"/>
  <c r="BU296" i="98"/>
  <c r="BT293" i="98"/>
  <c r="BU293" i="98"/>
  <c r="BT297" i="98"/>
  <c r="BU297" i="98"/>
  <c r="BT294" i="98"/>
  <c r="BU294" i="98"/>
  <c r="BW253" i="98"/>
  <c r="BX253" i="98"/>
  <c r="BW250" i="98"/>
  <c r="BX250" i="98"/>
  <c r="BW248" i="98"/>
  <c r="BX248" i="98"/>
  <c r="BW246" i="98"/>
  <c r="BX246" i="98"/>
  <c r="BW243" i="98"/>
  <c r="BX243" i="98"/>
  <c r="BW240" i="98"/>
  <c r="BX240" i="98"/>
  <c r="BW237" i="98"/>
  <c r="BX237" i="98"/>
  <c r="BW236" i="98"/>
  <c r="BX236" i="98"/>
  <c r="BW256" i="98"/>
  <c r="BX256" i="98"/>
  <c r="BW255" i="98"/>
  <c r="BX255" i="98"/>
  <c r="BW249" i="98"/>
  <c r="BX249" i="98"/>
  <c r="BW247" i="98"/>
  <c r="BX247" i="98"/>
  <c r="BW238" i="98"/>
  <c r="BX238" i="98"/>
  <c r="BW251" i="98"/>
  <c r="BX251" i="98"/>
  <c r="BW242" i="98"/>
  <c r="BX242" i="98"/>
  <c r="BW239" i="98"/>
  <c r="BX239" i="98"/>
  <c r="BW261" i="98"/>
  <c r="BX261" i="98"/>
  <c r="BW259" i="98"/>
  <c r="BX259" i="98"/>
  <c r="BW257" i="98"/>
  <c r="BX257" i="98"/>
  <c r="BW245" i="98"/>
  <c r="BX245" i="98"/>
  <c r="BW241" i="98"/>
  <c r="BX241" i="98"/>
  <c r="BW234" i="98"/>
  <c r="BX234" i="98"/>
  <c r="BW232" i="98"/>
  <c r="BX232" i="98"/>
  <c r="BW262" i="98"/>
  <c r="BX262" i="98"/>
  <c r="BW260" i="98"/>
  <c r="BX260" i="98"/>
  <c r="BW258" i="98"/>
  <c r="BX258" i="98"/>
  <c r="BW254" i="98"/>
  <c r="BX254" i="98"/>
  <c r="BW252" i="98"/>
  <c r="BX252" i="98"/>
  <c r="BW244" i="98"/>
  <c r="BX244" i="98"/>
  <c r="BW235" i="98"/>
  <c r="BX235" i="98"/>
  <c r="BW233" i="98"/>
  <c r="BX233" i="98"/>
  <c r="BZ262" i="98"/>
  <c r="CA262" i="98"/>
  <c r="BZ261" i="98"/>
  <c r="CA261" i="98"/>
  <c r="BZ260" i="98"/>
  <c r="CA260" i="98"/>
  <c r="BZ259" i="98"/>
  <c r="CA259" i="98"/>
  <c r="BZ258" i="98"/>
  <c r="CA258" i="98"/>
  <c r="BZ257" i="98"/>
  <c r="CA257" i="98"/>
  <c r="BZ252" i="98"/>
  <c r="CA252" i="98"/>
  <c r="BZ245" i="98"/>
  <c r="CA245" i="98"/>
  <c r="BZ244" i="98"/>
  <c r="CA244" i="98"/>
  <c r="BZ242" i="98"/>
  <c r="CA242" i="98"/>
  <c r="BZ241" i="98"/>
  <c r="CA241" i="98"/>
  <c r="BZ254" i="98"/>
  <c r="CA254" i="98"/>
  <c r="BZ251" i="98"/>
  <c r="CA251" i="98"/>
  <c r="BZ239" i="98"/>
  <c r="CA239" i="98"/>
  <c r="BZ235" i="98"/>
  <c r="CA235" i="98"/>
  <c r="BZ234" i="98"/>
  <c r="CA234" i="98"/>
  <c r="BZ233" i="98"/>
  <c r="CA233" i="98"/>
  <c r="BZ232" i="98"/>
  <c r="CA232" i="98"/>
  <c r="BZ256" i="98"/>
  <c r="CA256" i="98"/>
  <c r="BZ240" i="98"/>
  <c r="CA240" i="98"/>
  <c r="BZ236" i="98"/>
  <c r="CA236" i="98"/>
  <c r="BZ255" i="98"/>
  <c r="CA255" i="98"/>
  <c r="BZ253" i="98"/>
  <c r="CA253" i="98"/>
  <c r="BZ249" i="98"/>
  <c r="CA249" i="98"/>
  <c r="BZ247" i="98"/>
  <c r="CA247" i="98"/>
  <c r="BZ243" i="98"/>
  <c r="CA243" i="98"/>
  <c r="BZ238" i="98"/>
  <c r="CA238" i="98"/>
  <c r="BZ250" i="98"/>
  <c r="CA250" i="98"/>
  <c r="BZ248" i="98"/>
  <c r="CA248" i="98"/>
  <c r="BZ246" i="98"/>
  <c r="CA246" i="98"/>
  <c r="BZ237" i="98"/>
  <c r="CA237" i="98"/>
  <c r="CF254" i="98"/>
  <c r="CG254" i="98"/>
  <c r="CF251" i="98"/>
  <c r="CG251" i="98"/>
  <c r="CF239" i="98"/>
  <c r="CG239" i="98"/>
  <c r="CF235" i="98"/>
  <c r="CG235" i="98"/>
  <c r="CF234" i="98"/>
  <c r="CG234" i="98"/>
  <c r="CF233" i="98"/>
  <c r="CG233" i="98"/>
  <c r="CF232" i="98"/>
  <c r="CG232" i="98"/>
  <c r="CF262" i="98"/>
  <c r="CG262" i="98"/>
  <c r="CF261" i="98"/>
  <c r="CG261" i="98"/>
  <c r="CF260" i="98"/>
  <c r="CG260" i="98"/>
  <c r="CF259" i="98"/>
  <c r="CG259" i="98"/>
  <c r="CF258" i="98"/>
  <c r="CG258" i="98"/>
  <c r="CF257" i="98"/>
  <c r="CG257" i="98"/>
  <c r="CF252" i="98"/>
  <c r="CG252" i="98"/>
  <c r="CF245" i="98"/>
  <c r="CG245" i="98"/>
  <c r="CF244" i="98"/>
  <c r="CG244" i="98"/>
  <c r="CF242" i="98"/>
  <c r="CG242" i="98"/>
  <c r="CF241" i="98"/>
  <c r="CG241" i="98"/>
  <c r="CF255" i="98"/>
  <c r="CG255" i="98"/>
  <c r="CF253" i="98"/>
  <c r="CG253" i="98"/>
  <c r="CF249" i="98"/>
  <c r="CG249" i="98"/>
  <c r="CF247" i="98"/>
  <c r="CG247" i="98"/>
  <c r="CF238" i="98"/>
  <c r="CG238" i="98"/>
  <c r="CF250" i="98"/>
  <c r="CG250" i="98"/>
  <c r="CF248" i="98"/>
  <c r="CG248" i="98"/>
  <c r="CF246" i="98"/>
  <c r="CG246" i="98"/>
  <c r="CF243" i="98"/>
  <c r="CG243" i="98"/>
  <c r="CF237" i="98"/>
  <c r="CG237" i="98"/>
  <c r="CF256" i="98"/>
  <c r="CG256" i="98"/>
  <c r="CF240" i="98"/>
  <c r="CG240" i="98"/>
  <c r="CF236" i="98"/>
  <c r="CG236" i="98"/>
  <c r="BO374" i="98"/>
  <c r="CZ374" i="98"/>
  <c r="E37" i="64"/>
  <c r="G41" i="72"/>
  <c r="G42" i="72"/>
  <c r="G43" i="72"/>
  <c r="G44" i="72"/>
  <c r="E42" i="72"/>
  <c r="E43" i="72"/>
  <c r="E44" i="72"/>
  <c r="B42" i="72"/>
  <c r="B43" i="72"/>
  <c r="B44" i="72"/>
  <c r="BW368" i="98"/>
  <c r="BX368" i="98"/>
  <c r="CF381" i="98"/>
  <c r="CG381" i="98"/>
  <c r="BW376" i="98"/>
  <c r="BX376" i="98"/>
  <c r="BW378" i="98"/>
  <c r="BX378" i="98"/>
  <c r="BW360" i="98"/>
  <c r="BX360" i="98"/>
  <c r="CF356" i="98"/>
  <c r="CG356" i="98"/>
  <c r="BW366" i="98"/>
  <c r="BX366" i="98"/>
  <c r="BW359" i="98"/>
  <c r="BX359" i="98"/>
  <c r="BW372" i="98"/>
  <c r="BX372" i="98"/>
  <c r="CL381" i="98"/>
  <c r="CM381" i="98"/>
  <c r="CF364" i="98"/>
  <c r="CG364" i="98"/>
  <c r="BQ157" i="98"/>
  <c r="BR157" i="98"/>
  <c r="CF355" i="98"/>
  <c r="CG355" i="98"/>
  <c r="CF372" i="98"/>
  <c r="CG372" i="98"/>
  <c r="BW355" i="98"/>
  <c r="BX355" i="98"/>
  <c r="BW363" i="98"/>
  <c r="BX363" i="98"/>
  <c r="BW371" i="98"/>
  <c r="BX371" i="98"/>
  <c r="BW383" i="98"/>
  <c r="BX383" i="98"/>
  <c r="BQ146" i="98"/>
  <c r="BR146" i="98"/>
  <c r="CF362" i="98"/>
  <c r="CG362" i="98"/>
  <c r="CF363" i="98"/>
  <c r="CG363" i="98"/>
  <c r="CF378" i="98"/>
  <c r="CG378" i="98"/>
  <c r="BW356" i="98"/>
  <c r="BX356" i="98"/>
  <c r="BW365" i="98"/>
  <c r="BX365" i="98"/>
  <c r="BW375" i="98"/>
  <c r="BX375" i="98"/>
  <c r="CF357" i="98"/>
  <c r="CG357" i="98"/>
  <c r="CF360" i="98"/>
  <c r="CG360" i="98"/>
  <c r="CF375" i="98"/>
  <c r="CG375" i="98"/>
  <c r="BQ142" i="98"/>
  <c r="BR142" i="98"/>
  <c r="CF366" i="98"/>
  <c r="CG366" i="98"/>
  <c r="CF359" i="98"/>
  <c r="CG359" i="98"/>
  <c r="CF365" i="98"/>
  <c r="CG365" i="98"/>
  <c r="CF354" i="98"/>
  <c r="CG354" i="98"/>
  <c r="CF374" i="98"/>
  <c r="CG374" i="98"/>
  <c r="CF383" i="98"/>
  <c r="CG383" i="98"/>
  <c r="CF377" i="98"/>
  <c r="CG377" i="98"/>
  <c r="CF384" i="98"/>
  <c r="CG384" i="98"/>
  <c r="BW381" i="98"/>
  <c r="BX381" i="98"/>
  <c r="BW380" i="98"/>
  <c r="BX380" i="98"/>
  <c r="BW357" i="98"/>
  <c r="BX357" i="98"/>
  <c r="BW361" i="98"/>
  <c r="BX361" i="98"/>
  <c r="BW384" i="98"/>
  <c r="BX384" i="98"/>
  <c r="BW369" i="98"/>
  <c r="BX369" i="98"/>
  <c r="BW379" i="98"/>
  <c r="BX379" i="98"/>
  <c r="BW374" i="98"/>
  <c r="BX374" i="98"/>
  <c r="BQ149" i="98"/>
  <c r="BR149" i="98"/>
  <c r="BQ155" i="98"/>
  <c r="BR155" i="98"/>
  <c r="CF371" i="98"/>
  <c r="CG371" i="98"/>
  <c r="CF370" i="98"/>
  <c r="CG370" i="98"/>
  <c r="CF369" i="98"/>
  <c r="CG369" i="98"/>
  <c r="CF380" i="98"/>
  <c r="CG380" i="98"/>
  <c r="CF382" i="98"/>
  <c r="CG382" i="98"/>
  <c r="BQ154" i="98"/>
  <c r="BR154" i="98"/>
  <c r="CF373" i="98"/>
  <c r="CG373" i="98"/>
  <c r="CF361" i="98"/>
  <c r="CG361" i="98"/>
  <c r="CF368" i="98"/>
  <c r="CG368" i="98"/>
  <c r="CF358" i="98"/>
  <c r="CG358" i="98"/>
  <c r="CF367" i="98"/>
  <c r="CG367" i="98"/>
  <c r="CF376" i="98"/>
  <c r="CG376" i="98"/>
  <c r="BW367" i="98"/>
  <c r="BX367" i="98"/>
  <c r="BW354" i="98"/>
  <c r="BX354" i="98"/>
  <c r="BW358" i="98"/>
  <c r="BX358" i="98"/>
  <c r="BW362" i="98"/>
  <c r="BX362" i="98"/>
  <c r="BW364" i="98"/>
  <c r="BX364" i="98"/>
  <c r="BW370" i="98"/>
  <c r="BX370" i="98"/>
  <c r="BW382" i="98"/>
  <c r="BX382" i="98"/>
  <c r="BQ163" i="98"/>
  <c r="BR163" i="98"/>
  <c r="BQ162" i="98"/>
  <c r="BR162" i="98"/>
  <c r="CL382" i="98"/>
  <c r="CM382" i="98"/>
  <c r="CL354" i="98"/>
  <c r="CM354" i="98"/>
  <c r="CL365" i="98"/>
  <c r="CM365" i="98"/>
  <c r="CL368" i="98"/>
  <c r="CM368" i="98"/>
  <c r="CR378" i="98"/>
  <c r="CS378" i="98"/>
  <c r="CL367" i="98"/>
  <c r="CM367" i="98"/>
  <c r="CR357" i="98"/>
  <c r="CS357" i="98"/>
  <c r="CI150" i="98"/>
  <c r="CJ150" i="98"/>
  <c r="CC167" i="98"/>
  <c r="CD167" i="98"/>
  <c r="CR364" i="98"/>
  <c r="CS364" i="98"/>
  <c r="CL356" i="98"/>
  <c r="CM356" i="98"/>
  <c r="CL361" i="98"/>
  <c r="CM361" i="98"/>
  <c r="CL376" i="98"/>
  <c r="CM376" i="98"/>
  <c r="CR356" i="98"/>
  <c r="CS356" i="98"/>
  <c r="CL362" i="98"/>
  <c r="CM362" i="98"/>
  <c r="CL374" i="98"/>
  <c r="CM374" i="98"/>
  <c r="CL378" i="98"/>
  <c r="CM378" i="98"/>
  <c r="CR361" i="98"/>
  <c r="CS361" i="98"/>
  <c r="CR366" i="98"/>
  <c r="CS366" i="98"/>
  <c r="CR360" i="98"/>
  <c r="CS360" i="98"/>
  <c r="CR380" i="98"/>
  <c r="CS380" i="98"/>
  <c r="CI149" i="98"/>
  <c r="CJ149" i="98"/>
  <c r="CR363" i="98"/>
  <c r="CS363" i="98"/>
  <c r="CR358" i="98"/>
  <c r="CS358" i="98"/>
  <c r="CR367" i="98"/>
  <c r="CS367" i="98"/>
  <c r="CR381" i="98"/>
  <c r="CS381" i="98"/>
  <c r="CC146" i="98"/>
  <c r="CD146" i="98"/>
  <c r="CR365" i="98"/>
  <c r="CS365" i="98"/>
  <c r="CR362" i="98"/>
  <c r="CS362" i="98"/>
  <c r="CR374" i="98"/>
  <c r="CS374" i="98"/>
  <c r="CR382" i="98"/>
  <c r="CS382" i="98"/>
  <c r="CL355" i="98"/>
  <c r="CM355" i="98"/>
  <c r="CL364" i="98"/>
  <c r="CM364" i="98"/>
  <c r="CL375" i="98"/>
  <c r="CM375" i="98"/>
  <c r="CL384" i="98"/>
  <c r="CM384" i="98"/>
  <c r="CR355" i="98"/>
  <c r="CS355" i="98"/>
  <c r="CR368" i="98"/>
  <c r="CS368" i="98"/>
  <c r="CR383" i="98"/>
  <c r="CS383" i="98"/>
  <c r="CR369" i="98"/>
  <c r="CS369" i="98"/>
  <c r="CR371" i="98"/>
  <c r="CS371" i="98"/>
  <c r="CR375" i="98"/>
  <c r="CS375" i="98"/>
  <c r="CR377" i="98"/>
  <c r="CS377" i="98"/>
  <c r="CR384" i="98"/>
  <c r="CS384" i="98"/>
  <c r="CL358" i="98"/>
  <c r="CM358" i="98"/>
  <c r="CL359" i="98"/>
  <c r="CM359" i="98"/>
  <c r="CL372" i="98"/>
  <c r="CM372" i="98"/>
  <c r="CL366" i="98"/>
  <c r="CM366" i="98"/>
  <c r="CL371" i="98"/>
  <c r="CM371" i="98"/>
  <c r="CL377" i="98"/>
  <c r="CM377" i="98"/>
  <c r="CL380" i="98"/>
  <c r="CM380" i="98"/>
  <c r="CI158" i="98"/>
  <c r="CJ158" i="98"/>
  <c r="CI151" i="98"/>
  <c r="CJ151" i="98"/>
  <c r="CR359" i="98"/>
  <c r="CS359" i="98"/>
  <c r="CR370" i="98"/>
  <c r="CS370" i="98"/>
  <c r="CR354" i="98"/>
  <c r="CS354" i="98"/>
  <c r="CR373" i="98"/>
  <c r="CS373" i="98"/>
  <c r="CR372" i="98"/>
  <c r="CS372" i="98"/>
  <c r="CR376" i="98"/>
  <c r="CS376" i="98"/>
  <c r="CL369" i="98"/>
  <c r="CM369" i="98"/>
  <c r="CL360" i="98"/>
  <c r="CM360" i="98"/>
  <c r="CL363" i="98"/>
  <c r="CM363" i="98"/>
  <c r="CL357" i="98"/>
  <c r="CM357" i="98"/>
  <c r="CL370" i="98"/>
  <c r="CM370" i="98"/>
  <c r="CL373" i="98"/>
  <c r="CM373" i="98"/>
  <c r="CL379" i="98"/>
  <c r="CM379" i="98"/>
  <c r="CI162" i="98"/>
  <c r="CJ162" i="98"/>
  <c r="BQ167" i="98"/>
  <c r="BR167" i="98"/>
  <c r="BQ161" i="98"/>
  <c r="BR161" i="98"/>
  <c r="BQ143" i="98"/>
  <c r="BR143" i="98"/>
  <c r="BQ166" i="98"/>
  <c r="BR166" i="98"/>
  <c r="BQ148" i="98"/>
  <c r="BR148" i="98"/>
  <c r="BQ160" i="98"/>
  <c r="BR160" i="98"/>
  <c r="BQ141" i="98"/>
  <c r="BR141" i="98"/>
  <c r="BQ140" i="98"/>
  <c r="BR140" i="98"/>
  <c r="BQ165" i="98"/>
  <c r="BR165" i="98"/>
  <c r="BQ145" i="98"/>
  <c r="BR145" i="98"/>
  <c r="BQ153" i="98"/>
  <c r="BR153" i="98"/>
  <c r="BQ170" i="98"/>
  <c r="BR170" i="98"/>
  <c r="BQ150" i="98"/>
  <c r="BR150" i="98"/>
  <c r="BQ164" i="98"/>
  <c r="BR164" i="98"/>
  <c r="BQ151" i="98"/>
  <c r="BR151" i="98"/>
  <c r="BQ159" i="98"/>
  <c r="BR159" i="98"/>
  <c r="BQ156" i="98"/>
  <c r="BR156" i="98"/>
  <c r="BQ169" i="98"/>
  <c r="BR169" i="98"/>
  <c r="BQ147" i="98"/>
  <c r="BR147" i="98"/>
  <c r="BQ158" i="98"/>
  <c r="BR158" i="98"/>
  <c r="BQ144" i="98"/>
  <c r="BR144" i="98"/>
  <c r="BQ152" i="98"/>
  <c r="BR152" i="98"/>
  <c r="CR141" i="98"/>
  <c r="CS141" i="98"/>
  <c r="CR166" i="98"/>
  <c r="CS166" i="98"/>
  <c r="CR143" i="98"/>
  <c r="CS143" i="98"/>
  <c r="CR156" i="98"/>
  <c r="CS156" i="98"/>
  <c r="CL146" i="98"/>
  <c r="CM146" i="98"/>
  <c r="CR147" i="98"/>
  <c r="CS147" i="98"/>
  <c r="CR163" i="98"/>
  <c r="CS163" i="98"/>
  <c r="CL164" i="98"/>
  <c r="CM164" i="98"/>
  <c r="CR151" i="98"/>
  <c r="CS151" i="98"/>
  <c r="CR158" i="98"/>
  <c r="CS158" i="98"/>
  <c r="CO382" i="98"/>
  <c r="CP382" i="98"/>
  <c r="CL150" i="98"/>
  <c r="CM150" i="98"/>
  <c r="CL156" i="98"/>
  <c r="CM156" i="98"/>
  <c r="CR144" i="98"/>
  <c r="CS144" i="98"/>
  <c r="CR148" i="98"/>
  <c r="CS148" i="98"/>
  <c r="CR152" i="98"/>
  <c r="CS152" i="98"/>
  <c r="CR142" i="98"/>
  <c r="CS142" i="98"/>
  <c r="CR157" i="98"/>
  <c r="CS157" i="98"/>
  <c r="CR165" i="98"/>
  <c r="CS165" i="98"/>
  <c r="CR160" i="98"/>
  <c r="CS160" i="98"/>
  <c r="CR168" i="98"/>
  <c r="CS168" i="98"/>
  <c r="CO354" i="98"/>
  <c r="CP354" i="98"/>
  <c r="BQ366" i="98"/>
  <c r="BR366" i="98"/>
  <c r="BQ371" i="98"/>
  <c r="BR371" i="98"/>
  <c r="BQ356" i="98"/>
  <c r="BR356" i="98"/>
  <c r="BQ360" i="98"/>
  <c r="BR360" i="98"/>
  <c r="BQ365" i="98"/>
  <c r="BR365" i="98"/>
  <c r="BQ374" i="98"/>
  <c r="BR374" i="98"/>
  <c r="BQ376" i="98"/>
  <c r="BR376" i="98"/>
  <c r="BQ384" i="98"/>
  <c r="BR384" i="98"/>
  <c r="BQ370" i="98"/>
  <c r="BR370" i="98"/>
  <c r="BQ359" i="98"/>
  <c r="BR359" i="98"/>
  <c r="BQ373" i="98"/>
  <c r="BR373" i="98"/>
  <c r="BQ375" i="98"/>
  <c r="BR375" i="98"/>
  <c r="CL155" i="98"/>
  <c r="CM155" i="98"/>
  <c r="CL163" i="98"/>
  <c r="CM163" i="98"/>
  <c r="CR145" i="98"/>
  <c r="CS145" i="98"/>
  <c r="CR153" i="98"/>
  <c r="CS153" i="98"/>
  <c r="CR159" i="98"/>
  <c r="CS159" i="98"/>
  <c r="CR162" i="98"/>
  <c r="CS162" i="98"/>
  <c r="BQ368" i="98"/>
  <c r="BR368" i="98"/>
  <c r="BQ379" i="98"/>
  <c r="BR379" i="98"/>
  <c r="BQ357" i="98"/>
  <c r="BR357" i="98"/>
  <c r="BQ361" i="98"/>
  <c r="BR361" i="98"/>
  <c r="BQ377" i="98"/>
  <c r="BR377" i="98"/>
  <c r="BQ378" i="98"/>
  <c r="BR378" i="98"/>
  <c r="BQ380" i="98"/>
  <c r="BR380" i="98"/>
  <c r="BQ364" i="98"/>
  <c r="BR364" i="98"/>
  <c r="BQ355" i="98"/>
  <c r="BR355" i="98"/>
  <c r="BQ363" i="98"/>
  <c r="BR363" i="98"/>
  <c r="BQ383" i="98"/>
  <c r="BR383" i="98"/>
  <c r="CR149" i="98"/>
  <c r="CS149" i="98"/>
  <c r="CR154" i="98"/>
  <c r="CS154" i="98"/>
  <c r="CR167" i="98"/>
  <c r="CS167" i="98"/>
  <c r="CR170" i="98"/>
  <c r="CS170" i="98"/>
  <c r="CO360" i="98"/>
  <c r="CP360" i="98"/>
  <c r="CL154" i="98"/>
  <c r="CM154" i="98"/>
  <c r="CR146" i="98"/>
  <c r="CS146" i="98"/>
  <c r="CR150" i="98"/>
  <c r="CS150" i="98"/>
  <c r="CR140" i="98"/>
  <c r="CS140" i="98"/>
  <c r="CR155" i="98"/>
  <c r="CS155" i="98"/>
  <c r="CR161" i="98"/>
  <c r="CS161" i="98"/>
  <c r="CR169" i="98"/>
  <c r="CS169" i="98"/>
  <c r="CO372" i="98"/>
  <c r="CP372" i="98"/>
  <c r="BQ367" i="98"/>
  <c r="BR367" i="98"/>
  <c r="BQ369" i="98"/>
  <c r="BR369" i="98"/>
  <c r="BQ354" i="98"/>
  <c r="BR354" i="98"/>
  <c r="BQ358" i="98"/>
  <c r="BR358" i="98"/>
  <c r="BQ362" i="98"/>
  <c r="BR362" i="98"/>
  <c r="BQ372" i="98"/>
  <c r="BR372" i="98"/>
  <c r="BQ381" i="98"/>
  <c r="BR381" i="98"/>
  <c r="CC142" i="98"/>
  <c r="CD142" i="98"/>
  <c r="CC143" i="98"/>
  <c r="CD143" i="98"/>
  <c r="CC148" i="98"/>
  <c r="CD148" i="98"/>
  <c r="CC169" i="98"/>
  <c r="CD169" i="98"/>
  <c r="CC151" i="98"/>
  <c r="CD151" i="98"/>
  <c r="CC158" i="98"/>
  <c r="CD158" i="98"/>
  <c r="CC141" i="98"/>
  <c r="CD141" i="98"/>
  <c r="CC160" i="98"/>
  <c r="CD160" i="98"/>
  <c r="CC162" i="98"/>
  <c r="CD162" i="98"/>
  <c r="CI146" i="98"/>
  <c r="CJ146" i="98"/>
  <c r="CC157" i="98"/>
  <c r="CD157" i="98"/>
  <c r="CC140" i="98"/>
  <c r="CD140" i="98"/>
  <c r="CC147" i="98"/>
  <c r="CD147" i="98"/>
  <c r="CC164" i="98"/>
  <c r="CD164" i="98"/>
  <c r="CC150" i="98"/>
  <c r="CD150" i="98"/>
  <c r="CC170" i="98"/>
  <c r="CD170" i="98"/>
  <c r="CX370" i="98"/>
  <c r="CY370" i="98"/>
  <c r="CI140" i="98"/>
  <c r="CJ140" i="98"/>
  <c r="CI165" i="98"/>
  <c r="CJ165" i="98"/>
  <c r="CI163" i="98"/>
  <c r="CJ163" i="98"/>
  <c r="CC161" i="98"/>
  <c r="CD161" i="98"/>
  <c r="CC163" i="98"/>
  <c r="CD163" i="98"/>
  <c r="CC149" i="98"/>
  <c r="CD149" i="98"/>
  <c r="CC168" i="98"/>
  <c r="CD168" i="98"/>
  <c r="CC154" i="98"/>
  <c r="CD154" i="98"/>
  <c r="CC155" i="98"/>
  <c r="CD155" i="98"/>
  <c r="CU357" i="98"/>
  <c r="CV357" i="98"/>
  <c r="CX367" i="98"/>
  <c r="CY367" i="98"/>
  <c r="CI160" i="98"/>
  <c r="CJ160" i="98"/>
  <c r="CI169" i="98"/>
  <c r="CJ169" i="98"/>
  <c r="CI155" i="98"/>
  <c r="CJ155" i="98"/>
  <c r="CC362" i="98"/>
  <c r="CD362" i="98"/>
  <c r="CX358" i="98"/>
  <c r="CY358" i="98"/>
  <c r="CX377" i="98"/>
  <c r="CY377" i="98"/>
  <c r="CI166" i="98"/>
  <c r="CJ166" i="98"/>
  <c r="CI168" i="98"/>
  <c r="CJ168" i="98"/>
  <c r="CI152" i="98"/>
  <c r="CJ152" i="98"/>
  <c r="CI143" i="98"/>
  <c r="CJ143" i="98"/>
  <c r="CI156" i="98"/>
  <c r="CJ156" i="98"/>
  <c r="CI154" i="98"/>
  <c r="CJ154" i="98"/>
  <c r="CF165" i="98"/>
  <c r="CG165" i="98"/>
  <c r="CX374" i="98"/>
  <c r="CY374" i="98"/>
  <c r="CX380" i="98"/>
  <c r="CY380" i="98"/>
  <c r="CI141" i="98"/>
  <c r="CJ141" i="98"/>
  <c r="CI144" i="98"/>
  <c r="CJ144" i="98"/>
  <c r="CI157" i="98"/>
  <c r="CJ157" i="98"/>
  <c r="CI147" i="98"/>
  <c r="CJ147" i="98"/>
  <c r="CI159" i="98"/>
  <c r="CJ159" i="98"/>
  <c r="CU163" i="98"/>
  <c r="CV163" i="98"/>
  <c r="CL144" i="98"/>
  <c r="CM144" i="98"/>
  <c r="CL152" i="98"/>
  <c r="CM152" i="98"/>
  <c r="CL160" i="98"/>
  <c r="CM160" i="98"/>
  <c r="CL159" i="98"/>
  <c r="CM159" i="98"/>
  <c r="BT157" i="98"/>
  <c r="BU157" i="98"/>
  <c r="CO356" i="98"/>
  <c r="CP356" i="98"/>
  <c r="CO378" i="98"/>
  <c r="CP378" i="98"/>
  <c r="BZ151" i="98"/>
  <c r="CA151" i="98"/>
  <c r="CL148" i="98"/>
  <c r="CM148" i="98"/>
  <c r="CL141" i="98"/>
  <c r="CM141" i="98"/>
  <c r="CL168" i="98"/>
  <c r="CM168" i="98"/>
  <c r="CL167" i="98"/>
  <c r="CM167" i="98"/>
  <c r="CO368" i="98"/>
  <c r="CP368" i="98"/>
  <c r="CO365" i="98"/>
  <c r="CP365" i="98"/>
  <c r="CU167" i="98"/>
  <c r="CV167" i="98"/>
  <c r="CL143" i="98"/>
  <c r="CM143" i="98"/>
  <c r="CL147" i="98"/>
  <c r="CM147" i="98"/>
  <c r="CL151" i="98"/>
  <c r="CM151" i="98"/>
  <c r="CL140" i="98"/>
  <c r="CM140" i="98"/>
  <c r="CL158" i="98"/>
  <c r="CM158" i="98"/>
  <c r="CL166" i="98"/>
  <c r="CM166" i="98"/>
  <c r="CL157" i="98"/>
  <c r="CM157" i="98"/>
  <c r="CL165" i="98"/>
  <c r="CM165" i="98"/>
  <c r="CC376" i="98"/>
  <c r="CD376" i="98"/>
  <c r="CO364" i="98"/>
  <c r="CP364" i="98"/>
  <c r="CO355" i="98"/>
  <c r="CP355" i="98"/>
  <c r="CO362" i="98"/>
  <c r="CP362" i="98"/>
  <c r="CO375" i="98"/>
  <c r="CP375" i="98"/>
  <c r="CO383" i="98"/>
  <c r="CP383" i="98"/>
  <c r="BZ166" i="98"/>
  <c r="CA166" i="98"/>
  <c r="CL145" i="98"/>
  <c r="CM145" i="98"/>
  <c r="CL149" i="98"/>
  <c r="CM149" i="98"/>
  <c r="CL153" i="98"/>
  <c r="CM153" i="98"/>
  <c r="CL142" i="98"/>
  <c r="CM142" i="98"/>
  <c r="CL162" i="98"/>
  <c r="CM162" i="98"/>
  <c r="CL170" i="98"/>
  <c r="CM170" i="98"/>
  <c r="CL161" i="98"/>
  <c r="CM161" i="98"/>
  <c r="BT158" i="98"/>
  <c r="BU158" i="98"/>
  <c r="CO369" i="98"/>
  <c r="CP369" i="98"/>
  <c r="CO359" i="98"/>
  <c r="CP359" i="98"/>
  <c r="CO371" i="98"/>
  <c r="CP371" i="98"/>
  <c r="CO376" i="98"/>
  <c r="CP376" i="98"/>
  <c r="CU158" i="98"/>
  <c r="CV158" i="98"/>
  <c r="CU169" i="98"/>
  <c r="CV169" i="98"/>
  <c r="CC377" i="98"/>
  <c r="CD377" i="98"/>
  <c r="BT144" i="98"/>
  <c r="BU144" i="98"/>
  <c r="CI375" i="98"/>
  <c r="CJ375" i="98"/>
  <c r="BZ159" i="98"/>
  <c r="CA159" i="98"/>
  <c r="CU166" i="98"/>
  <c r="CV166" i="98"/>
  <c r="CU155" i="98"/>
  <c r="CV155" i="98"/>
  <c r="CC370" i="98"/>
  <c r="CD370" i="98"/>
  <c r="BT151" i="98"/>
  <c r="BU151" i="98"/>
  <c r="BZ146" i="98"/>
  <c r="CA146" i="98"/>
  <c r="CU149" i="98"/>
  <c r="CV149" i="98"/>
  <c r="CC354" i="98"/>
  <c r="CD354" i="98"/>
  <c r="CC380" i="98"/>
  <c r="CD380" i="98"/>
  <c r="BT152" i="98"/>
  <c r="BU152" i="98"/>
  <c r="BT160" i="98"/>
  <c r="BU160" i="98"/>
  <c r="CI379" i="98"/>
  <c r="CJ379" i="98"/>
  <c r="BZ154" i="98"/>
  <c r="CA154" i="98"/>
  <c r="BZ165" i="98"/>
  <c r="CA165" i="98"/>
  <c r="CI380" i="98"/>
  <c r="CJ380" i="98"/>
  <c r="CU160" i="98"/>
  <c r="CV160" i="98"/>
  <c r="CU148" i="98"/>
  <c r="CV148" i="98"/>
  <c r="CU164" i="98"/>
  <c r="CV164" i="98"/>
  <c r="CU150" i="98"/>
  <c r="CV150" i="98"/>
  <c r="CU153" i="98"/>
  <c r="CV153" i="98"/>
  <c r="CC361" i="98"/>
  <c r="CD361" i="98"/>
  <c r="BT143" i="98"/>
  <c r="BU143" i="98"/>
  <c r="BT156" i="98"/>
  <c r="BU156" i="98"/>
  <c r="CX144" i="98"/>
  <c r="CY144" i="98"/>
  <c r="BZ143" i="98"/>
  <c r="CA143" i="98"/>
  <c r="BZ160" i="98"/>
  <c r="CA160" i="98"/>
  <c r="CI354" i="98"/>
  <c r="CJ354" i="98"/>
  <c r="CI384" i="98"/>
  <c r="CJ384" i="98"/>
  <c r="CU142" i="98"/>
  <c r="CV142" i="98"/>
  <c r="CU170" i="98"/>
  <c r="CV170" i="98"/>
  <c r="CU152" i="98"/>
  <c r="CV152" i="98"/>
  <c r="CU145" i="98"/>
  <c r="CV145" i="98"/>
  <c r="CU157" i="98"/>
  <c r="CV157" i="98"/>
  <c r="CU154" i="98"/>
  <c r="CV154" i="98"/>
  <c r="CC364" i="98"/>
  <c r="CD364" i="98"/>
  <c r="CC357" i="98"/>
  <c r="CD357" i="98"/>
  <c r="CC371" i="98"/>
  <c r="CD371" i="98"/>
  <c r="CC378" i="98"/>
  <c r="CD378" i="98"/>
  <c r="BT147" i="98"/>
  <c r="BU147" i="98"/>
  <c r="BT140" i="98"/>
  <c r="BU140" i="98"/>
  <c r="BT163" i="98"/>
  <c r="BU163" i="98"/>
  <c r="BT166" i="98"/>
  <c r="BU166" i="98"/>
  <c r="CX160" i="98"/>
  <c r="CY160" i="98"/>
  <c r="CI359" i="98"/>
  <c r="CJ359" i="98"/>
  <c r="CI377" i="98"/>
  <c r="CJ377" i="98"/>
  <c r="CO147" i="98"/>
  <c r="CP147" i="98"/>
  <c r="BZ147" i="98"/>
  <c r="CA147" i="98"/>
  <c r="BZ140" i="98"/>
  <c r="CA140" i="98"/>
  <c r="BZ168" i="98"/>
  <c r="CA168" i="98"/>
  <c r="BZ167" i="98"/>
  <c r="CA167" i="98"/>
  <c r="CX152" i="98"/>
  <c r="CY152" i="98"/>
  <c r="CI366" i="98"/>
  <c r="CJ366" i="98"/>
  <c r="CU140" i="98"/>
  <c r="CV140" i="98"/>
  <c r="CU141" i="98"/>
  <c r="CV141" i="98"/>
  <c r="CU144" i="98"/>
  <c r="CV144" i="98"/>
  <c r="CU159" i="98"/>
  <c r="CV159" i="98"/>
  <c r="CU147" i="98"/>
  <c r="CV147" i="98"/>
  <c r="CU161" i="98"/>
  <c r="CV161" i="98"/>
  <c r="CC366" i="98"/>
  <c r="CD366" i="98"/>
  <c r="CC358" i="98"/>
  <c r="CD358" i="98"/>
  <c r="CC372" i="98"/>
  <c r="CD372" i="98"/>
  <c r="CC381" i="98"/>
  <c r="CD381" i="98"/>
  <c r="BT148" i="98"/>
  <c r="BU148" i="98"/>
  <c r="BT141" i="98"/>
  <c r="BU141" i="98"/>
  <c r="BT165" i="98"/>
  <c r="BU165" i="98"/>
  <c r="BT168" i="98"/>
  <c r="BU168" i="98"/>
  <c r="CX156" i="98"/>
  <c r="CY156" i="98"/>
  <c r="CI360" i="98"/>
  <c r="CJ360" i="98"/>
  <c r="CI381" i="98"/>
  <c r="CJ381" i="98"/>
  <c r="BZ155" i="98"/>
  <c r="CA155" i="98"/>
  <c r="BZ150" i="98"/>
  <c r="CA150" i="98"/>
  <c r="BZ158" i="98"/>
  <c r="CA158" i="98"/>
  <c r="BZ157" i="98"/>
  <c r="CA157" i="98"/>
  <c r="CX162" i="98"/>
  <c r="CY162" i="98"/>
  <c r="CO165" i="98"/>
  <c r="CP165" i="98"/>
  <c r="CO148" i="98"/>
  <c r="CP148" i="98"/>
  <c r="BZ144" i="98"/>
  <c r="CA144" i="98"/>
  <c r="BZ148" i="98"/>
  <c r="CA148" i="98"/>
  <c r="BZ152" i="98"/>
  <c r="CA152" i="98"/>
  <c r="BZ141" i="98"/>
  <c r="CA141" i="98"/>
  <c r="BZ162" i="98"/>
  <c r="CA162" i="98"/>
  <c r="BZ170" i="98"/>
  <c r="CA170" i="98"/>
  <c r="BZ161" i="98"/>
  <c r="CA161" i="98"/>
  <c r="BZ169" i="98"/>
  <c r="CA169" i="98"/>
  <c r="CX147" i="98"/>
  <c r="CY147" i="98"/>
  <c r="CX153" i="98"/>
  <c r="CY153" i="98"/>
  <c r="CX161" i="98"/>
  <c r="CY161" i="98"/>
  <c r="CO162" i="98"/>
  <c r="CP162" i="98"/>
  <c r="CC379" i="98"/>
  <c r="CD379" i="98"/>
  <c r="CC368" i="98"/>
  <c r="CD368" i="98"/>
  <c r="CC355" i="98"/>
  <c r="CD355" i="98"/>
  <c r="CC359" i="98"/>
  <c r="CD359" i="98"/>
  <c r="CC363" i="98"/>
  <c r="CD363" i="98"/>
  <c r="CC373" i="98"/>
  <c r="CD373" i="98"/>
  <c r="CC384" i="98"/>
  <c r="CD384" i="98"/>
  <c r="CC382" i="98"/>
  <c r="CD382" i="98"/>
  <c r="BT145" i="98"/>
  <c r="BU145" i="98"/>
  <c r="BT149" i="98"/>
  <c r="BU149" i="98"/>
  <c r="BT153" i="98"/>
  <c r="BU153" i="98"/>
  <c r="BT142" i="98"/>
  <c r="BU142" i="98"/>
  <c r="BT159" i="98"/>
  <c r="BU159" i="98"/>
  <c r="BT167" i="98"/>
  <c r="BU167" i="98"/>
  <c r="BT162" i="98"/>
  <c r="BU162" i="98"/>
  <c r="BT170" i="98"/>
  <c r="BU170" i="98"/>
  <c r="CX148" i="98"/>
  <c r="CY148" i="98"/>
  <c r="CX140" i="98"/>
  <c r="CY140" i="98"/>
  <c r="CX168" i="98"/>
  <c r="CY168" i="98"/>
  <c r="CX163" i="98"/>
  <c r="CY163" i="98"/>
  <c r="CI355" i="98"/>
  <c r="CJ355" i="98"/>
  <c r="CI363" i="98"/>
  <c r="CJ363" i="98"/>
  <c r="CI369" i="98"/>
  <c r="CJ369" i="98"/>
  <c r="CI371" i="98"/>
  <c r="CJ371" i="98"/>
  <c r="CU168" i="98"/>
  <c r="CV168" i="98"/>
  <c r="CU162" i="98"/>
  <c r="CV162" i="98"/>
  <c r="CU146" i="98"/>
  <c r="CV146" i="98"/>
  <c r="CU156" i="98"/>
  <c r="CV156" i="98"/>
  <c r="CU143" i="98"/>
  <c r="CV143" i="98"/>
  <c r="CU151" i="98"/>
  <c r="CV151" i="98"/>
  <c r="CC367" i="98"/>
  <c r="CD367" i="98"/>
  <c r="CC369" i="98"/>
  <c r="CD369" i="98"/>
  <c r="CC356" i="98"/>
  <c r="CD356" i="98"/>
  <c r="CC360" i="98"/>
  <c r="CD360" i="98"/>
  <c r="CC365" i="98"/>
  <c r="CD365" i="98"/>
  <c r="CC374" i="98"/>
  <c r="CD374" i="98"/>
  <c r="CC375" i="98"/>
  <c r="CD375" i="98"/>
  <c r="BT146" i="98"/>
  <c r="BU146" i="98"/>
  <c r="BT150" i="98"/>
  <c r="BU150" i="98"/>
  <c r="BT154" i="98"/>
  <c r="BU154" i="98"/>
  <c r="BT155" i="98"/>
  <c r="BU155" i="98"/>
  <c r="BT161" i="98"/>
  <c r="BU161" i="98"/>
  <c r="BT169" i="98"/>
  <c r="BU169" i="98"/>
  <c r="CX143" i="98"/>
  <c r="CY143" i="98"/>
  <c r="CX149" i="98"/>
  <c r="CY149" i="98"/>
  <c r="CX142" i="98"/>
  <c r="CY142" i="98"/>
  <c r="CX170" i="98"/>
  <c r="CY170" i="98"/>
  <c r="CX167" i="98"/>
  <c r="CY167" i="98"/>
  <c r="CI358" i="98"/>
  <c r="CJ358" i="98"/>
  <c r="CI365" i="98"/>
  <c r="CJ365" i="98"/>
  <c r="CI370" i="98"/>
  <c r="CJ370" i="98"/>
  <c r="CI374" i="98"/>
  <c r="CJ374" i="98"/>
  <c r="CO167" i="98"/>
  <c r="CP167" i="98"/>
  <c r="CO168" i="98"/>
  <c r="CP168" i="98"/>
  <c r="BZ145" i="98"/>
  <c r="CA145" i="98"/>
  <c r="BZ149" i="98"/>
  <c r="CA149" i="98"/>
  <c r="BZ153" i="98"/>
  <c r="CA153" i="98"/>
  <c r="BZ142" i="98"/>
  <c r="CA142" i="98"/>
  <c r="BZ164" i="98"/>
  <c r="CA164" i="98"/>
  <c r="BZ156" i="98"/>
  <c r="CA156" i="98"/>
  <c r="CU371" i="98"/>
  <c r="CV371" i="98"/>
  <c r="CF148" i="98"/>
  <c r="CG148" i="98"/>
  <c r="CC156" i="98"/>
  <c r="CD156" i="98"/>
  <c r="CC165" i="98"/>
  <c r="CD165" i="98"/>
  <c r="CC159" i="98"/>
  <c r="CD159" i="98"/>
  <c r="CC145" i="98"/>
  <c r="CD145" i="98"/>
  <c r="CC153" i="98"/>
  <c r="CD153" i="98"/>
  <c r="CC144" i="98"/>
  <c r="CD144" i="98"/>
  <c r="CC152" i="98"/>
  <c r="CD152" i="98"/>
  <c r="CX364" i="98"/>
  <c r="CY364" i="98"/>
  <c r="CX371" i="98"/>
  <c r="CY371" i="98"/>
  <c r="CO367" i="98"/>
  <c r="CP367" i="98"/>
  <c r="CO370" i="98"/>
  <c r="CP370" i="98"/>
  <c r="CO358" i="98"/>
  <c r="CP358" i="98"/>
  <c r="CO363" i="98"/>
  <c r="CP363" i="98"/>
  <c r="CO373" i="98"/>
  <c r="CP373" i="98"/>
  <c r="CO381" i="98"/>
  <c r="CP381" i="98"/>
  <c r="CR226" i="98"/>
  <c r="CS226" i="98"/>
  <c r="CI142" i="98"/>
  <c r="CJ142" i="98"/>
  <c r="CI170" i="98"/>
  <c r="CJ170" i="98"/>
  <c r="CI164" i="98"/>
  <c r="CJ164" i="98"/>
  <c r="CI148" i="98"/>
  <c r="CJ148" i="98"/>
  <c r="CI161" i="98"/>
  <c r="CJ161" i="98"/>
  <c r="CI145" i="98"/>
  <c r="CJ145" i="98"/>
  <c r="CI153" i="98"/>
  <c r="CJ153" i="98"/>
  <c r="CX145" i="98"/>
  <c r="CY145" i="98"/>
  <c r="CX151" i="98"/>
  <c r="CY151" i="98"/>
  <c r="CX141" i="98"/>
  <c r="CY141" i="98"/>
  <c r="CX164" i="98"/>
  <c r="CY164" i="98"/>
  <c r="CX159" i="98"/>
  <c r="CY159" i="98"/>
  <c r="CX169" i="98"/>
  <c r="CY169" i="98"/>
  <c r="CI356" i="98"/>
  <c r="CJ356" i="98"/>
  <c r="CI362" i="98"/>
  <c r="CJ362" i="98"/>
  <c r="CI364" i="98"/>
  <c r="CJ364" i="98"/>
  <c r="CI378" i="98"/>
  <c r="CJ378" i="98"/>
  <c r="CI373" i="98"/>
  <c r="CJ373" i="98"/>
  <c r="CO141" i="98"/>
  <c r="CP141" i="98"/>
  <c r="CO143" i="98"/>
  <c r="CP143" i="98"/>
  <c r="CO170" i="98"/>
  <c r="CP170" i="98"/>
  <c r="CF141" i="98"/>
  <c r="CG141" i="98"/>
  <c r="CU364" i="98"/>
  <c r="CV364" i="98"/>
  <c r="CX362" i="98"/>
  <c r="CY362" i="98"/>
  <c r="CX363" i="98"/>
  <c r="CY363" i="98"/>
  <c r="CX376" i="98"/>
  <c r="CY376" i="98"/>
  <c r="CO140" i="98"/>
  <c r="CP140" i="98"/>
  <c r="CO153" i="98"/>
  <c r="CP153" i="98"/>
  <c r="CO160" i="98"/>
  <c r="CP160" i="98"/>
  <c r="CF168" i="98"/>
  <c r="CG168" i="98"/>
  <c r="CU376" i="98"/>
  <c r="CV376" i="98"/>
  <c r="CU358" i="98"/>
  <c r="CV358" i="98"/>
  <c r="CU366" i="98"/>
  <c r="CV366" i="98"/>
  <c r="CU372" i="98"/>
  <c r="CV372" i="98"/>
  <c r="CX354" i="98"/>
  <c r="CY354" i="98"/>
  <c r="CX372" i="98"/>
  <c r="CY372" i="98"/>
  <c r="CX366" i="98"/>
  <c r="CY366" i="98"/>
  <c r="CX365" i="98"/>
  <c r="CY365" i="98"/>
  <c r="CX375" i="98"/>
  <c r="CY375" i="98"/>
  <c r="CX378" i="98"/>
  <c r="CY378" i="98"/>
  <c r="CO157" i="98"/>
  <c r="CP157" i="98"/>
  <c r="CO163" i="98"/>
  <c r="CP163" i="98"/>
  <c r="CO145" i="98"/>
  <c r="CP145" i="98"/>
  <c r="CO154" i="98"/>
  <c r="CP154" i="98"/>
  <c r="CO146" i="98"/>
  <c r="CP146" i="98"/>
  <c r="CO164" i="98"/>
  <c r="CP164" i="98"/>
  <c r="CF149" i="98"/>
  <c r="CG149" i="98"/>
  <c r="CF142" i="98"/>
  <c r="CG142" i="98"/>
  <c r="CF167" i="98"/>
  <c r="CG167" i="98"/>
  <c r="CF170" i="98"/>
  <c r="CG170" i="98"/>
  <c r="CU367" i="98"/>
  <c r="CV367" i="98"/>
  <c r="CU361" i="98"/>
  <c r="CV361" i="98"/>
  <c r="CU377" i="98"/>
  <c r="CV377" i="98"/>
  <c r="CF144" i="98"/>
  <c r="CG144" i="98"/>
  <c r="CF152" i="98"/>
  <c r="CG152" i="98"/>
  <c r="CF157" i="98"/>
  <c r="CG157" i="98"/>
  <c r="CF160" i="98"/>
  <c r="CG160" i="98"/>
  <c r="CU370" i="98"/>
  <c r="CV370" i="98"/>
  <c r="CU354" i="98"/>
  <c r="CV354" i="98"/>
  <c r="CU362" i="98"/>
  <c r="CV362" i="98"/>
  <c r="CU375" i="98"/>
  <c r="CV375" i="98"/>
  <c r="CU382" i="98"/>
  <c r="CV382" i="98"/>
  <c r="CX360" i="98"/>
  <c r="CY360" i="98"/>
  <c r="CX357" i="98"/>
  <c r="CY357" i="98"/>
  <c r="CX359" i="98"/>
  <c r="CY359" i="98"/>
  <c r="CX373" i="98"/>
  <c r="CY373" i="98"/>
  <c r="CX379" i="98"/>
  <c r="CY379" i="98"/>
  <c r="CX382" i="98"/>
  <c r="CY382" i="98"/>
  <c r="CO169" i="98"/>
  <c r="CP169" i="98"/>
  <c r="CO142" i="98"/>
  <c r="CP142" i="98"/>
  <c r="CO151" i="98"/>
  <c r="CP151" i="98"/>
  <c r="CO166" i="98"/>
  <c r="CP166" i="98"/>
  <c r="CO150" i="98"/>
  <c r="CP150" i="98"/>
  <c r="CF145" i="98"/>
  <c r="CG145" i="98"/>
  <c r="CF153" i="98"/>
  <c r="CG153" i="98"/>
  <c r="CF159" i="98"/>
  <c r="CG159" i="98"/>
  <c r="CF162" i="98"/>
  <c r="CG162" i="98"/>
  <c r="CU378" i="98"/>
  <c r="CV378" i="98"/>
  <c r="CU355" i="98"/>
  <c r="CV355" i="98"/>
  <c r="CU359" i="98"/>
  <c r="CV359" i="98"/>
  <c r="CU363" i="98"/>
  <c r="CV363" i="98"/>
  <c r="CU368" i="98"/>
  <c r="CV368" i="98"/>
  <c r="CU379" i="98"/>
  <c r="CV379" i="98"/>
  <c r="CU373" i="98"/>
  <c r="CV373" i="98"/>
  <c r="CU384" i="98"/>
  <c r="CV384" i="98"/>
  <c r="BQ221" i="98"/>
  <c r="BR221" i="98"/>
  <c r="CF146" i="98"/>
  <c r="CG146" i="98"/>
  <c r="CF150" i="98"/>
  <c r="CG150" i="98"/>
  <c r="CF154" i="98"/>
  <c r="CG154" i="98"/>
  <c r="CF155" i="98"/>
  <c r="CG155" i="98"/>
  <c r="CF161" i="98"/>
  <c r="CG161" i="98"/>
  <c r="CF169" i="98"/>
  <c r="CG169" i="98"/>
  <c r="CF164" i="98"/>
  <c r="CG164" i="98"/>
  <c r="CU380" i="98"/>
  <c r="CV380" i="98"/>
  <c r="CU356" i="98"/>
  <c r="CV356" i="98"/>
  <c r="CU360" i="98"/>
  <c r="CV360" i="98"/>
  <c r="CU365" i="98"/>
  <c r="CV365" i="98"/>
  <c r="CU369" i="98"/>
  <c r="CV369" i="98"/>
  <c r="CU381" i="98"/>
  <c r="CV381" i="98"/>
  <c r="CU374" i="98"/>
  <c r="CV374" i="98"/>
  <c r="CX356" i="98"/>
  <c r="CY356" i="98"/>
  <c r="CX369" i="98"/>
  <c r="CY369" i="98"/>
  <c r="CX361" i="98"/>
  <c r="CY361" i="98"/>
  <c r="CX355" i="98"/>
  <c r="CY355" i="98"/>
  <c r="CX368" i="98"/>
  <c r="CY368" i="98"/>
  <c r="CX384" i="98"/>
  <c r="CY384" i="98"/>
  <c r="CX383" i="98"/>
  <c r="CY383" i="98"/>
  <c r="CO366" i="98"/>
  <c r="CP366" i="98"/>
  <c r="CO377" i="98"/>
  <c r="CP377" i="98"/>
  <c r="CO357" i="98"/>
  <c r="CP357" i="98"/>
  <c r="CO361" i="98"/>
  <c r="CP361" i="98"/>
  <c r="CO379" i="98"/>
  <c r="CP379" i="98"/>
  <c r="CO374" i="98"/>
  <c r="CP374" i="98"/>
  <c r="CO380" i="98"/>
  <c r="CP380" i="98"/>
  <c r="CX154" i="98"/>
  <c r="CY154" i="98"/>
  <c r="CX146" i="98"/>
  <c r="CY146" i="98"/>
  <c r="CX150" i="98"/>
  <c r="CY150" i="98"/>
  <c r="CX155" i="98"/>
  <c r="CY155" i="98"/>
  <c r="CX158" i="98"/>
  <c r="CY158" i="98"/>
  <c r="CX166" i="98"/>
  <c r="CY166" i="98"/>
  <c r="CX157" i="98"/>
  <c r="CY157" i="98"/>
  <c r="CI367" i="98"/>
  <c r="CJ367" i="98"/>
  <c r="CI357" i="98"/>
  <c r="CJ357" i="98"/>
  <c r="CI361" i="98"/>
  <c r="CJ361" i="98"/>
  <c r="CI376" i="98"/>
  <c r="CJ376" i="98"/>
  <c r="CI368" i="98"/>
  <c r="CJ368" i="98"/>
  <c r="CI382" i="98"/>
  <c r="CJ382" i="98"/>
  <c r="CI372" i="98"/>
  <c r="CJ372" i="98"/>
  <c r="CO161" i="98"/>
  <c r="CP161" i="98"/>
  <c r="CO159" i="98"/>
  <c r="CP159" i="98"/>
  <c r="CO156" i="98"/>
  <c r="CP156" i="98"/>
  <c r="CO149" i="98"/>
  <c r="CP149" i="98"/>
  <c r="CO158" i="98"/>
  <c r="CP158" i="98"/>
  <c r="CO144" i="98"/>
  <c r="CP144" i="98"/>
  <c r="CO152" i="98"/>
  <c r="CP152" i="98"/>
  <c r="CF143" i="98"/>
  <c r="CG143" i="98"/>
  <c r="CF147" i="98"/>
  <c r="CG147" i="98"/>
  <c r="CF151" i="98"/>
  <c r="CG151" i="98"/>
  <c r="CF140" i="98"/>
  <c r="CG140" i="98"/>
  <c r="CF156" i="98"/>
  <c r="CG156" i="98"/>
  <c r="CF163" i="98"/>
  <c r="CG163" i="98"/>
  <c r="CF158" i="98"/>
  <c r="CG158" i="98"/>
  <c r="BO349" i="98"/>
  <c r="CZ349" i="98"/>
  <c r="BO39" i="98"/>
  <c r="CZ39" i="98"/>
  <c r="BO133" i="98"/>
  <c r="CZ133" i="98"/>
  <c r="BO161" i="98"/>
  <c r="CZ161" i="98"/>
  <c r="CX220" i="98"/>
  <c r="CY220" i="98"/>
  <c r="BO282" i="98"/>
  <c r="CZ282" i="98"/>
  <c r="BO375" i="98"/>
  <c r="CZ375" i="98"/>
  <c r="BO195" i="98"/>
  <c r="CZ195" i="98"/>
  <c r="CO204" i="98"/>
  <c r="CP204" i="98"/>
  <c r="BO317" i="98"/>
  <c r="CZ317" i="98"/>
  <c r="BO74" i="98"/>
  <c r="CZ74" i="98"/>
  <c r="BO225" i="98"/>
  <c r="CZ225" i="98"/>
  <c r="BO102" i="98"/>
  <c r="CZ102" i="98"/>
  <c r="CX215" i="98"/>
  <c r="CY215" i="98"/>
  <c r="CU228" i="98"/>
  <c r="CV228" i="98"/>
  <c r="BZ209" i="98"/>
  <c r="CA209" i="98"/>
  <c r="BQ220" i="98"/>
  <c r="BR220" i="98"/>
  <c r="CX228" i="98"/>
  <c r="CY228" i="98"/>
  <c r="BW345" i="98"/>
  <c r="BX345" i="98"/>
  <c r="CO218" i="98"/>
  <c r="CP218" i="98"/>
  <c r="BW349" i="98"/>
  <c r="BX349" i="98"/>
  <c r="BW324" i="98"/>
  <c r="BX324" i="98"/>
  <c r="BW346" i="98"/>
  <c r="BX346" i="98"/>
  <c r="BW347" i="98"/>
  <c r="BX347" i="98"/>
  <c r="BW335" i="98"/>
  <c r="BX335" i="98"/>
  <c r="CO228" i="98"/>
  <c r="CP228" i="98"/>
  <c r="CX205" i="98"/>
  <c r="CY205" i="98"/>
  <c r="BW333" i="98"/>
  <c r="BX333" i="98"/>
  <c r="BW344" i="98"/>
  <c r="BX344" i="98"/>
  <c r="CL207" i="98"/>
  <c r="CM207" i="98"/>
  <c r="BQ227" i="98"/>
  <c r="BR227" i="98"/>
  <c r="CX224" i="98"/>
  <c r="CY224" i="98"/>
  <c r="CX231" i="98"/>
  <c r="CY231" i="98"/>
  <c r="CU347" i="98"/>
  <c r="CV347" i="98"/>
  <c r="CI336" i="98"/>
  <c r="CJ336" i="98"/>
  <c r="BW338" i="98"/>
  <c r="BX338" i="98"/>
  <c r="BW325" i="98"/>
  <c r="BX325" i="98"/>
  <c r="BW330" i="98"/>
  <c r="BX330" i="98"/>
  <c r="BQ205" i="98"/>
  <c r="BR205" i="98"/>
  <c r="CX221" i="98"/>
  <c r="CY221" i="98"/>
  <c r="CX207" i="98"/>
  <c r="CY207" i="98"/>
  <c r="BW340" i="98"/>
  <c r="BX340" i="98"/>
  <c r="BW348" i="98"/>
  <c r="BX348" i="98"/>
  <c r="BW334" i="98"/>
  <c r="BX334" i="98"/>
  <c r="BW339" i="98"/>
  <c r="BX339" i="98"/>
  <c r="CO214" i="98"/>
  <c r="CP214" i="98"/>
  <c r="CO213" i="98"/>
  <c r="CP213" i="98"/>
  <c r="BW216" i="98"/>
  <c r="BX216" i="98"/>
  <c r="BQ202" i="98"/>
  <c r="BR202" i="98"/>
  <c r="BQ213" i="98"/>
  <c r="BR213" i="98"/>
  <c r="CX201" i="98"/>
  <c r="CY201" i="98"/>
  <c r="CX219" i="98"/>
  <c r="CY219" i="98"/>
  <c r="CX208" i="98"/>
  <c r="CY208" i="98"/>
  <c r="CX212" i="98"/>
  <c r="CY212" i="98"/>
  <c r="BW342" i="98"/>
  <c r="BX342" i="98"/>
  <c r="BW328" i="98"/>
  <c r="BX328" i="98"/>
  <c r="BW351" i="98"/>
  <c r="BX351" i="98"/>
  <c r="BW332" i="98"/>
  <c r="BX332" i="98"/>
  <c r="BW350" i="98"/>
  <c r="BX350" i="98"/>
  <c r="BW337" i="98"/>
  <c r="BX337" i="98"/>
  <c r="BW352" i="98"/>
  <c r="BX352" i="98"/>
  <c r="BW326" i="98"/>
  <c r="BX326" i="98"/>
  <c r="CO207" i="98"/>
  <c r="CP207" i="98"/>
  <c r="BQ210" i="98"/>
  <c r="BR210" i="98"/>
  <c r="BQ211" i="98"/>
  <c r="BR211" i="98"/>
  <c r="CX202" i="98"/>
  <c r="CY202" i="98"/>
  <c r="CX211" i="98"/>
  <c r="CY211" i="98"/>
  <c r="CX226" i="98"/>
  <c r="CY226" i="98"/>
  <c r="CX214" i="98"/>
  <c r="CY214" i="98"/>
  <c r="BZ352" i="98"/>
  <c r="CA352" i="98"/>
  <c r="BW336" i="98"/>
  <c r="BX336" i="98"/>
  <c r="BW329" i="98"/>
  <c r="BX329" i="98"/>
  <c r="BW327" i="98"/>
  <c r="BX327" i="98"/>
  <c r="BW341" i="98"/>
  <c r="BX341" i="98"/>
  <c r="BW343" i="98"/>
  <c r="BX343" i="98"/>
  <c r="BW331" i="98"/>
  <c r="BX331" i="98"/>
  <c r="BZ342" i="98"/>
  <c r="CA342" i="98"/>
  <c r="BT336" i="98"/>
  <c r="BU336" i="98"/>
  <c r="BZ341" i="98"/>
  <c r="CA341" i="98"/>
  <c r="BZ343" i="98"/>
  <c r="CA343" i="98"/>
  <c r="CO329" i="98"/>
  <c r="CP329" i="98"/>
  <c r="CI231" i="98"/>
  <c r="CJ231" i="98"/>
  <c r="BT346" i="98"/>
  <c r="BU346" i="98"/>
  <c r="CI225" i="98"/>
  <c r="CJ225" i="98"/>
  <c r="CL227" i="98"/>
  <c r="CM227" i="98"/>
  <c r="CU212" i="98"/>
  <c r="CV212" i="98"/>
  <c r="CC332" i="98"/>
  <c r="CD332" i="98"/>
  <c r="CO339" i="98"/>
  <c r="CP339" i="98"/>
  <c r="CC331" i="98"/>
  <c r="CD331" i="98"/>
  <c r="BQ339" i="98"/>
  <c r="BR339" i="98"/>
  <c r="CO220" i="98"/>
  <c r="CP220" i="98"/>
  <c r="CO211" i="98"/>
  <c r="CP211" i="98"/>
  <c r="CO224" i="98"/>
  <c r="CP224" i="98"/>
  <c r="BQ207" i="98"/>
  <c r="BR207" i="98"/>
  <c r="BQ206" i="98"/>
  <c r="BR206" i="98"/>
  <c r="BQ223" i="98"/>
  <c r="BR223" i="98"/>
  <c r="BQ228" i="98"/>
  <c r="BR228" i="98"/>
  <c r="CX223" i="98"/>
  <c r="CY223" i="98"/>
  <c r="CX209" i="98"/>
  <c r="CY209" i="98"/>
  <c r="CX225" i="98"/>
  <c r="CY225" i="98"/>
  <c r="CX206" i="98"/>
  <c r="CY206" i="98"/>
  <c r="CX229" i="98"/>
  <c r="CY229" i="98"/>
  <c r="CX210" i="98"/>
  <c r="CY210" i="98"/>
  <c r="CX230" i="98"/>
  <c r="CY230" i="98"/>
  <c r="CU342" i="98"/>
  <c r="CV342" i="98"/>
  <c r="CU340" i="98"/>
  <c r="CV340" i="98"/>
  <c r="BZ348" i="98"/>
  <c r="CA348" i="98"/>
  <c r="CU331" i="98"/>
  <c r="CV331" i="98"/>
  <c r="BT342" i="98"/>
  <c r="BU342" i="98"/>
  <c r="BT347" i="98"/>
  <c r="BU347" i="98"/>
  <c r="CO331" i="98"/>
  <c r="CP331" i="98"/>
  <c r="CO326" i="98"/>
  <c r="CP326" i="98"/>
  <c r="CU344" i="98"/>
  <c r="CV344" i="98"/>
  <c r="CU352" i="98"/>
  <c r="CV352" i="98"/>
  <c r="CU335" i="98"/>
  <c r="CV335" i="98"/>
  <c r="BZ335" i="98"/>
  <c r="CA335" i="98"/>
  <c r="BQ349" i="98"/>
  <c r="BR349" i="98"/>
  <c r="CO210" i="98"/>
  <c r="CP210" i="98"/>
  <c r="CO203" i="98"/>
  <c r="CP203" i="98"/>
  <c r="CO223" i="98"/>
  <c r="CP223" i="98"/>
  <c r="BQ212" i="98"/>
  <c r="BR212" i="98"/>
  <c r="BQ204" i="98"/>
  <c r="BR204" i="98"/>
  <c r="BQ215" i="98"/>
  <c r="BR215" i="98"/>
  <c r="BQ222" i="98"/>
  <c r="BR222" i="98"/>
  <c r="CX204" i="98"/>
  <c r="CY204" i="98"/>
  <c r="CX203" i="98"/>
  <c r="CY203" i="98"/>
  <c r="CX213" i="98"/>
  <c r="CY213" i="98"/>
  <c r="CX222" i="98"/>
  <c r="CY222" i="98"/>
  <c r="CX227" i="98"/>
  <c r="CY227" i="98"/>
  <c r="CX218" i="98"/>
  <c r="CY218" i="98"/>
  <c r="CX217" i="98"/>
  <c r="CY217" i="98"/>
  <c r="CU328" i="98"/>
  <c r="CV328" i="98"/>
  <c r="BZ328" i="98"/>
  <c r="CA328" i="98"/>
  <c r="BZ325" i="98"/>
  <c r="CA325" i="98"/>
  <c r="BZ324" i="98"/>
  <c r="CA324" i="98"/>
  <c r="CI230" i="98"/>
  <c r="CJ230" i="98"/>
  <c r="CI224" i="98"/>
  <c r="CJ224" i="98"/>
  <c r="CU202" i="98"/>
  <c r="CV202" i="98"/>
  <c r="CU215" i="98"/>
  <c r="CV215" i="98"/>
  <c r="CC330" i="98"/>
  <c r="CD330" i="98"/>
  <c r="CC333" i="98"/>
  <c r="CD333" i="98"/>
  <c r="CC343" i="98"/>
  <c r="CD343" i="98"/>
  <c r="CC337" i="98"/>
  <c r="CD337" i="98"/>
  <c r="CC351" i="98"/>
  <c r="CD351" i="98"/>
  <c r="CI210" i="98"/>
  <c r="CJ210" i="98"/>
  <c r="CU214" i="98"/>
  <c r="CV214" i="98"/>
  <c r="CU223" i="98"/>
  <c r="CV223" i="98"/>
  <c r="CC352" i="98"/>
  <c r="CD352" i="98"/>
  <c r="CC341" i="98"/>
  <c r="CD341" i="98"/>
  <c r="CC328" i="98"/>
  <c r="CD328" i="98"/>
  <c r="CC345" i="98"/>
  <c r="CD345" i="98"/>
  <c r="CC334" i="98"/>
  <c r="CD334" i="98"/>
  <c r="CC339" i="98"/>
  <c r="CD339" i="98"/>
  <c r="CC329" i="98"/>
  <c r="CD329" i="98"/>
  <c r="CI229" i="98"/>
  <c r="CJ229" i="98"/>
  <c r="CI202" i="98"/>
  <c r="CJ202" i="98"/>
  <c r="CI218" i="98"/>
  <c r="CJ218" i="98"/>
  <c r="CU230" i="98"/>
  <c r="CV230" i="98"/>
  <c r="CU222" i="98"/>
  <c r="CV222" i="98"/>
  <c r="CC348" i="98"/>
  <c r="CD348" i="98"/>
  <c r="CC340" i="98"/>
  <c r="CD340" i="98"/>
  <c r="CC324" i="98"/>
  <c r="CD324" i="98"/>
  <c r="CO212" i="98"/>
  <c r="CP212" i="98"/>
  <c r="CO201" i="98"/>
  <c r="CP201" i="98"/>
  <c r="CO206" i="98"/>
  <c r="CP206" i="98"/>
  <c r="CO215" i="98"/>
  <c r="CP215" i="98"/>
  <c r="CO225" i="98"/>
  <c r="CP225" i="98"/>
  <c r="CO227" i="98"/>
  <c r="CP227" i="98"/>
  <c r="BT340" i="98"/>
  <c r="BU340" i="98"/>
  <c r="CO342" i="98"/>
  <c r="CP342" i="98"/>
  <c r="CC344" i="98"/>
  <c r="CD344" i="98"/>
  <c r="CO347" i="98"/>
  <c r="CP347" i="98"/>
  <c r="CC336" i="98"/>
  <c r="CD336" i="98"/>
  <c r="CC326" i="98"/>
  <c r="CD326" i="98"/>
  <c r="CC342" i="98"/>
  <c r="CD342" i="98"/>
  <c r="CO336" i="98"/>
  <c r="CP336" i="98"/>
  <c r="CC327" i="98"/>
  <c r="CD327" i="98"/>
  <c r="CC335" i="98"/>
  <c r="CD335" i="98"/>
  <c r="CO332" i="98"/>
  <c r="CP332" i="98"/>
  <c r="CO349" i="98"/>
  <c r="CP349" i="98"/>
  <c r="CO335" i="98"/>
  <c r="CP335" i="98"/>
  <c r="CO231" i="98"/>
  <c r="CP231" i="98"/>
  <c r="CO230" i="98"/>
  <c r="CP230" i="98"/>
  <c r="CO217" i="98"/>
  <c r="CP217" i="98"/>
  <c r="CO221" i="98"/>
  <c r="CP221" i="98"/>
  <c r="CO222" i="98"/>
  <c r="CP222" i="98"/>
  <c r="CO229" i="98"/>
  <c r="CP229" i="98"/>
  <c r="BT349" i="98"/>
  <c r="BU349" i="98"/>
  <c r="CO333" i="98"/>
  <c r="CP333" i="98"/>
  <c r="CC338" i="98"/>
  <c r="CD338" i="98"/>
  <c r="CC347" i="98"/>
  <c r="CD347" i="98"/>
  <c r="CO350" i="98"/>
  <c r="CP350" i="98"/>
  <c r="CC346" i="98"/>
  <c r="CD346" i="98"/>
  <c r="CC325" i="98"/>
  <c r="CD325" i="98"/>
  <c r="CO351" i="98"/>
  <c r="CP351" i="98"/>
  <c r="BQ347" i="98"/>
  <c r="BR347" i="98"/>
  <c r="CC353" i="98"/>
  <c r="CD353" i="98"/>
  <c r="BQ333" i="98"/>
  <c r="BR333" i="98"/>
  <c r="CC349" i="98"/>
  <c r="CD349" i="98"/>
  <c r="CO343" i="98"/>
  <c r="CP343" i="98"/>
  <c r="BQ338" i="98"/>
  <c r="BR338" i="98"/>
  <c r="BQ344" i="98"/>
  <c r="BR344" i="98"/>
  <c r="CO338" i="98"/>
  <c r="CP338" i="98"/>
  <c r="BW226" i="98"/>
  <c r="BX226" i="98"/>
  <c r="CF205" i="98"/>
  <c r="CG205" i="98"/>
  <c r="CX344" i="98"/>
  <c r="CY344" i="98"/>
  <c r="BW223" i="98"/>
  <c r="BX223" i="98"/>
  <c r="CF223" i="98"/>
  <c r="CG223" i="98"/>
  <c r="CR348" i="98"/>
  <c r="CS348" i="98"/>
  <c r="BW204" i="98"/>
  <c r="BX204" i="98"/>
  <c r="BW228" i="98"/>
  <c r="BX228" i="98"/>
  <c r="CF213" i="98"/>
  <c r="CG213" i="98"/>
  <c r="CF231" i="98"/>
  <c r="CG231" i="98"/>
  <c r="CR336" i="98"/>
  <c r="CS336" i="98"/>
  <c r="CR337" i="98"/>
  <c r="CS337" i="98"/>
  <c r="CX327" i="98"/>
  <c r="CY327" i="98"/>
  <c r="CX338" i="98"/>
  <c r="CY338" i="98"/>
  <c r="BT208" i="98"/>
  <c r="BU208" i="98"/>
  <c r="CF226" i="98"/>
  <c r="CG226" i="98"/>
  <c r="CF220" i="98"/>
  <c r="CG220" i="98"/>
  <c r="CU339" i="98"/>
  <c r="CV339" i="98"/>
  <c r="CU351" i="98"/>
  <c r="CV351" i="98"/>
  <c r="CU324" i="98"/>
  <c r="CV324" i="98"/>
  <c r="CU336" i="98"/>
  <c r="CV336" i="98"/>
  <c r="CU329" i="98"/>
  <c r="CV329" i="98"/>
  <c r="CX335" i="98"/>
  <c r="CY335" i="98"/>
  <c r="BZ339" i="98"/>
  <c r="CA339" i="98"/>
  <c r="BZ351" i="98"/>
  <c r="CA351" i="98"/>
  <c r="BZ337" i="98"/>
  <c r="CA337" i="98"/>
  <c r="BZ340" i="98"/>
  <c r="CA340" i="98"/>
  <c r="BZ336" i="98"/>
  <c r="CA336" i="98"/>
  <c r="BW203" i="98"/>
  <c r="BX203" i="98"/>
  <c r="BW214" i="98"/>
  <c r="BX214" i="98"/>
  <c r="BW208" i="98"/>
  <c r="BX208" i="98"/>
  <c r="BT224" i="98"/>
  <c r="BU224" i="98"/>
  <c r="BW206" i="98"/>
  <c r="BX206" i="98"/>
  <c r="BW209" i="98"/>
  <c r="BX209" i="98"/>
  <c r="BW219" i="98"/>
  <c r="BX219" i="98"/>
  <c r="CF201" i="98"/>
  <c r="CG201" i="98"/>
  <c r="CF207" i="98"/>
  <c r="CG207" i="98"/>
  <c r="CU334" i="98"/>
  <c r="CV334" i="98"/>
  <c r="CU345" i="98"/>
  <c r="CV345" i="98"/>
  <c r="CU325" i="98"/>
  <c r="CV325" i="98"/>
  <c r="CU330" i="98"/>
  <c r="CV330" i="98"/>
  <c r="CU332" i="98"/>
  <c r="CV332" i="98"/>
  <c r="CX325" i="98"/>
  <c r="CY325" i="98"/>
  <c r="CU350" i="98"/>
  <c r="CV350" i="98"/>
  <c r="BZ327" i="98"/>
  <c r="CA327" i="98"/>
  <c r="BZ338" i="98"/>
  <c r="CA338" i="98"/>
  <c r="BZ333" i="98"/>
  <c r="CA333" i="98"/>
  <c r="CX331" i="98"/>
  <c r="CY331" i="98"/>
  <c r="CR333" i="98"/>
  <c r="CS333" i="98"/>
  <c r="CR349" i="98"/>
  <c r="CS349" i="98"/>
  <c r="CR344" i="98"/>
  <c r="CS344" i="98"/>
  <c r="CI207" i="98"/>
  <c r="CJ207" i="98"/>
  <c r="CI220" i="98"/>
  <c r="CJ220" i="98"/>
  <c r="CI213" i="98"/>
  <c r="CJ213" i="98"/>
  <c r="CI211" i="98"/>
  <c r="CJ211" i="98"/>
  <c r="CL221" i="98"/>
  <c r="CM221" i="98"/>
  <c r="CF204" i="98"/>
  <c r="CG204" i="98"/>
  <c r="CF222" i="98"/>
  <c r="CG222" i="98"/>
  <c r="CF215" i="98"/>
  <c r="CG215" i="98"/>
  <c r="CF214" i="98"/>
  <c r="CG214" i="98"/>
  <c r="CU205" i="98"/>
  <c r="CV205" i="98"/>
  <c r="CU207" i="98"/>
  <c r="CV207" i="98"/>
  <c r="CU226" i="98"/>
  <c r="CV226" i="98"/>
  <c r="CU219" i="98"/>
  <c r="CV219" i="98"/>
  <c r="BT325" i="98"/>
  <c r="BU325" i="98"/>
  <c r="CO337" i="98"/>
  <c r="CP337" i="98"/>
  <c r="CO330" i="98"/>
  <c r="CP330" i="98"/>
  <c r="CO348" i="98"/>
  <c r="CP348" i="98"/>
  <c r="CO344" i="98"/>
  <c r="CP344" i="98"/>
  <c r="CX350" i="98"/>
  <c r="CY350" i="98"/>
  <c r="BT351" i="98"/>
  <c r="BU351" i="98"/>
  <c r="CO328" i="98"/>
  <c r="CP328" i="98"/>
  <c r="BQ337" i="98"/>
  <c r="BR337" i="98"/>
  <c r="CO345" i="98"/>
  <c r="CP345" i="98"/>
  <c r="BQ351" i="98"/>
  <c r="BR351" i="98"/>
  <c r="CO341" i="98"/>
  <c r="CP341" i="98"/>
  <c r="CO353" i="98"/>
  <c r="CP353" i="98"/>
  <c r="BQ332" i="98"/>
  <c r="BR332" i="98"/>
  <c r="CR334" i="98"/>
  <c r="CS334" i="98"/>
  <c r="CO324" i="98"/>
  <c r="CP324" i="98"/>
  <c r="CI205" i="98"/>
  <c r="CJ205" i="98"/>
  <c r="CI212" i="98"/>
  <c r="CJ212" i="98"/>
  <c r="CI227" i="98"/>
  <c r="CJ227" i="98"/>
  <c r="CI221" i="98"/>
  <c r="CJ221" i="98"/>
  <c r="CL231" i="98"/>
  <c r="CM231" i="98"/>
  <c r="CF218" i="98"/>
  <c r="CG218" i="98"/>
  <c r="CF228" i="98"/>
  <c r="CG228" i="98"/>
  <c r="CF212" i="98"/>
  <c r="CG212" i="98"/>
  <c r="CU231" i="98"/>
  <c r="CV231" i="98"/>
  <c r="CU209" i="98"/>
  <c r="CV209" i="98"/>
  <c r="CU208" i="98"/>
  <c r="CV208" i="98"/>
  <c r="BT338" i="98"/>
  <c r="BU338" i="98"/>
  <c r="BT332" i="98"/>
  <c r="BU332" i="98"/>
  <c r="CO346" i="98"/>
  <c r="CP346" i="98"/>
  <c r="CO327" i="98"/>
  <c r="CP327" i="98"/>
  <c r="CR341" i="98"/>
  <c r="CS341" i="98"/>
  <c r="CO334" i="98"/>
  <c r="CP334" i="98"/>
  <c r="CR330" i="98"/>
  <c r="CS330" i="98"/>
  <c r="CX324" i="98"/>
  <c r="CY324" i="98"/>
  <c r="CX337" i="98"/>
  <c r="CY337" i="98"/>
  <c r="CX346" i="98"/>
  <c r="CY346" i="98"/>
  <c r="CO340" i="98"/>
  <c r="CP340" i="98"/>
  <c r="BQ330" i="98"/>
  <c r="BR330" i="98"/>
  <c r="CO325" i="98"/>
  <c r="CP325" i="98"/>
  <c r="BQ329" i="98"/>
  <c r="BR329" i="98"/>
  <c r="BQ328" i="98"/>
  <c r="BR328" i="98"/>
  <c r="CR352" i="98"/>
  <c r="CS352" i="98"/>
  <c r="CI348" i="98"/>
  <c r="CJ348" i="98"/>
  <c r="CI338" i="98"/>
  <c r="CJ338" i="98"/>
  <c r="CI344" i="98"/>
  <c r="CJ344" i="98"/>
  <c r="CI326" i="98"/>
  <c r="CJ326" i="98"/>
  <c r="CI346" i="98"/>
  <c r="CJ346" i="98"/>
  <c r="CL229" i="98"/>
  <c r="CM229" i="98"/>
  <c r="CL209" i="98"/>
  <c r="CM209" i="98"/>
  <c r="CL225" i="98"/>
  <c r="CM225" i="98"/>
  <c r="CL214" i="98"/>
  <c r="CM214" i="98"/>
  <c r="BZ205" i="98"/>
  <c r="CA205" i="98"/>
  <c r="BZ225" i="98"/>
  <c r="CA225" i="98"/>
  <c r="CU326" i="98"/>
  <c r="CV326" i="98"/>
  <c r="BZ350" i="98"/>
  <c r="CA350" i="98"/>
  <c r="BZ330" i="98"/>
  <c r="CA330" i="98"/>
  <c r="CU346" i="98"/>
  <c r="CV346" i="98"/>
  <c r="BZ344" i="98"/>
  <c r="CA344" i="98"/>
  <c r="BZ332" i="98"/>
  <c r="CA332" i="98"/>
  <c r="CI349" i="98"/>
  <c r="CJ349" i="98"/>
  <c r="CI328" i="98"/>
  <c r="CJ328" i="98"/>
  <c r="CI351" i="98"/>
  <c r="CJ351" i="98"/>
  <c r="CI332" i="98"/>
  <c r="CJ332" i="98"/>
  <c r="CI330" i="98"/>
  <c r="CJ330" i="98"/>
  <c r="CI343" i="98"/>
  <c r="CJ343" i="98"/>
  <c r="CI341" i="98"/>
  <c r="CJ341" i="98"/>
  <c r="BZ224" i="98"/>
  <c r="CA224" i="98"/>
  <c r="BZ210" i="98"/>
  <c r="CA210" i="98"/>
  <c r="CI342" i="98"/>
  <c r="CJ342" i="98"/>
  <c r="CI324" i="98"/>
  <c r="CJ324" i="98"/>
  <c r="CI345" i="98"/>
  <c r="CJ345" i="98"/>
  <c r="CI333" i="98"/>
  <c r="CJ333" i="98"/>
  <c r="CI325" i="98"/>
  <c r="CJ325" i="98"/>
  <c r="CI347" i="98"/>
  <c r="CJ347" i="98"/>
  <c r="CI339" i="98"/>
  <c r="CJ339" i="98"/>
  <c r="CL204" i="98"/>
  <c r="CM204" i="98"/>
  <c r="CL213" i="98"/>
  <c r="CM213" i="98"/>
  <c r="CL222" i="98"/>
  <c r="CM222" i="98"/>
  <c r="CL220" i="98"/>
  <c r="CM220" i="98"/>
  <c r="CL228" i="98"/>
  <c r="CM228" i="98"/>
  <c r="CL226" i="98"/>
  <c r="CM226" i="98"/>
  <c r="CL218" i="98"/>
  <c r="CM218" i="98"/>
  <c r="CL212" i="98"/>
  <c r="CM212" i="98"/>
  <c r="BZ229" i="98"/>
  <c r="CA229" i="98"/>
  <c r="BZ230" i="98"/>
  <c r="CA230" i="98"/>
  <c r="CU349" i="98"/>
  <c r="CV349" i="98"/>
  <c r="CU333" i="98"/>
  <c r="CV333" i="98"/>
  <c r="CU348" i="98"/>
  <c r="CV348" i="98"/>
  <c r="CU337" i="98"/>
  <c r="CV337" i="98"/>
  <c r="CR339" i="98"/>
  <c r="CS339" i="98"/>
  <c r="CR335" i="98"/>
  <c r="CS335" i="98"/>
  <c r="CX340" i="98"/>
  <c r="CY340" i="98"/>
  <c r="CU343" i="98"/>
  <c r="CV343" i="98"/>
  <c r="CX349" i="98"/>
  <c r="CY349" i="98"/>
  <c r="CU327" i="98"/>
  <c r="CV327" i="98"/>
  <c r="CX333" i="98"/>
  <c r="CY333" i="98"/>
  <c r="CU341" i="98"/>
  <c r="CV341" i="98"/>
  <c r="CU338" i="98"/>
  <c r="CV338" i="98"/>
  <c r="BZ345" i="98"/>
  <c r="CA345" i="98"/>
  <c r="BZ349" i="98"/>
  <c r="CA349" i="98"/>
  <c r="BZ353" i="98"/>
  <c r="CA353" i="98"/>
  <c r="BZ334" i="98"/>
  <c r="CA334" i="98"/>
  <c r="BZ346" i="98"/>
  <c r="CA346" i="98"/>
  <c r="BZ331" i="98"/>
  <c r="CA331" i="98"/>
  <c r="CR346" i="98"/>
  <c r="CS346" i="98"/>
  <c r="CI340" i="98"/>
  <c r="CJ340" i="98"/>
  <c r="CR353" i="98"/>
  <c r="CS353" i="98"/>
  <c r="CI329" i="98"/>
  <c r="CJ329" i="98"/>
  <c r="CI327" i="98"/>
  <c r="CJ327" i="98"/>
  <c r="CI350" i="98"/>
  <c r="CJ350" i="98"/>
  <c r="CI337" i="98"/>
  <c r="CJ337" i="98"/>
  <c r="BQ353" i="98"/>
  <c r="BR353" i="98"/>
  <c r="BQ352" i="98"/>
  <c r="BR352" i="98"/>
  <c r="BQ340" i="98"/>
  <c r="BR340" i="98"/>
  <c r="BQ341" i="98"/>
  <c r="BR341" i="98"/>
  <c r="BT352" i="98"/>
  <c r="BU352" i="98"/>
  <c r="BT329" i="98"/>
  <c r="BU329" i="98"/>
  <c r="CI217" i="98"/>
  <c r="CJ217" i="98"/>
  <c r="CI206" i="98"/>
  <c r="CJ206" i="98"/>
  <c r="CI201" i="98"/>
  <c r="CJ201" i="98"/>
  <c r="CI216" i="98"/>
  <c r="CJ216" i="98"/>
  <c r="CI222" i="98"/>
  <c r="CJ222" i="98"/>
  <c r="CI228" i="98"/>
  <c r="CJ228" i="98"/>
  <c r="CI215" i="98"/>
  <c r="CJ215" i="98"/>
  <c r="CI223" i="98"/>
  <c r="CJ223" i="98"/>
  <c r="CL205" i="98"/>
  <c r="CM205" i="98"/>
  <c r="CL203" i="98"/>
  <c r="CM203" i="98"/>
  <c r="CL215" i="98"/>
  <c r="CM215" i="98"/>
  <c r="CL223" i="98"/>
  <c r="CM223" i="98"/>
  <c r="CL224" i="98"/>
  <c r="CM224" i="98"/>
  <c r="CL210" i="98"/>
  <c r="CM210" i="98"/>
  <c r="CL230" i="98"/>
  <c r="CM230" i="98"/>
  <c r="CF206" i="98"/>
  <c r="CG206" i="98"/>
  <c r="CF203" i="98"/>
  <c r="CG203" i="98"/>
  <c r="CF209" i="98"/>
  <c r="CG209" i="98"/>
  <c r="CF224" i="98"/>
  <c r="CG224" i="98"/>
  <c r="CF229" i="98"/>
  <c r="CG229" i="98"/>
  <c r="CF221" i="98"/>
  <c r="CG221" i="98"/>
  <c r="CF216" i="98"/>
  <c r="CG216" i="98"/>
  <c r="CF217" i="98"/>
  <c r="CG217" i="98"/>
  <c r="CU217" i="98"/>
  <c r="CV217" i="98"/>
  <c r="CU206" i="98"/>
  <c r="CV206" i="98"/>
  <c r="CU201" i="98"/>
  <c r="CV201" i="98"/>
  <c r="CU210" i="98"/>
  <c r="CV210" i="98"/>
  <c r="CU213" i="98"/>
  <c r="CV213" i="98"/>
  <c r="CU227" i="98"/>
  <c r="CV227" i="98"/>
  <c r="CU211" i="98"/>
  <c r="CV211" i="98"/>
  <c r="CU221" i="98"/>
  <c r="CV221" i="98"/>
  <c r="BZ204" i="98"/>
  <c r="CA204" i="98"/>
  <c r="BZ228" i="98"/>
  <c r="CA228" i="98"/>
  <c r="BZ215" i="98"/>
  <c r="CA215" i="98"/>
  <c r="BZ220" i="98"/>
  <c r="CA220" i="98"/>
  <c r="BT327" i="98"/>
  <c r="BU327" i="98"/>
  <c r="BT333" i="98"/>
  <c r="BU333" i="98"/>
  <c r="BT345" i="98"/>
  <c r="BU345" i="98"/>
  <c r="CR326" i="98"/>
  <c r="CS326" i="98"/>
  <c r="CR329" i="98"/>
  <c r="CS329" i="98"/>
  <c r="CR342" i="98"/>
  <c r="CS342" i="98"/>
  <c r="CR351" i="98"/>
  <c r="CS351" i="98"/>
  <c r="CX328" i="98"/>
  <c r="CY328" i="98"/>
  <c r="CX332" i="98"/>
  <c r="CY332" i="98"/>
  <c r="BT331" i="98"/>
  <c r="BU331" i="98"/>
  <c r="CX341" i="98"/>
  <c r="CY341" i="98"/>
  <c r="CX339" i="98"/>
  <c r="CY339" i="98"/>
  <c r="CX351" i="98"/>
  <c r="CY351" i="98"/>
  <c r="CX343" i="98"/>
  <c r="CY343" i="98"/>
  <c r="BT348" i="98"/>
  <c r="BU348" i="98"/>
  <c r="CX336" i="98"/>
  <c r="CY336" i="98"/>
  <c r="CX352" i="98"/>
  <c r="CY352" i="98"/>
  <c r="CR343" i="98"/>
  <c r="CS343" i="98"/>
  <c r="BQ342" i="98"/>
  <c r="BR342" i="98"/>
  <c r="BQ334" i="98"/>
  <c r="BR334" i="98"/>
  <c r="BQ335" i="98"/>
  <c r="BR335" i="98"/>
  <c r="BQ348" i="98"/>
  <c r="BR348" i="98"/>
  <c r="BQ336" i="98"/>
  <c r="BR336" i="98"/>
  <c r="BQ327" i="98"/>
  <c r="BR327" i="98"/>
  <c r="CF347" i="98"/>
  <c r="CG347" i="98"/>
  <c r="CF335" i="98"/>
  <c r="CG335" i="98"/>
  <c r="CF352" i="98"/>
  <c r="CG352" i="98"/>
  <c r="CF333" i="98"/>
  <c r="CG333" i="98"/>
  <c r="CF346" i="98"/>
  <c r="CG346" i="98"/>
  <c r="CF340" i="98"/>
  <c r="CG340" i="98"/>
  <c r="CF334" i="98"/>
  <c r="CG334" i="98"/>
  <c r="CF336" i="98"/>
  <c r="CG336" i="98"/>
  <c r="CF344" i="98"/>
  <c r="CG344" i="98"/>
  <c r="CF328" i="98"/>
  <c r="CG328" i="98"/>
  <c r="CF348" i="98"/>
  <c r="CG348" i="98"/>
  <c r="CF330" i="98"/>
  <c r="CG330" i="98"/>
  <c r="CF332" i="98"/>
  <c r="CG332" i="98"/>
  <c r="CF339" i="98"/>
  <c r="CG339" i="98"/>
  <c r="CF329" i="98"/>
  <c r="CG329" i="98"/>
  <c r="CF342" i="98"/>
  <c r="CG342" i="98"/>
  <c r="CF350" i="98"/>
  <c r="CG350" i="98"/>
  <c r="CF326" i="98"/>
  <c r="CG326" i="98"/>
  <c r="CF343" i="98"/>
  <c r="CG343" i="98"/>
  <c r="CF327" i="98"/>
  <c r="CG327" i="98"/>
  <c r="CF331" i="98"/>
  <c r="CG331" i="98"/>
  <c r="CF338" i="98"/>
  <c r="CG338" i="98"/>
  <c r="CF353" i="98"/>
  <c r="CG353" i="98"/>
  <c r="CF349" i="98"/>
  <c r="CG349" i="98"/>
  <c r="CF325" i="98"/>
  <c r="CG325" i="98"/>
  <c r="CF341" i="98"/>
  <c r="CG341" i="98"/>
  <c r="CF324" i="98"/>
  <c r="CG324" i="98"/>
  <c r="CF345" i="98"/>
  <c r="CG345" i="98"/>
  <c r="CF337" i="98"/>
  <c r="CG337" i="98"/>
  <c r="CF351" i="98"/>
  <c r="CG351" i="98"/>
  <c r="CI353" i="98"/>
  <c r="CJ353" i="98"/>
  <c r="CI352" i="98"/>
  <c r="CJ352" i="98"/>
  <c r="CI331" i="98"/>
  <c r="CJ331" i="98"/>
  <c r="CI335" i="98"/>
  <c r="CJ335" i="98"/>
  <c r="CR347" i="98"/>
  <c r="CS347" i="98"/>
  <c r="CR327" i="98"/>
  <c r="CS327" i="98"/>
  <c r="BT326" i="98"/>
  <c r="BU326" i="98"/>
  <c r="BT344" i="98"/>
  <c r="BU344" i="98"/>
  <c r="BT341" i="98"/>
  <c r="BU341" i="98"/>
  <c r="BT330" i="98"/>
  <c r="BU330" i="98"/>
  <c r="BT335" i="98"/>
  <c r="BU335" i="98"/>
  <c r="CI203" i="98"/>
  <c r="CJ203" i="98"/>
  <c r="CI214" i="98"/>
  <c r="CJ214" i="98"/>
  <c r="CI204" i="98"/>
  <c r="CJ204" i="98"/>
  <c r="CI209" i="98"/>
  <c r="CJ209" i="98"/>
  <c r="CI226" i="98"/>
  <c r="CJ226" i="98"/>
  <c r="CI208" i="98"/>
  <c r="CJ208" i="98"/>
  <c r="CL202" i="98"/>
  <c r="CM202" i="98"/>
  <c r="CL201" i="98"/>
  <c r="CM201" i="98"/>
  <c r="CL211" i="98"/>
  <c r="CM211" i="98"/>
  <c r="CL206" i="98"/>
  <c r="CM206" i="98"/>
  <c r="CL219" i="98"/>
  <c r="CM219" i="98"/>
  <c r="CL208" i="98"/>
  <c r="CM208" i="98"/>
  <c r="CL217" i="98"/>
  <c r="CM217" i="98"/>
  <c r="CF202" i="98"/>
  <c r="CG202" i="98"/>
  <c r="CF208" i="98"/>
  <c r="CG208" i="98"/>
  <c r="CF219" i="98"/>
  <c r="CG219" i="98"/>
  <c r="CF227" i="98"/>
  <c r="CG227" i="98"/>
  <c r="CF211" i="98"/>
  <c r="CG211" i="98"/>
  <c r="CF225" i="98"/>
  <c r="CG225" i="98"/>
  <c r="CF210" i="98"/>
  <c r="CG210" i="98"/>
  <c r="CU203" i="98"/>
  <c r="CV203" i="98"/>
  <c r="CU216" i="98"/>
  <c r="CV216" i="98"/>
  <c r="CU204" i="98"/>
  <c r="CV204" i="98"/>
  <c r="CU220" i="98"/>
  <c r="CV220" i="98"/>
  <c r="CU224" i="98"/>
  <c r="CV224" i="98"/>
  <c r="CU229" i="98"/>
  <c r="CV229" i="98"/>
  <c r="CU218" i="98"/>
  <c r="CV218" i="98"/>
  <c r="BZ201" i="98"/>
  <c r="CA201" i="98"/>
  <c r="BZ206" i="98"/>
  <c r="CA206" i="98"/>
  <c r="BZ218" i="98"/>
  <c r="CA218" i="98"/>
  <c r="BZ231" i="98"/>
  <c r="CA231" i="98"/>
  <c r="BT328" i="98"/>
  <c r="BU328" i="98"/>
  <c r="BT353" i="98"/>
  <c r="BU353" i="98"/>
  <c r="BT343" i="98"/>
  <c r="BU343" i="98"/>
  <c r="BT334" i="98"/>
  <c r="BU334" i="98"/>
  <c r="CR324" i="98"/>
  <c r="CS324" i="98"/>
  <c r="CR350" i="98"/>
  <c r="CS350" i="98"/>
  <c r="CR331" i="98"/>
  <c r="CS331" i="98"/>
  <c r="CX345" i="98"/>
  <c r="CY345" i="98"/>
  <c r="CX348" i="98"/>
  <c r="CY348" i="98"/>
  <c r="BT324" i="98"/>
  <c r="BU324" i="98"/>
  <c r="BT350" i="98"/>
  <c r="BU350" i="98"/>
  <c r="CX326" i="98"/>
  <c r="CY326" i="98"/>
  <c r="CX353" i="98"/>
  <c r="CY353" i="98"/>
  <c r="CX329" i="98"/>
  <c r="CY329" i="98"/>
  <c r="BT337" i="98"/>
  <c r="BU337" i="98"/>
  <c r="CX334" i="98"/>
  <c r="CY334" i="98"/>
  <c r="CX330" i="98"/>
  <c r="CY330" i="98"/>
  <c r="CR338" i="98"/>
  <c r="CS338" i="98"/>
  <c r="BQ343" i="98"/>
  <c r="BR343" i="98"/>
  <c r="BQ324" i="98"/>
  <c r="BR324" i="98"/>
  <c r="CR325" i="98"/>
  <c r="CS325" i="98"/>
  <c r="BQ345" i="98"/>
  <c r="BR345" i="98"/>
  <c r="BQ325" i="98"/>
  <c r="BR325" i="98"/>
  <c r="CR345" i="98"/>
  <c r="CS345" i="98"/>
  <c r="BQ350" i="98"/>
  <c r="BR350" i="98"/>
  <c r="CR340" i="98"/>
  <c r="CS340" i="98"/>
  <c r="BQ326" i="98"/>
  <c r="BR326" i="98"/>
  <c r="CR328" i="98"/>
  <c r="CS328" i="98"/>
  <c r="CX342" i="98"/>
  <c r="CY342" i="98"/>
  <c r="BQ331" i="98"/>
  <c r="BR331" i="98"/>
  <c r="BZ347" i="98"/>
  <c r="CA347" i="98"/>
  <c r="BZ326" i="98"/>
  <c r="CA326" i="98"/>
  <c r="BT229" i="98"/>
  <c r="BU229" i="98"/>
  <c r="BT221" i="98"/>
  <c r="BU221" i="98"/>
  <c r="BQ214" i="98"/>
  <c r="BR214" i="98"/>
  <c r="BQ231" i="98"/>
  <c r="BR231" i="98"/>
  <c r="BQ230" i="98"/>
  <c r="BR230" i="98"/>
  <c r="BQ217" i="98"/>
  <c r="BR217" i="98"/>
  <c r="BQ218" i="98"/>
  <c r="BR218" i="98"/>
  <c r="BQ225" i="98"/>
  <c r="BR225" i="98"/>
  <c r="BQ224" i="98"/>
  <c r="BR224" i="98"/>
  <c r="BQ229" i="98"/>
  <c r="BR229" i="98"/>
  <c r="CR205" i="98"/>
  <c r="CS205" i="98"/>
  <c r="BZ203" i="98"/>
  <c r="CA203" i="98"/>
  <c r="BZ219" i="98"/>
  <c r="CA219" i="98"/>
  <c r="BZ226" i="98"/>
  <c r="CA226" i="98"/>
  <c r="BZ221" i="98"/>
  <c r="CA221" i="98"/>
  <c r="BZ211" i="98"/>
  <c r="CA211" i="98"/>
  <c r="BZ207" i="98"/>
  <c r="CA207" i="98"/>
  <c r="BZ214" i="98"/>
  <c r="CA214" i="98"/>
  <c r="BZ212" i="98"/>
  <c r="CA212" i="98"/>
  <c r="BT202" i="98"/>
  <c r="BU202" i="98"/>
  <c r="CR214" i="98"/>
  <c r="CS214" i="98"/>
  <c r="BT210" i="98"/>
  <c r="BU210" i="98"/>
  <c r="BT209" i="98"/>
  <c r="BU209" i="98"/>
  <c r="BT230" i="98"/>
  <c r="BU230" i="98"/>
  <c r="BQ216" i="98"/>
  <c r="BR216" i="98"/>
  <c r="BQ201" i="98"/>
  <c r="BR201" i="98"/>
  <c r="BQ203" i="98"/>
  <c r="BR203" i="98"/>
  <c r="BQ208" i="98"/>
  <c r="BR208" i="98"/>
  <c r="BQ219" i="98"/>
  <c r="BR219" i="98"/>
  <c r="BQ209" i="98"/>
  <c r="BR209" i="98"/>
  <c r="CR221" i="98"/>
  <c r="CS221" i="98"/>
  <c r="BZ202" i="98"/>
  <c r="CA202" i="98"/>
  <c r="BZ222" i="98"/>
  <c r="CA222" i="98"/>
  <c r="BZ227" i="98"/>
  <c r="CA227" i="98"/>
  <c r="BZ223" i="98"/>
  <c r="CA223" i="98"/>
  <c r="BZ213" i="98"/>
  <c r="CA213" i="98"/>
  <c r="BZ208" i="98"/>
  <c r="CA208" i="98"/>
  <c r="BZ217" i="98"/>
  <c r="CA217" i="98"/>
  <c r="BT203" i="98"/>
  <c r="BU203" i="98"/>
  <c r="BT204" i="98"/>
  <c r="BU204" i="98"/>
  <c r="BT223" i="98"/>
  <c r="BU223" i="98"/>
  <c r="BT213" i="98"/>
  <c r="BU213" i="98"/>
  <c r="BT226" i="98"/>
  <c r="BU226" i="98"/>
  <c r="BT212" i="98"/>
  <c r="BU212" i="98"/>
  <c r="BT214" i="98"/>
  <c r="BU214" i="98"/>
  <c r="CR201" i="98"/>
  <c r="CS201" i="98"/>
  <c r="CR225" i="98"/>
  <c r="CS225" i="98"/>
  <c r="CR228" i="98"/>
  <c r="CS228" i="98"/>
  <c r="CR220" i="98"/>
  <c r="CS220" i="98"/>
  <c r="BT206" i="98"/>
  <c r="BU206" i="98"/>
  <c r="BT205" i="98"/>
  <c r="BU205" i="98"/>
  <c r="BT211" i="98"/>
  <c r="BU211" i="98"/>
  <c r="BT225" i="98"/>
  <c r="BU225" i="98"/>
  <c r="BT219" i="98"/>
  <c r="BU219" i="98"/>
  <c r="BT227" i="98"/>
  <c r="BU227" i="98"/>
  <c r="BT216" i="98"/>
  <c r="BU216" i="98"/>
  <c r="BT217" i="98"/>
  <c r="BU217" i="98"/>
  <c r="CR204" i="98"/>
  <c r="CS204" i="98"/>
  <c r="CR213" i="98"/>
  <c r="CS213" i="98"/>
  <c r="CR212" i="98"/>
  <c r="CS212" i="98"/>
  <c r="CO216" i="98"/>
  <c r="CP216" i="98"/>
  <c r="CO202" i="98"/>
  <c r="CP202" i="98"/>
  <c r="CO205" i="98"/>
  <c r="CP205" i="98"/>
  <c r="CO208" i="98"/>
  <c r="CP208" i="98"/>
  <c r="CO219" i="98"/>
  <c r="CP219" i="98"/>
  <c r="CO209" i="98"/>
  <c r="CP209" i="98"/>
  <c r="BT218" i="98"/>
  <c r="BU218" i="98"/>
  <c r="BT201" i="98"/>
  <c r="BU201" i="98"/>
  <c r="BT215" i="98"/>
  <c r="BU215" i="98"/>
  <c r="BT207" i="98"/>
  <c r="BU207" i="98"/>
  <c r="BT222" i="98"/>
  <c r="BU222" i="98"/>
  <c r="BT228" i="98"/>
  <c r="BU228" i="98"/>
  <c r="BT231" i="98"/>
  <c r="BU231" i="98"/>
  <c r="BW230" i="98"/>
  <c r="BX230" i="98"/>
  <c r="BW201" i="98"/>
  <c r="BX201" i="98"/>
  <c r="BW222" i="98"/>
  <c r="BX222" i="98"/>
  <c r="BW215" i="98"/>
  <c r="BX215" i="98"/>
  <c r="CR206" i="98"/>
  <c r="CS206" i="98"/>
  <c r="CR211" i="98"/>
  <c r="CS211" i="98"/>
  <c r="CR222" i="98"/>
  <c r="CS222" i="98"/>
  <c r="CR231" i="98"/>
  <c r="CS231" i="98"/>
  <c r="BW207" i="98"/>
  <c r="BX207" i="98"/>
  <c r="BW205" i="98"/>
  <c r="BX205" i="98"/>
  <c r="BW231" i="98"/>
  <c r="BX231" i="98"/>
  <c r="BW210" i="98"/>
  <c r="BX210" i="98"/>
  <c r="BW213" i="98"/>
  <c r="BX213" i="98"/>
  <c r="BW227" i="98"/>
  <c r="BX227" i="98"/>
  <c r="BW211" i="98"/>
  <c r="BX211" i="98"/>
  <c r="BW221" i="98"/>
  <c r="BX221" i="98"/>
  <c r="CR208" i="98"/>
  <c r="CS208" i="98"/>
  <c r="CR218" i="98"/>
  <c r="CS218" i="98"/>
  <c r="CR207" i="98"/>
  <c r="CS207" i="98"/>
  <c r="CR223" i="98"/>
  <c r="CS223" i="98"/>
  <c r="CR219" i="98"/>
  <c r="CS219" i="98"/>
  <c r="CR227" i="98"/>
  <c r="CS227" i="98"/>
  <c r="CR216" i="98"/>
  <c r="CS216" i="98"/>
  <c r="CR217" i="98"/>
  <c r="CS217" i="98"/>
  <c r="BW217" i="98"/>
  <c r="BX217" i="98"/>
  <c r="BW212" i="98"/>
  <c r="BX212" i="98"/>
  <c r="BW202" i="98"/>
  <c r="BX202" i="98"/>
  <c r="BW220" i="98"/>
  <c r="BX220" i="98"/>
  <c r="BW224" i="98"/>
  <c r="BX224" i="98"/>
  <c r="BW229" i="98"/>
  <c r="BX229" i="98"/>
  <c r="BW218" i="98"/>
  <c r="BX218" i="98"/>
  <c r="CR203" i="98"/>
  <c r="CS203" i="98"/>
  <c r="CR202" i="98"/>
  <c r="CS202" i="98"/>
  <c r="CR215" i="98"/>
  <c r="CS215" i="98"/>
  <c r="CR209" i="98"/>
  <c r="CS209" i="98"/>
  <c r="CR224" i="98"/>
  <c r="CS224" i="98"/>
  <c r="CR229" i="98"/>
  <c r="CS229" i="98"/>
  <c r="CR210" i="98"/>
  <c r="CS210" i="98"/>
  <c r="DA133" i="98"/>
  <c r="DA114" i="98"/>
  <c r="DB114" i="98"/>
  <c r="DA285" i="98"/>
  <c r="DA284" i="98"/>
  <c r="DA139" i="98"/>
  <c r="DA116" i="98"/>
  <c r="DB116" i="98"/>
  <c r="DA277" i="98"/>
  <c r="DB277" i="98"/>
  <c r="DA123" i="98"/>
  <c r="DB123" i="98"/>
  <c r="DA127" i="98"/>
  <c r="DB127" i="98"/>
  <c r="DA290" i="98"/>
  <c r="DA121" i="98"/>
  <c r="DB121" i="98"/>
  <c r="DA138" i="98"/>
  <c r="DA286" i="98"/>
  <c r="DA264" i="98"/>
  <c r="DB264" i="98"/>
  <c r="DA280" i="98"/>
  <c r="DB280" i="98"/>
  <c r="DA271" i="98"/>
  <c r="DB271" i="98"/>
  <c r="DA282" i="98"/>
  <c r="DA131" i="98"/>
  <c r="DB131" i="98"/>
  <c r="DA269" i="98"/>
  <c r="DB269" i="98"/>
  <c r="DA289" i="98"/>
  <c r="DA119" i="98"/>
  <c r="DB119" i="98"/>
  <c r="DA136" i="98"/>
  <c r="DA292" i="98"/>
  <c r="DA124" i="98"/>
  <c r="DB124" i="98"/>
  <c r="DA125" i="98"/>
  <c r="DB125" i="98"/>
  <c r="DA115" i="98"/>
  <c r="DB115" i="98"/>
  <c r="DA117" i="98"/>
  <c r="DB117" i="98"/>
  <c r="DA120" i="98"/>
  <c r="DB120" i="98"/>
  <c r="DA132" i="98"/>
  <c r="DB132" i="98"/>
  <c r="DA272" i="98"/>
  <c r="DB272" i="98"/>
  <c r="DA265" i="98"/>
  <c r="DB265" i="98"/>
  <c r="DA279" i="98"/>
  <c r="DB279" i="98"/>
  <c r="DA126" i="98"/>
  <c r="DB126" i="98"/>
  <c r="DA291" i="98"/>
  <c r="DA287" i="98"/>
  <c r="DA135" i="98"/>
  <c r="DA130" i="98"/>
  <c r="DB130" i="98"/>
  <c r="DA283" i="98"/>
  <c r="DA268" i="98"/>
  <c r="DB268" i="98"/>
  <c r="DA270" i="98"/>
  <c r="DB270" i="98"/>
  <c r="DA275" i="98"/>
  <c r="DB275" i="98"/>
  <c r="DA134" i="98"/>
  <c r="DA122" i="98"/>
  <c r="DB122" i="98"/>
  <c r="DA267" i="98"/>
  <c r="DB267" i="98"/>
  <c r="DA288" i="98"/>
  <c r="DA111" i="98"/>
  <c r="DB111" i="98"/>
  <c r="DA118" i="98"/>
  <c r="DB118" i="98"/>
  <c r="DA278" i="98"/>
  <c r="DB278" i="98"/>
  <c r="DA128" i="98"/>
  <c r="DB128" i="98"/>
  <c r="DA110" i="98"/>
  <c r="DB110" i="98"/>
  <c r="DA112" i="98"/>
  <c r="DB112" i="98"/>
  <c r="DA113" i="98"/>
  <c r="DB113" i="98"/>
  <c r="DA129" i="98"/>
  <c r="DB129" i="98"/>
  <c r="DA137" i="98"/>
  <c r="DA274" i="98"/>
  <c r="DB274" i="98"/>
  <c r="DA281" i="98"/>
  <c r="DB281" i="98"/>
  <c r="DA263" i="98"/>
  <c r="DB263" i="98"/>
  <c r="DA276" i="98"/>
  <c r="DB276" i="98"/>
  <c r="DA266" i="98"/>
  <c r="DB266" i="98"/>
  <c r="DA196" i="98"/>
  <c r="DA177" i="98"/>
  <c r="DB177" i="98"/>
  <c r="DA200" i="98"/>
  <c r="DA87" i="98"/>
  <c r="DB87" i="98"/>
  <c r="DA82" i="98"/>
  <c r="DB82" i="98"/>
  <c r="DA273" i="98"/>
  <c r="DB273" i="98"/>
  <c r="DA79" i="98"/>
  <c r="DB79" i="98"/>
  <c r="DA314" i="98"/>
  <c r="DB314" i="98"/>
  <c r="BM318" i="98"/>
  <c r="BN318" i="98"/>
  <c r="BL319" i="98"/>
  <c r="DA173" i="98"/>
  <c r="DA179" i="98"/>
  <c r="DA183" i="98"/>
  <c r="DA187" i="98"/>
  <c r="DA191" i="98"/>
  <c r="DA199" i="98"/>
  <c r="DA193" i="98"/>
  <c r="DA309" i="98"/>
  <c r="DA316" i="98"/>
  <c r="DB316" i="98"/>
  <c r="DA302" i="98"/>
  <c r="DA297" i="98"/>
  <c r="DA319" i="98"/>
  <c r="DA304" i="98"/>
  <c r="DA317" i="98"/>
  <c r="BM350" i="98"/>
  <c r="BN350" i="98"/>
  <c r="BL351" i="98"/>
  <c r="BM40" i="98"/>
  <c r="BN40" i="98"/>
  <c r="BL41" i="98"/>
  <c r="DA97" i="98"/>
  <c r="DA91" i="98"/>
  <c r="DA102" i="98"/>
  <c r="DA107" i="98"/>
  <c r="DA90" i="98"/>
  <c r="DA101" i="98"/>
  <c r="BM376" i="98"/>
  <c r="BN376" i="98"/>
  <c r="BL377" i="98"/>
  <c r="DA71" i="98"/>
  <c r="DA61" i="98"/>
  <c r="DA57" i="98"/>
  <c r="DA65" i="98"/>
  <c r="DA78" i="98"/>
  <c r="DA59" i="98"/>
  <c r="DA63" i="98"/>
  <c r="BM226" i="98"/>
  <c r="BN226" i="98"/>
  <c r="BL227" i="98"/>
  <c r="DA242" i="98"/>
  <c r="DA244" i="98"/>
  <c r="DA259" i="98"/>
  <c r="DA245" i="98"/>
  <c r="DA236" i="98"/>
  <c r="DA246" i="98"/>
  <c r="DA238" i="98"/>
  <c r="DA256" i="98"/>
  <c r="DA171" i="98"/>
  <c r="DA172" i="98"/>
  <c r="DA180" i="98"/>
  <c r="DA184" i="98"/>
  <c r="DA188" i="98"/>
  <c r="DA192" i="98"/>
  <c r="DA175" i="98"/>
  <c r="DA197" i="98"/>
  <c r="DA300" i="98"/>
  <c r="DA313" i="98"/>
  <c r="DA311" i="98"/>
  <c r="DA301" i="98"/>
  <c r="DA305" i="98"/>
  <c r="DA293" i="98"/>
  <c r="DA306" i="98"/>
  <c r="DA323" i="98"/>
  <c r="DA93" i="98"/>
  <c r="DA81" i="98"/>
  <c r="DA92" i="98"/>
  <c r="DA94" i="98"/>
  <c r="DA103" i="98"/>
  <c r="DA108" i="98"/>
  <c r="DA95" i="98"/>
  <c r="DA75" i="98"/>
  <c r="DA62" i="98"/>
  <c r="DA69" i="98"/>
  <c r="DA70" i="98"/>
  <c r="DA51" i="98"/>
  <c r="DA66" i="98"/>
  <c r="DA64" i="98"/>
  <c r="DA233" i="98"/>
  <c r="DA252" i="98"/>
  <c r="DA261" i="98"/>
  <c r="DA258" i="98"/>
  <c r="DA237" i="98"/>
  <c r="DA248" i="98"/>
  <c r="DA247" i="98"/>
  <c r="BM255" i="98"/>
  <c r="BN255" i="98"/>
  <c r="BL256" i="98"/>
  <c r="DA174" i="98"/>
  <c r="DA181" i="98"/>
  <c r="DA185" i="98"/>
  <c r="DA189" i="98"/>
  <c r="DA194" i="98"/>
  <c r="DA298" i="98"/>
  <c r="DA318" i="98"/>
  <c r="DA303" i="98"/>
  <c r="DA307" i="98"/>
  <c r="DA296" i="98"/>
  <c r="DA308" i="98"/>
  <c r="DA322" i="98"/>
  <c r="BM103" i="98"/>
  <c r="BN103" i="98"/>
  <c r="BL104" i="98"/>
  <c r="DA80" i="98"/>
  <c r="DA85" i="98"/>
  <c r="DA86" i="98"/>
  <c r="DA98" i="98"/>
  <c r="DA105" i="98"/>
  <c r="DA109" i="98"/>
  <c r="DA96" i="98"/>
  <c r="BM283" i="98"/>
  <c r="BN283" i="98"/>
  <c r="BL284" i="98"/>
  <c r="BM75" i="98"/>
  <c r="BN75" i="98"/>
  <c r="BL76" i="98"/>
  <c r="BM134" i="98"/>
  <c r="BN134" i="98"/>
  <c r="BL135" i="98"/>
  <c r="DA56" i="98"/>
  <c r="DA68" i="98"/>
  <c r="DA73" i="98"/>
  <c r="DA74" i="98"/>
  <c r="DA53" i="98"/>
  <c r="DA52" i="98"/>
  <c r="DA77" i="98"/>
  <c r="DA239" i="98"/>
  <c r="DA235" i="98"/>
  <c r="DA254" i="98"/>
  <c r="DA232" i="98"/>
  <c r="DA260" i="98"/>
  <c r="DA240" i="98"/>
  <c r="DA250" i="98"/>
  <c r="DA249" i="98"/>
  <c r="BM196" i="98"/>
  <c r="BN196" i="98"/>
  <c r="BL197" i="98"/>
  <c r="BM162" i="98"/>
  <c r="BN162" i="98"/>
  <c r="BL163" i="98"/>
  <c r="DA198" i="98"/>
  <c r="DA176" i="98"/>
  <c r="DA182" i="98"/>
  <c r="DA186" i="98"/>
  <c r="DA190" i="98"/>
  <c r="DA195" i="98"/>
  <c r="DA178" i="98"/>
  <c r="AP384" i="98"/>
  <c r="BA369" i="98"/>
  <c r="AW369" i="98"/>
  <c r="AS369" i="98"/>
  <c r="AY369" i="98"/>
  <c r="AU369" i="98"/>
  <c r="AQ369" i="98"/>
  <c r="AV369" i="98"/>
  <c r="AZ369" i="98"/>
  <c r="AR369" i="98"/>
  <c r="BB369" i="98"/>
  <c r="AT369" i="98"/>
  <c r="AX369" i="98"/>
  <c r="DA295" i="98"/>
  <c r="DA315" i="98"/>
  <c r="DA321" i="98"/>
  <c r="DA294" i="98"/>
  <c r="DA310" i="98"/>
  <c r="DA299" i="98"/>
  <c r="DA312" i="98"/>
  <c r="DA320" i="98"/>
  <c r="DA83" i="98"/>
  <c r="DA84" i="98"/>
  <c r="DA104" i="98"/>
  <c r="DA89" i="98"/>
  <c r="DA100" i="98"/>
  <c r="DA106" i="98"/>
  <c r="DA88" i="98"/>
  <c r="DA99" i="98"/>
  <c r="DA67" i="98"/>
  <c r="DA60" i="98"/>
  <c r="DA72" i="98"/>
  <c r="DA58" i="98"/>
  <c r="DA76" i="98"/>
  <c r="DA55" i="98"/>
  <c r="DA54" i="98"/>
  <c r="DA251" i="98"/>
  <c r="DA241" i="98"/>
  <c r="DA257" i="98"/>
  <c r="DA234" i="98"/>
  <c r="DA262" i="98"/>
  <c r="DA243" i="98"/>
  <c r="DA253" i="98"/>
  <c r="DA255" i="98"/>
  <c r="BO254" i="98"/>
  <c r="CZ254" i="98"/>
  <c r="D42" i="72"/>
  <c r="D43" i="72"/>
  <c r="D44" i="72"/>
  <c r="G33" i="72"/>
  <c r="G30" i="72"/>
  <c r="E30" i="72"/>
  <c r="G22" i="72"/>
  <c r="G23" i="72"/>
  <c r="E33" i="72"/>
  <c r="E22" i="72"/>
  <c r="E24" i="72"/>
  <c r="D22" i="72"/>
  <c r="D30" i="72"/>
  <c r="B24" i="72"/>
  <c r="B25" i="72"/>
  <c r="B26" i="72"/>
  <c r="B27" i="72"/>
  <c r="D25" i="72"/>
  <c r="E25" i="72"/>
  <c r="G25" i="72"/>
  <c r="D26" i="72"/>
  <c r="E26" i="72"/>
  <c r="G26" i="72"/>
  <c r="D27" i="72"/>
  <c r="E27" i="72"/>
  <c r="G27" i="72"/>
  <c r="D28" i="72"/>
  <c r="E28" i="72"/>
  <c r="G28" i="72"/>
  <c r="G29" i="72"/>
  <c r="G17" i="72"/>
  <c r="G16" i="72"/>
  <c r="E9" i="72"/>
  <c r="E10" i="72"/>
  <c r="E11" i="72"/>
  <c r="E12" i="72"/>
  <c r="E13" i="72"/>
  <c r="E14" i="72"/>
  <c r="E15" i="72"/>
  <c r="E16" i="72"/>
  <c r="E17" i="72"/>
  <c r="D15" i="72"/>
  <c r="D17" i="72"/>
  <c r="D16" i="72"/>
  <c r="DB282" i="98"/>
  <c r="DB102" i="98"/>
  <c r="DB133" i="98"/>
  <c r="BO40" i="98"/>
  <c r="CZ40" i="98"/>
  <c r="DB317" i="98"/>
  <c r="BO318" i="98"/>
  <c r="CZ318" i="98"/>
  <c r="DB318" i="98"/>
  <c r="DA383" i="98"/>
  <c r="DA375" i="98"/>
  <c r="DB375" i="98"/>
  <c r="DA160" i="98"/>
  <c r="DB160" i="98"/>
  <c r="DA361" i="98"/>
  <c r="DB361" i="98"/>
  <c r="DA377" i="98"/>
  <c r="DA161" i="98"/>
  <c r="DB161" i="98"/>
  <c r="DA380" i="98"/>
  <c r="DA378" i="98"/>
  <c r="DA142" i="98"/>
  <c r="DB142" i="98"/>
  <c r="DA373" i="98"/>
  <c r="DB373" i="98"/>
  <c r="DA165" i="98"/>
  <c r="DA371" i="98"/>
  <c r="DB371" i="98"/>
  <c r="DA149" i="98"/>
  <c r="DB149" i="98"/>
  <c r="DA166" i="98"/>
  <c r="DA152" i="98"/>
  <c r="DB152" i="98"/>
  <c r="DA354" i="98"/>
  <c r="DB354" i="98"/>
  <c r="DA372" i="98"/>
  <c r="DB372" i="98"/>
  <c r="DA359" i="98"/>
  <c r="DB359" i="98"/>
  <c r="DA148" i="98"/>
  <c r="DB148" i="98"/>
  <c r="DA140" i="98"/>
  <c r="DB140" i="98"/>
  <c r="DA381" i="98"/>
  <c r="DA360" i="98"/>
  <c r="DB360" i="98"/>
  <c r="DA364" i="98"/>
  <c r="DB364" i="98"/>
  <c r="DA362" i="98"/>
  <c r="DB362" i="98"/>
  <c r="DA153" i="98"/>
  <c r="DB153" i="98"/>
  <c r="DA358" i="98"/>
  <c r="DB358" i="98"/>
  <c r="DA143" i="98"/>
  <c r="DB143" i="98"/>
  <c r="DA355" i="98"/>
  <c r="DB355" i="98"/>
  <c r="DA170" i="98"/>
  <c r="DA159" i="98"/>
  <c r="DB159" i="98"/>
  <c r="DA367" i="98"/>
  <c r="DB367" i="98"/>
  <c r="DA369" i="98"/>
  <c r="DB369" i="98"/>
  <c r="DA145" i="98"/>
  <c r="DB145" i="98"/>
  <c r="DA370" i="98"/>
  <c r="DB370" i="98"/>
  <c r="DA168" i="98"/>
  <c r="DA141" i="98"/>
  <c r="DB141" i="98"/>
  <c r="DA147" i="98"/>
  <c r="DB147" i="98"/>
  <c r="DA374" i="98"/>
  <c r="DB374" i="98"/>
  <c r="DA154" i="98"/>
  <c r="DB154" i="98"/>
  <c r="DA363" i="98"/>
  <c r="DB363" i="98"/>
  <c r="DA162" i="98"/>
  <c r="DA167" i="98"/>
  <c r="DA146" i="98"/>
  <c r="DB146" i="98"/>
  <c r="DA366" i="98"/>
  <c r="DB366" i="98"/>
  <c r="DA156" i="98"/>
  <c r="DB156" i="98"/>
  <c r="DA151" i="98"/>
  <c r="DB151" i="98"/>
  <c r="DA382" i="98"/>
  <c r="DA379" i="98"/>
  <c r="DA144" i="98"/>
  <c r="DB144" i="98"/>
  <c r="DA376" i="98"/>
  <c r="DA384" i="98"/>
  <c r="DA150" i="98"/>
  <c r="DB150" i="98"/>
  <c r="DA169" i="98"/>
  <c r="DA157" i="98"/>
  <c r="DB157" i="98"/>
  <c r="DA155" i="98"/>
  <c r="DB155" i="98"/>
  <c r="DA163" i="98"/>
  <c r="DA158" i="98"/>
  <c r="DB158" i="98"/>
  <c r="DA368" i="98"/>
  <c r="DB368" i="98"/>
  <c r="DA365" i="98"/>
  <c r="DB365" i="98"/>
  <c r="DA164" i="98"/>
  <c r="DA357" i="98"/>
  <c r="DB357" i="98"/>
  <c r="DA356" i="98"/>
  <c r="DB356" i="98"/>
  <c r="BO283" i="98"/>
  <c r="CZ283" i="98"/>
  <c r="DB283" i="98"/>
  <c r="BO255" i="98"/>
  <c r="CZ255" i="98"/>
  <c r="DB255" i="98"/>
  <c r="BO162" i="98"/>
  <c r="CZ162" i="98"/>
  <c r="BO75" i="98"/>
  <c r="CZ75" i="98"/>
  <c r="DB75" i="98"/>
  <c r="DA340" i="98"/>
  <c r="DB340" i="98"/>
  <c r="DA325" i="98"/>
  <c r="DB325" i="98"/>
  <c r="DA337" i="98"/>
  <c r="DB337" i="98"/>
  <c r="DA336" i="98"/>
  <c r="DB336" i="98"/>
  <c r="DA346" i="98"/>
  <c r="DB346" i="98"/>
  <c r="DA338" i="98"/>
  <c r="DB338" i="98"/>
  <c r="DA231" i="98"/>
  <c r="DA327" i="98"/>
  <c r="DB327" i="98"/>
  <c r="DA205" i="98"/>
  <c r="DB205" i="98"/>
  <c r="DA332" i="98"/>
  <c r="DB332" i="98"/>
  <c r="DA230" i="98"/>
  <c r="DA349" i="98"/>
  <c r="DB349" i="98"/>
  <c r="DA224" i="98"/>
  <c r="DB224" i="98"/>
  <c r="DA219" i="98"/>
  <c r="DB219" i="98"/>
  <c r="DA229" i="98"/>
  <c r="DA331" i="98"/>
  <c r="DB331" i="98"/>
  <c r="DA344" i="98"/>
  <c r="DB344" i="98"/>
  <c r="DA351" i="98"/>
  <c r="DA339" i="98"/>
  <c r="DB339" i="98"/>
  <c r="DA335" i="98"/>
  <c r="DB335" i="98"/>
  <c r="DA348" i="98"/>
  <c r="DB348" i="98"/>
  <c r="DA324" i="98"/>
  <c r="DB324" i="98"/>
  <c r="DA330" i="98"/>
  <c r="DB330" i="98"/>
  <c r="DA220" i="98"/>
  <c r="DB220" i="98"/>
  <c r="DA329" i="98"/>
  <c r="DB329" i="98"/>
  <c r="DA213" i="98"/>
  <c r="DB213" i="98"/>
  <c r="DA328" i="98"/>
  <c r="DB328" i="98"/>
  <c r="DA333" i="98"/>
  <c r="DB333" i="98"/>
  <c r="DA212" i="98"/>
  <c r="DB212" i="98"/>
  <c r="DA347" i="98"/>
  <c r="DB347" i="98"/>
  <c r="DA326" i="98"/>
  <c r="DB326" i="98"/>
  <c r="DA343" i="98"/>
  <c r="DB343" i="98"/>
  <c r="DA350" i="98"/>
  <c r="DA211" i="98"/>
  <c r="DB211" i="98"/>
  <c r="DA334" i="98"/>
  <c r="DB334" i="98"/>
  <c r="DA352" i="98"/>
  <c r="DA342" i="98"/>
  <c r="DB342" i="98"/>
  <c r="DA345" i="98"/>
  <c r="DB345" i="98"/>
  <c r="DA215" i="98"/>
  <c r="DB215" i="98"/>
  <c r="DA341" i="98"/>
  <c r="DB341" i="98"/>
  <c r="DA227" i="98"/>
  <c r="DA201" i="98"/>
  <c r="DB201" i="98"/>
  <c r="DA214" i="98"/>
  <c r="DB214" i="98"/>
  <c r="DA221" i="98"/>
  <c r="DB221" i="98"/>
  <c r="DA223" i="98"/>
  <c r="DB223" i="98"/>
  <c r="DA206" i="98"/>
  <c r="DB206" i="98"/>
  <c r="DA226" i="98"/>
  <c r="DA353" i="98"/>
  <c r="DA218" i="98"/>
  <c r="DB218" i="98"/>
  <c r="DA216" i="98"/>
  <c r="DB216" i="98"/>
  <c r="DA222" i="98"/>
  <c r="DB222" i="98"/>
  <c r="DA228" i="98"/>
  <c r="DA225" i="98"/>
  <c r="DB225" i="98"/>
  <c r="DA209" i="98"/>
  <c r="DB209" i="98"/>
  <c r="DA202" i="98"/>
  <c r="DB202" i="98"/>
  <c r="DA207" i="98"/>
  <c r="DB207" i="98"/>
  <c r="DA208" i="98"/>
  <c r="DB208" i="98"/>
  <c r="DA204" i="98"/>
  <c r="DB204" i="98"/>
  <c r="DA203" i="98"/>
  <c r="DB203" i="98"/>
  <c r="DA217" i="98"/>
  <c r="DB217" i="98"/>
  <c r="DA210" i="98"/>
  <c r="DB210" i="98"/>
  <c r="DB254" i="98"/>
  <c r="DB55" i="98"/>
  <c r="DB60" i="98"/>
  <c r="DB84" i="98"/>
  <c r="DB299" i="98"/>
  <c r="DB315" i="98"/>
  <c r="BB384" i="98"/>
  <c r="D400" i="98"/>
  <c r="CX39" i="98"/>
  <c r="CY39" i="98"/>
  <c r="CX34" i="98"/>
  <c r="CY34" i="98"/>
  <c r="CX32" i="98"/>
  <c r="CY32" i="98"/>
  <c r="CX24" i="98"/>
  <c r="CY24" i="98"/>
  <c r="CX20" i="98"/>
  <c r="CX37" i="98"/>
  <c r="CY37" i="98"/>
  <c r="CX36" i="98"/>
  <c r="CY36" i="98"/>
  <c r="CX35" i="98"/>
  <c r="CY35" i="98"/>
  <c r="CX33" i="98"/>
  <c r="CY33" i="98"/>
  <c r="CX27" i="98"/>
  <c r="CY27" i="98"/>
  <c r="CX26" i="98"/>
  <c r="CY26" i="98"/>
  <c r="CX22" i="98"/>
  <c r="CY22" i="98"/>
  <c r="CX47" i="98"/>
  <c r="CY47" i="98"/>
  <c r="CX46" i="98"/>
  <c r="CY46" i="98"/>
  <c r="CX45" i="98"/>
  <c r="CY45" i="98"/>
  <c r="CX44" i="98"/>
  <c r="CY44" i="98"/>
  <c r="CX43" i="98"/>
  <c r="CY43" i="98"/>
  <c r="CX42" i="98"/>
  <c r="CY42" i="98"/>
  <c r="CX41" i="98"/>
  <c r="CY41" i="98"/>
  <c r="CX40" i="98"/>
  <c r="CY40" i="98"/>
  <c r="CX31" i="98"/>
  <c r="CY31" i="98"/>
  <c r="CX50" i="98"/>
  <c r="CY50" i="98"/>
  <c r="CX48" i="98"/>
  <c r="CY48" i="98"/>
  <c r="CX29" i="98"/>
  <c r="CY29" i="98"/>
  <c r="CX30" i="98"/>
  <c r="CY30" i="98"/>
  <c r="CX28" i="98"/>
  <c r="CY28" i="98"/>
  <c r="CX49" i="98"/>
  <c r="CY49" i="98"/>
  <c r="CX38" i="98"/>
  <c r="CY38" i="98"/>
  <c r="CX25" i="98"/>
  <c r="CY25" i="98"/>
  <c r="CX23" i="98"/>
  <c r="CY23" i="98"/>
  <c r="CX21" i="98"/>
  <c r="CY21" i="98"/>
  <c r="AQ384" i="98"/>
  <c r="D389" i="98"/>
  <c r="BQ50" i="98"/>
  <c r="BR50" i="98"/>
  <c r="BQ48" i="98"/>
  <c r="BR48" i="98"/>
  <c r="BQ47" i="98"/>
  <c r="BR47" i="98"/>
  <c r="BQ46" i="98"/>
  <c r="BR46" i="98"/>
  <c r="BQ45" i="98"/>
  <c r="BR45" i="98"/>
  <c r="BQ44" i="98"/>
  <c r="BR44" i="98"/>
  <c r="BQ43" i="98"/>
  <c r="BR43" i="98"/>
  <c r="BQ42" i="98"/>
  <c r="BR42" i="98"/>
  <c r="BQ41" i="98"/>
  <c r="BR41" i="98"/>
  <c r="BQ40" i="98"/>
  <c r="BR40" i="98"/>
  <c r="BQ31" i="98"/>
  <c r="BR31" i="98"/>
  <c r="BQ25" i="98"/>
  <c r="BR25" i="98"/>
  <c r="BQ21" i="98"/>
  <c r="BR21" i="98"/>
  <c r="BQ49" i="98"/>
  <c r="BR49" i="98"/>
  <c r="BQ38" i="98"/>
  <c r="BR38" i="98"/>
  <c r="BQ30" i="98"/>
  <c r="BR30" i="98"/>
  <c r="BQ29" i="98"/>
  <c r="BR29" i="98"/>
  <c r="BQ28" i="98"/>
  <c r="BR28" i="98"/>
  <c r="BQ23" i="98"/>
  <c r="BR23" i="98"/>
  <c r="BQ39" i="98"/>
  <c r="BR39" i="98"/>
  <c r="BQ34" i="98"/>
  <c r="BR34" i="98"/>
  <c r="BQ27" i="98"/>
  <c r="BR27" i="98"/>
  <c r="BQ36" i="98"/>
  <c r="BR36" i="98"/>
  <c r="BQ33" i="98"/>
  <c r="BR33" i="98"/>
  <c r="BQ32" i="98"/>
  <c r="BR32" i="98"/>
  <c r="BQ37" i="98"/>
  <c r="BR37" i="98"/>
  <c r="BQ35" i="98"/>
  <c r="BR35" i="98"/>
  <c r="BQ26" i="98"/>
  <c r="BR26" i="98"/>
  <c r="BQ24" i="98"/>
  <c r="BR24" i="98"/>
  <c r="BQ22" i="98"/>
  <c r="BR22" i="98"/>
  <c r="BQ20" i="98"/>
  <c r="AW384" i="98"/>
  <c r="D395" i="98"/>
  <c r="CI49" i="98"/>
  <c r="CJ49" i="98"/>
  <c r="CI38" i="98"/>
  <c r="CJ38" i="98"/>
  <c r="CI30" i="98"/>
  <c r="CJ30" i="98"/>
  <c r="CI29" i="98"/>
  <c r="CJ29" i="98"/>
  <c r="CI28" i="98"/>
  <c r="CJ28" i="98"/>
  <c r="CI23" i="98"/>
  <c r="CJ23" i="98"/>
  <c r="CI50" i="98"/>
  <c r="CJ50" i="98"/>
  <c r="CI48" i="98"/>
  <c r="CJ48" i="98"/>
  <c r="CI47" i="98"/>
  <c r="CJ47" i="98"/>
  <c r="CI46" i="98"/>
  <c r="CJ46" i="98"/>
  <c r="CI45" i="98"/>
  <c r="CJ45" i="98"/>
  <c r="CI44" i="98"/>
  <c r="CJ44" i="98"/>
  <c r="CI43" i="98"/>
  <c r="CJ43" i="98"/>
  <c r="CI42" i="98"/>
  <c r="CJ42" i="98"/>
  <c r="CI41" i="98"/>
  <c r="CJ41" i="98"/>
  <c r="CI40" i="98"/>
  <c r="CJ40" i="98"/>
  <c r="CI31" i="98"/>
  <c r="CJ31" i="98"/>
  <c r="CI25" i="98"/>
  <c r="CJ25" i="98"/>
  <c r="CI21" i="98"/>
  <c r="CJ21" i="98"/>
  <c r="CI36" i="98"/>
  <c r="CJ36" i="98"/>
  <c r="CI33" i="98"/>
  <c r="CJ33" i="98"/>
  <c r="CI32" i="98"/>
  <c r="CJ32" i="98"/>
  <c r="CI37" i="98"/>
  <c r="CJ37" i="98"/>
  <c r="CI35" i="98"/>
  <c r="CJ35" i="98"/>
  <c r="CI26" i="98"/>
  <c r="CJ26" i="98"/>
  <c r="CI24" i="98"/>
  <c r="CJ24" i="98"/>
  <c r="CI22" i="98"/>
  <c r="CJ22" i="98"/>
  <c r="CI20" i="98"/>
  <c r="CI39" i="98"/>
  <c r="CJ39" i="98"/>
  <c r="CI34" i="98"/>
  <c r="CJ34" i="98"/>
  <c r="CI27" i="98"/>
  <c r="CJ27" i="98"/>
  <c r="DB176" i="98"/>
  <c r="BM163" i="98"/>
  <c r="BN163" i="98"/>
  <c r="BL164" i="98"/>
  <c r="DB240" i="98"/>
  <c r="DB235" i="98"/>
  <c r="DB52" i="98"/>
  <c r="DB68" i="98"/>
  <c r="BM284" i="98"/>
  <c r="BN284" i="98"/>
  <c r="BL285" i="98"/>
  <c r="DB85" i="98"/>
  <c r="DB307" i="98"/>
  <c r="DB174" i="98"/>
  <c r="DB248" i="98"/>
  <c r="DB252" i="98"/>
  <c r="DB70" i="98"/>
  <c r="DB94" i="98"/>
  <c r="DB194" i="98"/>
  <c r="DB305" i="98"/>
  <c r="DB300" i="98"/>
  <c r="DB184" i="98"/>
  <c r="DB236" i="98"/>
  <c r="DB242" i="98"/>
  <c r="DB63" i="98"/>
  <c r="DB57" i="98"/>
  <c r="DB101" i="98"/>
  <c r="DB91" i="98"/>
  <c r="DB297" i="98"/>
  <c r="DB193" i="98"/>
  <c r="DB183" i="98"/>
  <c r="DB243" i="98"/>
  <c r="DB241" i="98"/>
  <c r="DB67" i="98"/>
  <c r="DB100" i="98"/>
  <c r="DB83" i="98"/>
  <c r="DB310" i="98"/>
  <c r="DB295" i="98"/>
  <c r="AR384" i="98"/>
  <c r="D390" i="98"/>
  <c r="BT37" i="98"/>
  <c r="BU37" i="98"/>
  <c r="BT36" i="98"/>
  <c r="BU36" i="98"/>
  <c r="BT35" i="98"/>
  <c r="BU35" i="98"/>
  <c r="BT33" i="98"/>
  <c r="BU33" i="98"/>
  <c r="BT27" i="98"/>
  <c r="BU27" i="98"/>
  <c r="BT26" i="98"/>
  <c r="BU26" i="98"/>
  <c r="BT22" i="98"/>
  <c r="BU22" i="98"/>
  <c r="BT39" i="98"/>
  <c r="BU39" i="98"/>
  <c r="BT34" i="98"/>
  <c r="BU34" i="98"/>
  <c r="BT32" i="98"/>
  <c r="BU32" i="98"/>
  <c r="BT24" i="98"/>
  <c r="BU24" i="98"/>
  <c r="BT20" i="98"/>
  <c r="BT50" i="98"/>
  <c r="BU50" i="98"/>
  <c r="BT48" i="98"/>
  <c r="BU48" i="98"/>
  <c r="BT29" i="98"/>
  <c r="BU29" i="98"/>
  <c r="BT30" i="98"/>
  <c r="BU30" i="98"/>
  <c r="BT28" i="98"/>
  <c r="BU28" i="98"/>
  <c r="BT49" i="98"/>
  <c r="BU49" i="98"/>
  <c r="BT38" i="98"/>
  <c r="BU38" i="98"/>
  <c r="BT25" i="98"/>
  <c r="BU25" i="98"/>
  <c r="BT23" i="98"/>
  <c r="BU23" i="98"/>
  <c r="BT21" i="98"/>
  <c r="BU21" i="98"/>
  <c r="BT47" i="98"/>
  <c r="BU47" i="98"/>
  <c r="BT46" i="98"/>
  <c r="BU46" i="98"/>
  <c r="BT45" i="98"/>
  <c r="BU45" i="98"/>
  <c r="BT44" i="98"/>
  <c r="BU44" i="98"/>
  <c r="BT43" i="98"/>
  <c r="BU43" i="98"/>
  <c r="BT42" i="98"/>
  <c r="BU42" i="98"/>
  <c r="BT41" i="98"/>
  <c r="BU41" i="98"/>
  <c r="BT40" i="98"/>
  <c r="BU40" i="98"/>
  <c r="BT31" i="98"/>
  <c r="BU31" i="98"/>
  <c r="AU384" i="98"/>
  <c r="D393" i="98"/>
  <c r="CC50" i="98"/>
  <c r="CD50" i="98"/>
  <c r="CC48" i="98"/>
  <c r="CD48" i="98"/>
  <c r="CC47" i="98"/>
  <c r="CD47" i="98"/>
  <c r="CC46" i="98"/>
  <c r="CD46" i="98"/>
  <c r="CC45" i="98"/>
  <c r="CD45" i="98"/>
  <c r="CC44" i="98"/>
  <c r="CD44" i="98"/>
  <c r="CC43" i="98"/>
  <c r="CD43" i="98"/>
  <c r="CC42" i="98"/>
  <c r="CD42" i="98"/>
  <c r="CC41" i="98"/>
  <c r="CD41" i="98"/>
  <c r="CC40" i="98"/>
  <c r="CD40" i="98"/>
  <c r="CC31" i="98"/>
  <c r="CD31" i="98"/>
  <c r="CC25" i="98"/>
  <c r="CD25" i="98"/>
  <c r="CC21" i="98"/>
  <c r="CD21" i="98"/>
  <c r="CC49" i="98"/>
  <c r="CD49" i="98"/>
  <c r="CC38" i="98"/>
  <c r="CD38" i="98"/>
  <c r="CC30" i="98"/>
  <c r="CD30" i="98"/>
  <c r="CC29" i="98"/>
  <c r="CD29" i="98"/>
  <c r="CC28" i="98"/>
  <c r="CD28" i="98"/>
  <c r="CC23" i="98"/>
  <c r="CD23" i="98"/>
  <c r="CC32" i="98"/>
  <c r="CD32" i="98"/>
  <c r="CC37" i="98"/>
  <c r="CD37" i="98"/>
  <c r="CC35" i="98"/>
  <c r="CD35" i="98"/>
  <c r="CC26" i="98"/>
  <c r="CD26" i="98"/>
  <c r="CC24" i="98"/>
  <c r="CD24" i="98"/>
  <c r="CC22" i="98"/>
  <c r="CD22" i="98"/>
  <c r="CC20" i="98"/>
  <c r="CC39" i="98"/>
  <c r="CD39" i="98"/>
  <c r="CC34" i="98"/>
  <c r="CD34" i="98"/>
  <c r="CC27" i="98"/>
  <c r="CD27" i="98"/>
  <c r="CC36" i="98"/>
  <c r="CD36" i="98"/>
  <c r="CC33" i="98"/>
  <c r="CD33" i="98"/>
  <c r="BA384" i="98"/>
  <c r="D399" i="98"/>
  <c r="CU49" i="98"/>
  <c r="CV49" i="98"/>
  <c r="CU38" i="98"/>
  <c r="CV38" i="98"/>
  <c r="CU30" i="98"/>
  <c r="CV30" i="98"/>
  <c r="CU29" i="98"/>
  <c r="CV29" i="98"/>
  <c r="CU28" i="98"/>
  <c r="CV28" i="98"/>
  <c r="CU23" i="98"/>
  <c r="CV23" i="98"/>
  <c r="CU50" i="98"/>
  <c r="CV50" i="98"/>
  <c r="CU48" i="98"/>
  <c r="CV48" i="98"/>
  <c r="CU47" i="98"/>
  <c r="CV47" i="98"/>
  <c r="CU46" i="98"/>
  <c r="CV46" i="98"/>
  <c r="CU45" i="98"/>
  <c r="CV45" i="98"/>
  <c r="CU44" i="98"/>
  <c r="CV44" i="98"/>
  <c r="CU43" i="98"/>
  <c r="CV43" i="98"/>
  <c r="CU42" i="98"/>
  <c r="CV42" i="98"/>
  <c r="CU41" i="98"/>
  <c r="CV41" i="98"/>
  <c r="CU40" i="98"/>
  <c r="CV40" i="98"/>
  <c r="CU31" i="98"/>
  <c r="CV31" i="98"/>
  <c r="CU25" i="98"/>
  <c r="CV25" i="98"/>
  <c r="CU21" i="98"/>
  <c r="CV21" i="98"/>
  <c r="CU37" i="98"/>
  <c r="CV37" i="98"/>
  <c r="CU35" i="98"/>
  <c r="CV35" i="98"/>
  <c r="CU26" i="98"/>
  <c r="CV26" i="98"/>
  <c r="CU24" i="98"/>
  <c r="CV24" i="98"/>
  <c r="CU22" i="98"/>
  <c r="CV22" i="98"/>
  <c r="CU20" i="98"/>
  <c r="CU39" i="98"/>
  <c r="CV39" i="98"/>
  <c r="CU34" i="98"/>
  <c r="CV34" i="98"/>
  <c r="CU27" i="98"/>
  <c r="CV27" i="98"/>
  <c r="CU36" i="98"/>
  <c r="CV36" i="98"/>
  <c r="CU33" i="98"/>
  <c r="CV33" i="98"/>
  <c r="CU32" i="98"/>
  <c r="CV32" i="98"/>
  <c r="DB190" i="98"/>
  <c r="BM197" i="98"/>
  <c r="BN197" i="98"/>
  <c r="BL198" i="98"/>
  <c r="DB239" i="98"/>
  <c r="DB53" i="98"/>
  <c r="DB56" i="98"/>
  <c r="BO134" i="98"/>
  <c r="CZ134" i="98"/>
  <c r="DB134" i="98"/>
  <c r="DB80" i="98"/>
  <c r="BM104" i="98"/>
  <c r="BN104" i="98"/>
  <c r="BL105" i="98"/>
  <c r="DB303" i="98"/>
  <c r="DB298" i="98"/>
  <c r="DB189" i="98"/>
  <c r="DB237" i="98"/>
  <c r="DB233" i="98"/>
  <c r="DB64" i="98"/>
  <c r="DB69" i="98"/>
  <c r="DB95" i="98"/>
  <c r="DB92" i="98"/>
  <c r="DB301" i="98"/>
  <c r="DB175" i="98"/>
  <c r="DB180" i="98"/>
  <c r="DB245" i="98"/>
  <c r="BM227" i="98"/>
  <c r="BN227" i="98"/>
  <c r="BL228" i="98"/>
  <c r="DB59" i="98"/>
  <c r="DB61" i="98"/>
  <c r="BO376" i="98"/>
  <c r="CZ376" i="98"/>
  <c r="DB90" i="98"/>
  <c r="BM351" i="98"/>
  <c r="BN351" i="98"/>
  <c r="BL352" i="98"/>
  <c r="DB302" i="98"/>
  <c r="DB179" i="98"/>
  <c r="DB251" i="98"/>
  <c r="DB58" i="98"/>
  <c r="DB99" i="98"/>
  <c r="DB89" i="98"/>
  <c r="DB253" i="98"/>
  <c r="DB294" i="98"/>
  <c r="AX384" i="98"/>
  <c r="D396" i="98"/>
  <c r="CL39" i="98"/>
  <c r="CM39" i="98"/>
  <c r="CL34" i="98"/>
  <c r="CM34" i="98"/>
  <c r="CL32" i="98"/>
  <c r="CM32" i="98"/>
  <c r="CL24" i="98"/>
  <c r="CM24" i="98"/>
  <c r="CL20" i="98"/>
  <c r="CL37" i="98"/>
  <c r="CM37" i="98"/>
  <c r="CL36" i="98"/>
  <c r="CM36" i="98"/>
  <c r="CL35" i="98"/>
  <c r="CM35" i="98"/>
  <c r="CL33" i="98"/>
  <c r="CM33" i="98"/>
  <c r="CL27" i="98"/>
  <c r="CM27" i="98"/>
  <c r="CL26" i="98"/>
  <c r="CM26" i="98"/>
  <c r="CL22" i="98"/>
  <c r="CM22" i="98"/>
  <c r="CL30" i="98"/>
  <c r="CM30" i="98"/>
  <c r="CL28" i="98"/>
  <c r="CM28" i="98"/>
  <c r="CL49" i="98"/>
  <c r="CM49" i="98"/>
  <c r="CL38" i="98"/>
  <c r="CM38" i="98"/>
  <c r="CL25" i="98"/>
  <c r="CM25" i="98"/>
  <c r="CL23" i="98"/>
  <c r="CM23" i="98"/>
  <c r="CL21" i="98"/>
  <c r="CM21" i="98"/>
  <c r="CL47" i="98"/>
  <c r="CM47" i="98"/>
  <c r="CL46" i="98"/>
  <c r="CM46" i="98"/>
  <c r="CL45" i="98"/>
  <c r="CM45" i="98"/>
  <c r="CL44" i="98"/>
  <c r="CM44" i="98"/>
  <c r="CL43" i="98"/>
  <c r="CM43" i="98"/>
  <c r="CL42" i="98"/>
  <c r="CM42" i="98"/>
  <c r="CL41" i="98"/>
  <c r="CM41" i="98"/>
  <c r="CL40" i="98"/>
  <c r="CM40" i="98"/>
  <c r="CL31" i="98"/>
  <c r="CM31" i="98"/>
  <c r="CL50" i="98"/>
  <c r="CM50" i="98"/>
  <c r="CL48" i="98"/>
  <c r="CM48" i="98"/>
  <c r="CL29" i="98"/>
  <c r="CM29" i="98"/>
  <c r="AZ384" i="98"/>
  <c r="D398" i="98"/>
  <c r="CR37" i="98"/>
  <c r="CS37" i="98"/>
  <c r="CR36" i="98"/>
  <c r="CS36" i="98"/>
  <c r="CR35" i="98"/>
  <c r="CS35" i="98"/>
  <c r="CR33" i="98"/>
  <c r="CS33" i="98"/>
  <c r="CR27" i="98"/>
  <c r="CS27" i="98"/>
  <c r="CR26" i="98"/>
  <c r="CS26" i="98"/>
  <c r="CR22" i="98"/>
  <c r="CS22" i="98"/>
  <c r="CR39" i="98"/>
  <c r="CS39" i="98"/>
  <c r="CR34" i="98"/>
  <c r="CS34" i="98"/>
  <c r="CR32" i="98"/>
  <c r="CS32" i="98"/>
  <c r="CR24" i="98"/>
  <c r="CS24" i="98"/>
  <c r="CR20" i="98"/>
  <c r="CR50" i="98"/>
  <c r="CS50" i="98"/>
  <c r="CR48" i="98"/>
  <c r="CS48" i="98"/>
  <c r="CR29" i="98"/>
  <c r="CS29" i="98"/>
  <c r="CR30" i="98"/>
  <c r="CS30" i="98"/>
  <c r="CR28" i="98"/>
  <c r="CS28" i="98"/>
  <c r="CR49" i="98"/>
  <c r="CS49" i="98"/>
  <c r="CR38" i="98"/>
  <c r="CS38" i="98"/>
  <c r="CR25" i="98"/>
  <c r="CS25" i="98"/>
  <c r="CR23" i="98"/>
  <c r="CS23" i="98"/>
  <c r="CR21" i="98"/>
  <c r="CS21" i="98"/>
  <c r="CR47" i="98"/>
  <c r="CS47" i="98"/>
  <c r="CR46" i="98"/>
  <c r="CS46" i="98"/>
  <c r="CR45" i="98"/>
  <c r="CS45" i="98"/>
  <c r="CR44" i="98"/>
  <c r="CS44" i="98"/>
  <c r="CR43" i="98"/>
  <c r="CS43" i="98"/>
  <c r="CR42" i="98"/>
  <c r="CS42" i="98"/>
  <c r="CR41" i="98"/>
  <c r="CS41" i="98"/>
  <c r="CR40" i="98"/>
  <c r="CS40" i="98"/>
  <c r="CR31" i="98"/>
  <c r="CS31" i="98"/>
  <c r="AY384" i="98"/>
  <c r="D397" i="98"/>
  <c r="CO50" i="98"/>
  <c r="CP50" i="98"/>
  <c r="CO48" i="98"/>
  <c r="CP48" i="98"/>
  <c r="CO47" i="98"/>
  <c r="CP47" i="98"/>
  <c r="CO46" i="98"/>
  <c r="CP46" i="98"/>
  <c r="CO45" i="98"/>
  <c r="CP45" i="98"/>
  <c r="CO44" i="98"/>
  <c r="CP44" i="98"/>
  <c r="CO43" i="98"/>
  <c r="CP43" i="98"/>
  <c r="CO42" i="98"/>
  <c r="CP42" i="98"/>
  <c r="CO41" i="98"/>
  <c r="CP41" i="98"/>
  <c r="CO40" i="98"/>
  <c r="CP40" i="98"/>
  <c r="CO31" i="98"/>
  <c r="CP31" i="98"/>
  <c r="CO25" i="98"/>
  <c r="CP25" i="98"/>
  <c r="CO21" i="98"/>
  <c r="CP21" i="98"/>
  <c r="CO49" i="98"/>
  <c r="CP49" i="98"/>
  <c r="CO38" i="98"/>
  <c r="CP38" i="98"/>
  <c r="CO30" i="98"/>
  <c r="CP30" i="98"/>
  <c r="CO29" i="98"/>
  <c r="CP29" i="98"/>
  <c r="CO28" i="98"/>
  <c r="CP28" i="98"/>
  <c r="CO23" i="98"/>
  <c r="CP23" i="98"/>
  <c r="CO39" i="98"/>
  <c r="CP39" i="98"/>
  <c r="CO34" i="98"/>
  <c r="CP34" i="98"/>
  <c r="CO27" i="98"/>
  <c r="CP27" i="98"/>
  <c r="CO36" i="98"/>
  <c r="CP36" i="98"/>
  <c r="CO33" i="98"/>
  <c r="CP33" i="98"/>
  <c r="CO32" i="98"/>
  <c r="CP32" i="98"/>
  <c r="CO37" i="98"/>
  <c r="CP37" i="98"/>
  <c r="CO35" i="98"/>
  <c r="CP35" i="98"/>
  <c r="CO26" i="98"/>
  <c r="CP26" i="98"/>
  <c r="CO24" i="98"/>
  <c r="CP24" i="98"/>
  <c r="CO22" i="98"/>
  <c r="CP22" i="98"/>
  <c r="CO20" i="98"/>
  <c r="DB186" i="98"/>
  <c r="DB249" i="98"/>
  <c r="DB232" i="98"/>
  <c r="BM76" i="98"/>
  <c r="BN76" i="98"/>
  <c r="BL77" i="98"/>
  <c r="DB98" i="98"/>
  <c r="DB308" i="98"/>
  <c r="DB185" i="98"/>
  <c r="BM256" i="98"/>
  <c r="BN256" i="98"/>
  <c r="BL257" i="98"/>
  <c r="DB66" i="98"/>
  <c r="DB62" i="98"/>
  <c r="DB81" i="98"/>
  <c r="DB306" i="98"/>
  <c r="DB311" i="98"/>
  <c r="DB192" i="98"/>
  <c r="DB172" i="98"/>
  <c r="DB195" i="98"/>
  <c r="DB238" i="98"/>
  <c r="DB71" i="98"/>
  <c r="BM41" i="98"/>
  <c r="BN41" i="98"/>
  <c r="BL42" i="98"/>
  <c r="DB304" i="98"/>
  <c r="DB191" i="98"/>
  <c r="DB173" i="98"/>
  <c r="BM319" i="98"/>
  <c r="BN319" i="98"/>
  <c r="BL320" i="98"/>
  <c r="DB234" i="98"/>
  <c r="DB54" i="98"/>
  <c r="DB72" i="98"/>
  <c r="DB88" i="98"/>
  <c r="DB312" i="98"/>
  <c r="AT384" i="98"/>
  <c r="D392" i="98"/>
  <c r="BZ39" i="98"/>
  <c r="CA39" i="98"/>
  <c r="BZ34" i="98"/>
  <c r="CA34" i="98"/>
  <c r="BZ32" i="98"/>
  <c r="CA32" i="98"/>
  <c r="BZ24" i="98"/>
  <c r="CA24" i="98"/>
  <c r="BZ20" i="98"/>
  <c r="BZ37" i="98"/>
  <c r="CA37" i="98"/>
  <c r="BZ36" i="98"/>
  <c r="CA36" i="98"/>
  <c r="BZ35" i="98"/>
  <c r="CA35" i="98"/>
  <c r="BZ33" i="98"/>
  <c r="CA33" i="98"/>
  <c r="BZ27" i="98"/>
  <c r="CA27" i="98"/>
  <c r="BZ26" i="98"/>
  <c r="CA26" i="98"/>
  <c r="BZ22" i="98"/>
  <c r="CA22" i="98"/>
  <c r="BZ47" i="98"/>
  <c r="CA47" i="98"/>
  <c r="BZ46" i="98"/>
  <c r="CA46" i="98"/>
  <c r="BZ45" i="98"/>
  <c r="CA45" i="98"/>
  <c r="BZ44" i="98"/>
  <c r="CA44" i="98"/>
  <c r="BZ43" i="98"/>
  <c r="CA43" i="98"/>
  <c r="BZ42" i="98"/>
  <c r="CA42" i="98"/>
  <c r="BZ41" i="98"/>
  <c r="CA41" i="98"/>
  <c r="BZ40" i="98"/>
  <c r="CA40" i="98"/>
  <c r="BZ31" i="98"/>
  <c r="CA31" i="98"/>
  <c r="BZ50" i="98"/>
  <c r="CA50" i="98"/>
  <c r="BZ48" i="98"/>
  <c r="CA48" i="98"/>
  <c r="BZ29" i="98"/>
  <c r="CA29" i="98"/>
  <c r="BZ30" i="98"/>
  <c r="CA30" i="98"/>
  <c r="BZ28" i="98"/>
  <c r="CA28" i="98"/>
  <c r="BZ49" i="98"/>
  <c r="CA49" i="98"/>
  <c r="BZ38" i="98"/>
  <c r="CA38" i="98"/>
  <c r="BZ25" i="98"/>
  <c r="CA25" i="98"/>
  <c r="BZ23" i="98"/>
  <c r="CA23" i="98"/>
  <c r="BZ21" i="98"/>
  <c r="CA21" i="98"/>
  <c r="AV384" i="98"/>
  <c r="D394" i="98"/>
  <c r="CF37" i="98"/>
  <c r="CG37" i="98"/>
  <c r="CF36" i="98"/>
  <c r="CG36" i="98"/>
  <c r="CF35" i="98"/>
  <c r="CG35" i="98"/>
  <c r="CF33" i="98"/>
  <c r="CG33" i="98"/>
  <c r="CF27" i="98"/>
  <c r="CG27" i="98"/>
  <c r="CF26" i="98"/>
  <c r="CG26" i="98"/>
  <c r="CF22" i="98"/>
  <c r="CG22" i="98"/>
  <c r="CF39" i="98"/>
  <c r="CG39" i="98"/>
  <c r="CF34" i="98"/>
  <c r="CG34" i="98"/>
  <c r="CF32" i="98"/>
  <c r="CG32" i="98"/>
  <c r="CF24" i="98"/>
  <c r="CG24" i="98"/>
  <c r="CF20" i="98"/>
  <c r="CF49" i="98"/>
  <c r="CG49" i="98"/>
  <c r="CF38" i="98"/>
  <c r="CG38" i="98"/>
  <c r="CF25" i="98"/>
  <c r="CG25" i="98"/>
  <c r="CF23" i="98"/>
  <c r="CG23" i="98"/>
  <c r="CF21" i="98"/>
  <c r="CG21" i="98"/>
  <c r="CF47" i="98"/>
  <c r="CG47" i="98"/>
  <c r="CF46" i="98"/>
  <c r="CG46" i="98"/>
  <c r="CF45" i="98"/>
  <c r="CG45" i="98"/>
  <c r="CF44" i="98"/>
  <c r="CG44" i="98"/>
  <c r="CF43" i="98"/>
  <c r="CG43" i="98"/>
  <c r="CF42" i="98"/>
  <c r="CG42" i="98"/>
  <c r="CF41" i="98"/>
  <c r="CG41" i="98"/>
  <c r="CF40" i="98"/>
  <c r="CG40" i="98"/>
  <c r="CF31" i="98"/>
  <c r="CG31" i="98"/>
  <c r="CF50" i="98"/>
  <c r="CG50" i="98"/>
  <c r="CF48" i="98"/>
  <c r="CG48" i="98"/>
  <c r="CF29" i="98"/>
  <c r="CG29" i="98"/>
  <c r="CF30" i="98"/>
  <c r="CG30" i="98"/>
  <c r="CF28" i="98"/>
  <c r="CG28" i="98"/>
  <c r="AS384" i="98"/>
  <c r="D391" i="98"/>
  <c r="BW49" i="98"/>
  <c r="BX49" i="98"/>
  <c r="BW38" i="98"/>
  <c r="BX38" i="98"/>
  <c r="BW30" i="98"/>
  <c r="BX30" i="98"/>
  <c r="BW29" i="98"/>
  <c r="BX29" i="98"/>
  <c r="BW28" i="98"/>
  <c r="BX28" i="98"/>
  <c r="BW23" i="98"/>
  <c r="BX23" i="98"/>
  <c r="BW50" i="98"/>
  <c r="BX50" i="98"/>
  <c r="BW48" i="98"/>
  <c r="BX48" i="98"/>
  <c r="BW47" i="98"/>
  <c r="BX47" i="98"/>
  <c r="BW46" i="98"/>
  <c r="BX46" i="98"/>
  <c r="BW45" i="98"/>
  <c r="BX45" i="98"/>
  <c r="BW44" i="98"/>
  <c r="BX44" i="98"/>
  <c r="BW43" i="98"/>
  <c r="BX43" i="98"/>
  <c r="BW42" i="98"/>
  <c r="BX42" i="98"/>
  <c r="BW41" i="98"/>
  <c r="BX41" i="98"/>
  <c r="BW40" i="98"/>
  <c r="BX40" i="98"/>
  <c r="BW31" i="98"/>
  <c r="BX31" i="98"/>
  <c r="BW25" i="98"/>
  <c r="BX25" i="98"/>
  <c r="BW21" i="98"/>
  <c r="BX21" i="98"/>
  <c r="BW37" i="98"/>
  <c r="BX37" i="98"/>
  <c r="BW35" i="98"/>
  <c r="BX35" i="98"/>
  <c r="BW26" i="98"/>
  <c r="BX26" i="98"/>
  <c r="BW24" i="98"/>
  <c r="BX24" i="98"/>
  <c r="BW22" i="98"/>
  <c r="BX22" i="98"/>
  <c r="BW20" i="98"/>
  <c r="BW39" i="98"/>
  <c r="BX39" i="98"/>
  <c r="BW34" i="98"/>
  <c r="BX34" i="98"/>
  <c r="BW27" i="98"/>
  <c r="BX27" i="98"/>
  <c r="BW36" i="98"/>
  <c r="BX36" i="98"/>
  <c r="BW33" i="98"/>
  <c r="BX33" i="98"/>
  <c r="BW32" i="98"/>
  <c r="BX32" i="98"/>
  <c r="DB178" i="98"/>
  <c r="DB182" i="98"/>
  <c r="BO196" i="98"/>
  <c r="CZ196" i="98"/>
  <c r="DB196" i="98"/>
  <c r="DB250" i="98"/>
  <c r="DB73" i="98"/>
  <c r="BM135" i="98"/>
  <c r="BN135" i="98"/>
  <c r="BL136" i="98"/>
  <c r="DB96" i="98"/>
  <c r="DB86" i="98"/>
  <c r="BO103" i="98"/>
  <c r="CZ103" i="98"/>
  <c r="DB103" i="98"/>
  <c r="DB296" i="98"/>
  <c r="DB181" i="98"/>
  <c r="DB247" i="98"/>
  <c r="DB51" i="98"/>
  <c r="DB93" i="98"/>
  <c r="DB293" i="98"/>
  <c r="DB313" i="98"/>
  <c r="DB188" i="98"/>
  <c r="DB171" i="98"/>
  <c r="DB246" i="98"/>
  <c r="DB244" i="98"/>
  <c r="BO226" i="98"/>
  <c r="CZ226" i="98"/>
  <c r="DB65" i="98"/>
  <c r="BM377" i="98"/>
  <c r="BN377" i="98"/>
  <c r="BL378" i="98"/>
  <c r="DB74" i="98"/>
  <c r="DB97" i="98"/>
  <c r="BO350" i="98"/>
  <c r="CZ350" i="98"/>
  <c r="DB309" i="98"/>
  <c r="DB187" i="98"/>
  <c r="G35" i="72"/>
  <c r="G34" i="72"/>
  <c r="G20" i="47"/>
  <c r="I36" i="64"/>
  <c r="F34" i="64"/>
  <c r="I34" i="64"/>
  <c r="I18" i="67"/>
  <c r="E34" i="64"/>
  <c r="G17" i="65"/>
  <c r="I40" i="64"/>
  <c r="E16" i="65"/>
  <c r="D81" i="72"/>
  <c r="E10" i="65"/>
  <c r="D78" i="72"/>
  <c r="E8" i="65"/>
  <c r="D76" i="72"/>
  <c r="E76" i="72"/>
  <c r="DB162" i="98"/>
  <c r="DB376" i="98"/>
  <c r="BO163" i="98"/>
  <c r="CZ163" i="98"/>
  <c r="DB163" i="98"/>
  <c r="BO135" i="98"/>
  <c r="CZ135" i="98"/>
  <c r="DB135" i="98"/>
  <c r="BO319" i="98"/>
  <c r="CZ319" i="98"/>
  <c r="DB319" i="98"/>
  <c r="BO41" i="98"/>
  <c r="CZ41" i="98"/>
  <c r="DB350" i="98"/>
  <c r="DB226" i="98"/>
  <c r="BM42" i="98"/>
  <c r="BN42" i="98"/>
  <c r="BL43" i="98"/>
  <c r="CR386" i="98"/>
  <c r="CS20" i="98"/>
  <c r="CS386" i="98"/>
  <c r="AI408" i="98"/>
  <c r="BM164" i="98"/>
  <c r="BN164" i="98"/>
  <c r="BL165" i="98"/>
  <c r="CI386" i="98"/>
  <c r="CJ20" i="98"/>
  <c r="CJ386" i="98"/>
  <c r="AI405" i="98"/>
  <c r="DA26" i="98"/>
  <c r="DA33" i="98"/>
  <c r="DA39" i="98"/>
  <c r="DA30" i="98"/>
  <c r="DA25" i="98"/>
  <c r="DA42" i="98"/>
  <c r="DA46" i="98"/>
  <c r="D401" i="98"/>
  <c r="D470" i="98"/>
  <c r="BM378" i="98"/>
  <c r="BN378" i="98"/>
  <c r="BL379" i="98"/>
  <c r="BO256" i="98"/>
  <c r="CZ256" i="98"/>
  <c r="DB256" i="98"/>
  <c r="BM77" i="98"/>
  <c r="BN77" i="98"/>
  <c r="BL78" i="98"/>
  <c r="CO386" i="98"/>
  <c r="CP20" i="98"/>
  <c r="CP386" i="98"/>
  <c r="AI407" i="98"/>
  <c r="BO351" i="98"/>
  <c r="CZ351" i="98"/>
  <c r="DB351" i="98"/>
  <c r="BM228" i="98"/>
  <c r="BN228" i="98"/>
  <c r="BL229" i="98"/>
  <c r="BM105" i="98"/>
  <c r="BN105" i="98"/>
  <c r="BL106" i="98"/>
  <c r="BO197" i="98"/>
  <c r="CZ197" i="98"/>
  <c r="DB197" i="98"/>
  <c r="CC386" i="98"/>
  <c r="CD20" i="98"/>
  <c r="CD386" i="98"/>
  <c r="AI403" i="98"/>
  <c r="BO284" i="98"/>
  <c r="CZ284" i="98"/>
  <c r="DB284" i="98"/>
  <c r="BQ386" i="98"/>
  <c r="BR20" i="98"/>
  <c r="DA35" i="98"/>
  <c r="DA36" i="98"/>
  <c r="DA23" i="98"/>
  <c r="DA38" i="98"/>
  <c r="DA31" i="98"/>
  <c r="DA43" i="98"/>
  <c r="DA47" i="98"/>
  <c r="BM136" i="98"/>
  <c r="BN136" i="98"/>
  <c r="BL137" i="98"/>
  <c r="BW386" i="98"/>
  <c r="BX20" i="98"/>
  <c r="BX386" i="98"/>
  <c r="AI401" i="98"/>
  <c r="BZ386" i="98"/>
  <c r="CA20" i="98"/>
  <c r="CA386" i="98"/>
  <c r="AI402" i="98"/>
  <c r="BM320" i="98"/>
  <c r="BN320" i="98"/>
  <c r="BL321" i="98"/>
  <c r="CU386" i="98"/>
  <c r="CV20" i="98"/>
  <c r="CV386" i="98"/>
  <c r="AI409" i="98"/>
  <c r="DA22" i="98"/>
  <c r="DA37" i="98"/>
  <c r="DA27" i="98"/>
  <c r="DA28" i="98"/>
  <c r="DA49" i="98"/>
  <c r="DA40" i="98"/>
  <c r="DA44" i="98"/>
  <c r="DA48" i="98"/>
  <c r="BO377" i="98"/>
  <c r="CZ377" i="98"/>
  <c r="DB377" i="98"/>
  <c r="CF386" i="98"/>
  <c r="CG20" i="98"/>
  <c r="CG386" i="98"/>
  <c r="AI404" i="98"/>
  <c r="BM257" i="98"/>
  <c r="BN257" i="98"/>
  <c r="BL258" i="98"/>
  <c r="BO76" i="98"/>
  <c r="CZ76" i="98"/>
  <c r="DB76" i="98"/>
  <c r="CL386" i="98"/>
  <c r="CM20" i="98"/>
  <c r="CM386" i="98"/>
  <c r="AI406" i="98"/>
  <c r="BM352" i="98"/>
  <c r="BN352" i="98"/>
  <c r="BL353" i="98"/>
  <c r="BO227" i="98"/>
  <c r="CZ227" i="98"/>
  <c r="DB227" i="98"/>
  <c r="BO104" i="98"/>
  <c r="CZ104" i="98"/>
  <c r="DB104" i="98"/>
  <c r="BM198" i="98"/>
  <c r="BN198" i="98"/>
  <c r="BL199" i="98"/>
  <c r="BT386" i="98"/>
  <c r="BU20" i="98"/>
  <c r="BU386" i="98"/>
  <c r="AI400" i="98"/>
  <c r="BM285" i="98"/>
  <c r="BN285" i="98"/>
  <c r="BL286" i="98"/>
  <c r="DA24" i="98"/>
  <c r="DA32" i="98"/>
  <c r="DA34" i="98"/>
  <c r="DA29" i="98"/>
  <c r="DA21" i="98"/>
  <c r="DA41" i="98"/>
  <c r="DA45" i="98"/>
  <c r="DA50" i="98"/>
  <c r="CX386" i="98"/>
  <c r="CY20" i="98"/>
  <c r="CY386" i="98"/>
  <c r="AI410" i="98"/>
  <c r="G78" i="72"/>
  <c r="E78" i="72"/>
  <c r="E81" i="72"/>
  <c r="G81" i="72"/>
  <c r="E17" i="65"/>
  <c r="B35" i="72"/>
  <c r="B34" i="72"/>
  <c r="A30" i="74"/>
  <c r="G16" i="51"/>
  <c r="I38" i="64"/>
  <c r="E16" i="51"/>
  <c r="D59" i="72"/>
  <c r="E126" i="70"/>
  <c r="H126" i="70"/>
  <c r="E125" i="70"/>
  <c r="H125" i="70"/>
  <c r="E124" i="70"/>
  <c r="H124" i="70"/>
  <c r="E123" i="70"/>
  <c r="H123" i="70"/>
  <c r="E113" i="70"/>
  <c r="H113" i="70"/>
  <c r="E114" i="70"/>
  <c r="H114" i="70"/>
  <c r="E115" i="70"/>
  <c r="H115" i="70"/>
  <c r="E116" i="70"/>
  <c r="H116" i="70"/>
  <c r="E121" i="70"/>
  <c r="H121" i="70"/>
  <c r="E122" i="70"/>
  <c r="H122" i="70"/>
  <c r="E120" i="70"/>
  <c r="H120" i="70"/>
  <c r="E119" i="70"/>
  <c r="H119" i="70"/>
  <c r="E118" i="70"/>
  <c r="H118" i="70"/>
  <c r="E117" i="70"/>
  <c r="H117" i="70"/>
  <c r="E112" i="70"/>
  <c r="H112" i="70"/>
  <c r="Y114" i="73"/>
  <c r="X114" i="73"/>
  <c r="W114" i="73"/>
  <c r="V114" i="73"/>
  <c r="U114" i="73"/>
  <c r="T114" i="73"/>
  <c r="S114" i="73"/>
  <c r="R114" i="73"/>
  <c r="Q114" i="73"/>
  <c r="P114" i="73"/>
  <c r="O114" i="73"/>
  <c r="N114" i="73"/>
  <c r="M114" i="73"/>
  <c r="L114" i="73"/>
  <c r="K114" i="73"/>
  <c r="Y106" i="73"/>
  <c r="X106" i="73"/>
  <c r="W106" i="73"/>
  <c r="V106" i="73"/>
  <c r="U106" i="73"/>
  <c r="T106" i="73"/>
  <c r="S106" i="73"/>
  <c r="R106" i="73"/>
  <c r="Q106" i="73"/>
  <c r="P106" i="73"/>
  <c r="O106" i="73"/>
  <c r="N106" i="73"/>
  <c r="M106" i="73"/>
  <c r="L106" i="73"/>
  <c r="K106" i="73"/>
  <c r="BO285" i="98"/>
  <c r="CZ285" i="98"/>
  <c r="DB285" i="98"/>
  <c r="BO198" i="98"/>
  <c r="CZ198" i="98"/>
  <c r="DB198" i="98"/>
  <c r="BO136" i="98"/>
  <c r="CZ136" i="98"/>
  <c r="DB136" i="98"/>
  <c r="BO105" i="98"/>
  <c r="CZ105" i="98"/>
  <c r="DB105" i="98"/>
  <c r="DB29" i="98"/>
  <c r="BM286" i="98"/>
  <c r="BN286" i="98"/>
  <c r="BL287" i="98"/>
  <c r="DB32" i="98"/>
  <c r="DB40" i="98"/>
  <c r="DB37" i="98"/>
  <c r="DB41" i="98"/>
  <c r="BM137" i="98"/>
  <c r="BN137" i="98"/>
  <c r="BL138" i="98"/>
  <c r="DB36" i="98"/>
  <c r="BM106" i="98"/>
  <c r="BN106" i="98"/>
  <c r="BL107" i="98"/>
  <c r="DB33" i="98"/>
  <c r="DB21" i="98"/>
  <c r="DB24" i="98"/>
  <c r="BO352" i="98"/>
  <c r="CZ352" i="98"/>
  <c r="DB352" i="98"/>
  <c r="BM258" i="98"/>
  <c r="BN258" i="98"/>
  <c r="BL259" i="98"/>
  <c r="DB22" i="98"/>
  <c r="BM321" i="98"/>
  <c r="BN321" i="98"/>
  <c r="BL322" i="98"/>
  <c r="DB31" i="98"/>
  <c r="DB35" i="98"/>
  <c r="BO228" i="98"/>
  <c r="CZ228" i="98"/>
  <c r="DB228" i="98"/>
  <c r="BM78" i="98"/>
  <c r="BN78" i="98"/>
  <c r="BM379" i="98"/>
  <c r="BN379" i="98"/>
  <c r="BL380" i="98"/>
  <c r="DB25" i="98"/>
  <c r="DB26" i="98"/>
  <c r="BM165" i="98"/>
  <c r="BN165" i="98"/>
  <c r="BL166" i="98"/>
  <c r="BM43" i="98"/>
  <c r="BN43" i="98"/>
  <c r="BL44" i="98"/>
  <c r="BM199" i="98"/>
  <c r="BN199" i="98"/>
  <c r="BL200" i="98"/>
  <c r="DB28" i="98"/>
  <c r="DB38" i="98"/>
  <c r="BR386" i="98"/>
  <c r="AI399" i="98"/>
  <c r="DA20" i="98"/>
  <c r="DB30" i="98"/>
  <c r="DB34" i="98"/>
  <c r="BM353" i="98"/>
  <c r="BN353" i="98"/>
  <c r="BO257" i="98"/>
  <c r="CZ257" i="98"/>
  <c r="DB257" i="98"/>
  <c r="DB27" i="98"/>
  <c r="BO320" i="98"/>
  <c r="CZ320" i="98"/>
  <c r="DB320" i="98"/>
  <c r="DB23" i="98"/>
  <c r="BM229" i="98"/>
  <c r="BN229" i="98"/>
  <c r="BL230" i="98"/>
  <c r="BO77" i="98"/>
  <c r="CZ77" i="98"/>
  <c r="DB77" i="98"/>
  <c r="BO378" i="98"/>
  <c r="CZ378" i="98"/>
  <c r="DB378" i="98"/>
  <c r="DB39" i="98"/>
  <c r="BO164" i="98"/>
  <c r="CZ164" i="98"/>
  <c r="DB164" i="98"/>
  <c r="BO42" i="98"/>
  <c r="CZ42" i="98"/>
  <c r="DB42" i="98"/>
  <c r="F112" i="70"/>
  <c r="F113" i="70"/>
  <c r="F114" i="70"/>
  <c r="F115" i="70"/>
  <c r="F116" i="70"/>
  <c r="F117" i="70"/>
  <c r="F118" i="70"/>
  <c r="F119" i="70"/>
  <c r="F120" i="70"/>
  <c r="F121" i="70"/>
  <c r="F122" i="70"/>
  <c r="F123" i="70"/>
  <c r="F124" i="70"/>
  <c r="F125" i="70"/>
  <c r="F126" i="70"/>
  <c r="G52" i="70"/>
  <c r="H53" i="70"/>
  <c r="G32" i="70"/>
  <c r="E32" i="70"/>
  <c r="F32" i="70"/>
  <c r="F201" i="70"/>
  <c r="B237" i="70"/>
  <c r="B236" i="70"/>
  <c r="B235" i="70"/>
  <c r="B234" i="70"/>
  <c r="B233" i="70"/>
  <c r="B232" i="70"/>
  <c r="B231" i="70"/>
  <c r="B230" i="70"/>
  <c r="B229" i="70"/>
  <c r="B228" i="70"/>
  <c r="B227" i="70"/>
  <c r="B226" i="70"/>
  <c r="B225" i="70"/>
  <c r="B224" i="70"/>
  <c r="B223" i="70"/>
  <c r="B222" i="70"/>
  <c r="B221" i="70"/>
  <c r="B220" i="70"/>
  <c r="B219" i="70"/>
  <c r="B218" i="70"/>
  <c r="B217" i="70"/>
  <c r="B216" i="70"/>
  <c r="B215" i="70"/>
  <c r="B214" i="70"/>
  <c r="B213" i="70"/>
  <c r="B212" i="70"/>
  <c r="B211" i="70"/>
  <c r="B210" i="70"/>
  <c r="B209" i="70"/>
  <c r="B208" i="70"/>
  <c r="B207" i="70"/>
  <c r="B206" i="70"/>
  <c r="B205" i="70"/>
  <c r="B204" i="70"/>
  <c r="B203" i="70"/>
  <c r="B202" i="70"/>
  <c r="B201" i="70"/>
  <c r="G38" i="70"/>
  <c r="G42" i="70"/>
  <c r="B126" i="70"/>
  <c r="B125" i="70"/>
  <c r="B124" i="70"/>
  <c r="B123" i="70"/>
  <c r="B122" i="70"/>
  <c r="B121" i="70"/>
  <c r="B120" i="70"/>
  <c r="B119" i="70"/>
  <c r="B118" i="70"/>
  <c r="B117" i="70"/>
  <c r="B116" i="70"/>
  <c r="B115" i="70"/>
  <c r="B114" i="70"/>
  <c r="B113" i="70"/>
  <c r="B112" i="70"/>
  <c r="F22" i="70"/>
  <c r="H19" i="70"/>
  <c r="Y93" i="73"/>
  <c r="X93" i="73"/>
  <c r="W93" i="73"/>
  <c r="V93" i="73"/>
  <c r="U93" i="73"/>
  <c r="T93" i="73"/>
  <c r="S93" i="73"/>
  <c r="R93" i="73"/>
  <c r="Q93" i="73"/>
  <c r="P93" i="73"/>
  <c r="O93" i="73"/>
  <c r="N93" i="73"/>
  <c r="M93" i="73"/>
  <c r="L93" i="73"/>
  <c r="K93" i="73"/>
  <c r="E7" i="25"/>
  <c r="D23" i="72"/>
  <c r="E16" i="25"/>
  <c r="D29" i="72"/>
  <c r="E29" i="72"/>
  <c r="D33" i="72"/>
  <c r="BO165" i="98"/>
  <c r="CZ165" i="98"/>
  <c r="DB165" i="98"/>
  <c r="BO321" i="98"/>
  <c r="CZ321" i="98"/>
  <c r="DB321" i="98"/>
  <c r="BO258" i="98"/>
  <c r="CZ258" i="98"/>
  <c r="DB258" i="98"/>
  <c r="BO286" i="98"/>
  <c r="CZ286" i="98"/>
  <c r="DB286" i="98"/>
  <c r="BM166" i="98"/>
  <c r="BN166" i="98"/>
  <c r="BL167" i="98"/>
  <c r="BM322" i="98"/>
  <c r="BN322" i="98"/>
  <c r="BL323" i="98"/>
  <c r="BM230" i="98"/>
  <c r="BN230" i="98"/>
  <c r="BL231" i="98"/>
  <c r="BO353" i="98"/>
  <c r="CZ353" i="98"/>
  <c r="DB353" i="98"/>
  <c r="BO199" i="98"/>
  <c r="CZ199" i="98"/>
  <c r="DB199" i="98"/>
  <c r="BO43" i="98"/>
  <c r="CZ43" i="98"/>
  <c r="DB43" i="98"/>
  <c r="BM380" i="98"/>
  <c r="BN380" i="98"/>
  <c r="BL381" i="98"/>
  <c r="BO78" i="98"/>
  <c r="CZ78" i="98"/>
  <c r="DB78" i="98"/>
  <c r="BM107" i="98"/>
  <c r="BN107" i="98"/>
  <c r="BL108" i="98"/>
  <c r="BO137" i="98"/>
  <c r="CZ137" i="98"/>
  <c r="DB137" i="98"/>
  <c r="DA386" i="98"/>
  <c r="DB20" i="98"/>
  <c r="BM259" i="98"/>
  <c r="BN259" i="98"/>
  <c r="BL260" i="98"/>
  <c r="BM287" i="98"/>
  <c r="BN287" i="98"/>
  <c r="BL288" i="98"/>
  <c r="BO229" i="98"/>
  <c r="CZ229" i="98"/>
  <c r="DB229" i="98"/>
  <c r="AI411" i="98"/>
  <c r="BM200" i="98"/>
  <c r="BN200" i="98"/>
  <c r="BM44" i="98"/>
  <c r="BN44" i="98"/>
  <c r="BL45" i="98"/>
  <c r="BO379" i="98"/>
  <c r="CZ379" i="98"/>
  <c r="DB379" i="98"/>
  <c r="BO106" i="98"/>
  <c r="CZ106" i="98"/>
  <c r="DB106" i="98"/>
  <c r="BM138" i="98"/>
  <c r="BN138" i="98"/>
  <c r="BL139" i="98"/>
  <c r="F18" i="70"/>
  <c r="H22" i="70"/>
  <c r="F131" i="73"/>
  <c r="F127" i="73"/>
  <c r="F123" i="73"/>
  <c r="F119" i="73"/>
  <c r="F115" i="73"/>
  <c r="F111" i="73"/>
  <c r="F107" i="73"/>
  <c r="F103" i="73"/>
  <c r="F99" i="73"/>
  <c r="F95" i="73"/>
  <c r="F118" i="73"/>
  <c r="F102" i="73"/>
  <c r="F132" i="73"/>
  <c r="F128" i="73"/>
  <c r="F124" i="73"/>
  <c r="F120" i="73"/>
  <c r="F116" i="73"/>
  <c r="F112" i="73"/>
  <c r="F108" i="73"/>
  <c r="F104" i="73"/>
  <c r="F100" i="73"/>
  <c r="F96" i="73"/>
  <c r="F134" i="73"/>
  <c r="F126" i="73"/>
  <c r="F114" i="73"/>
  <c r="F106" i="73"/>
  <c r="F133" i="73"/>
  <c r="F129" i="73"/>
  <c r="F125" i="73"/>
  <c r="F121" i="73"/>
  <c r="F117" i="73"/>
  <c r="F113" i="73"/>
  <c r="F109" i="73"/>
  <c r="F105" i="73"/>
  <c r="F101" i="73"/>
  <c r="F97" i="73"/>
  <c r="F130" i="73"/>
  <c r="F122" i="73"/>
  <c r="F110" i="73"/>
  <c r="F98" i="73"/>
  <c r="E32" i="25"/>
  <c r="F203" i="70"/>
  <c r="F202" i="70"/>
  <c r="G13" i="72"/>
  <c r="D13" i="72"/>
  <c r="I12" i="67"/>
  <c r="H47" i="70"/>
  <c r="H5" i="65"/>
  <c r="G5" i="65"/>
  <c r="A1" i="83"/>
  <c r="C2" i="83"/>
  <c r="B9" i="83"/>
  <c r="C9" i="83"/>
  <c r="B10" i="83"/>
  <c r="C10" i="83"/>
  <c r="B11" i="83"/>
  <c r="C11" i="83"/>
  <c r="B12" i="83"/>
  <c r="B13" i="83"/>
  <c r="C13" i="83"/>
  <c r="B14" i="83"/>
  <c r="C14" i="83"/>
  <c r="B15" i="83"/>
  <c r="C15" i="83"/>
  <c r="B16" i="83"/>
  <c r="C16" i="83"/>
  <c r="N18" i="83"/>
  <c r="N25" i="83"/>
  <c r="G1" i="83"/>
  <c r="N31" i="83"/>
  <c r="G9" i="72"/>
  <c r="G10" i="72"/>
  <c r="G11" i="72"/>
  <c r="G12" i="72"/>
  <c r="G14" i="72"/>
  <c r="G15" i="72"/>
  <c r="O34" i="83"/>
  <c r="E31" i="72"/>
  <c r="G24" i="72"/>
  <c r="G31" i="72"/>
  <c r="O35" i="83"/>
  <c r="G40" i="72"/>
  <c r="G45" i="72"/>
  <c r="O36" i="83"/>
  <c r="G50" i="72"/>
  <c r="G53" i="72"/>
  <c r="O37" i="83"/>
  <c r="E58" i="72"/>
  <c r="G57" i="72"/>
  <c r="G58" i="72"/>
  <c r="O38" i="83"/>
  <c r="E64" i="72"/>
  <c r="E69" i="72"/>
  <c r="G64" i="72"/>
  <c r="G69" i="72"/>
  <c r="O39" i="83"/>
  <c r="E75" i="72"/>
  <c r="E77" i="72"/>
  <c r="G75" i="72"/>
  <c r="G77" i="72"/>
  <c r="G79" i="72"/>
  <c r="O40" i="83"/>
  <c r="E87" i="72"/>
  <c r="E88" i="72"/>
  <c r="G86" i="72"/>
  <c r="G87" i="72"/>
  <c r="G88" i="72"/>
  <c r="O41" i="83"/>
  <c r="O43" i="83"/>
  <c r="M48" i="83"/>
  <c r="M49" i="83"/>
  <c r="G50" i="83"/>
  <c r="M50" i="83"/>
  <c r="G51" i="83"/>
  <c r="M51" i="83"/>
  <c r="G52" i="83"/>
  <c r="M52" i="83"/>
  <c r="G53" i="83"/>
  <c r="M53" i="83"/>
  <c r="G54" i="83"/>
  <c r="M54" i="83"/>
  <c r="G55" i="83"/>
  <c r="G56" i="83"/>
  <c r="G57" i="83"/>
  <c r="B58" i="83"/>
  <c r="G65" i="83"/>
  <c r="M65" i="83"/>
  <c r="G69" i="83"/>
  <c r="M69" i="83"/>
  <c r="G71" i="83"/>
  <c r="M71" i="83"/>
  <c r="C72" i="83"/>
  <c r="G73" i="83"/>
  <c r="M73" i="83"/>
  <c r="G75" i="83"/>
  <c r="M75" i="83"/>
  <c r="G77" i="83"/>
  <c r="M77" i="83"/>
  <c r="G79" i="83"/>
  <c r="M79" i="83"/>
  <c r="C2" i="64"/>
  <c r="B18" i="64"/>
  <c r="C18" i="64"/>
  <c r="D18" i="64"/>
  <c r="E18" i="64"/>
  <c r="F18" i="64"/>
  <c r="G18" i="64"/>
  <c r="H18" i="64"/>
  <c r="I18" i="64"/>
  <c r="J18" i="64"/>
  <c r="K18" i="64"/>
  <c r="N18" i="64"/>
  <c r="N25" i="64"/>
  <c r="G1" i="64"/>
  <c r="N31" i="64"/>
  <c r="C34" i="64"/>
  <c r="D34" i="64"/>
  <c r="N66" i="64"/>
  <c r="J66" i="64"/>
  <c r="O34" i="64"/>
  <c r="O44" i="64"/>
  <c r="C55" i="64"/>
  <c r="C35" i="64"/>
  <c r="D35" i="64"/>
  <c r="N68" i="64"/>
  <c r="O35" i="64"/>
  <c r="C36" i="64"/>
  <c r="D36" i="64"/>
  <c r="N70" i="64"/>
  <c r="O36" i="64"/>
  <c r="C37" i="64"/>
  <c r="D37" i="64"/>
  <c r="N72" i="64"/>
  <c r="O37" i="64"/>
  <c r="C38" i="64"/>
  <c r="D38" i="64"/>
  <c r="N74" i="64"/>
  <c r="O38" i="64"/>
  <c r="C39" i="64"/>
  <c r="D39" i="64"/>
  <c r="N76" i="64"/>
  <c r="O39" i="64"/>
  <c r="C40" i="64"/>
  <c r="D40" i="64"/>
  <c r="N78" i="64"/>
  <c r="O40" i="64"/>
  <c r="C41" i="64"/>
  <c r="O41" i="64"/>
  <c r="I7" i="41"/>
  <c r="O43" i="64"/>
  <c r="M48" i="64"/>
  <c r="M49" i="64"/>
  <c r="G50" i="64"/>
  <c r="M50" i="64"/>
  <c r="G51" i="64"/>
  <c r="M51" i="64"/>
  <c r="G52" i="64"/>
  <c r="M52" i="64"/>
  <c r="G53" i="64"/>
  <c r="M53" i="64"/>
  <c r="G54" i="64"/>
  <c r="M54" i="64"/>
  <c r="G55" i="64"/>
  <c r="G56" i="64"/>
  <c r="G57" i="64"/>
  <c r="B58" i="64"/>
  <c r="G65" i="64"/>
  <c r="H65" i="64"/>
  <c r="M65" i="64"/>
  <c r="G69" i="64"/>
  <c r="M69" i="64"/>
  <c r="G71" i="64"/>
  <c r="M71" i="64"/>
  <c r="C72" i="64"/>
  <c r="G73" i="64"/>
  <c r="M73" i="64"/>
  <c r="G75" i="64"/>
  <c r="M75" i="64"/>
  <c r="G77" i="64"/>
  <c r="M77" i="64"/>
  <c r="G79" i="64"/>
  <c r="M79" i="64"/>
  <c r="B1" i="82"/>
  <c r="D3" i="82"/>
  <c r="E94" i="72"/>
  <c r="E95" i="72"/>
  <c r="E96" i="72"/>
  <c r="A1" i="72"/>
  <c r="A3" i="72"/>
  <c r="B8" i="72"/>
  <c r="B9" i="72"/>
  <c r="D9" i="72"/>
  <c r="B10" i="72"/>
  <c r="D10" i="72"/>
  <c r="B11" i="72"/>
  <c r="D11" i="72"/>
  <c r="B12" i="72"/>
  <c r="D12" i="72"/>
  <c r="B13" i="72"/>
  <c r="B14" i="72"/>
  <c r="D14" i="72"/>
  <c r="B15" i="72"/>
  <c r="B22" i="72"/>
  <c r="B23" i="72"/>
  <c r="D24" i="72"/>
  <c r="B28" i="72"/>
  <c r="B29" i="72"/>
  <c r="B30" i="72"/>
  <c r="B31" i="72"/>
  <c r="D31" i="72"/>
  <c r="B32" i="72"/>
  <c r="B33" i="72"/>
  <c r="B39" i="72"/>
  <c r="G39" i="72"/>
  <c r="B40" i="72"/>
  <c r="B41" i="72"/>
  <c r="B48" i="72"/>
  <c r="B49" i="72"/>
  <c r="B50" i="72"/>
  <c r="B51" i="72"/>
  <c r="B53" i="72"/>
  <c r="D53" i="72"/>
  <c r="E53" i="72"/>
  <c r="B57" i="72"/>
  <c r="D57" i="72"/>
  <c r="B58" i="72"/>
  <c r="D58" i="72"/>
  <c r="B62" i="72"/>
  <c r="B63" i="72"/>
  <c r="B64" i="72"/>
  <c r="D64" i="72"/>
  <c r="B65" i="72"/>
  <c r="B66" i="72"/>
  <c r="B67" i="72"/>
  <c r="B68" i="72"/>
  <c r="B69" i="72"/>
  <c r="D69" i="72"/>
  <c r="B71" i="72"/>
  <c r="B75" i="72"/>
  <c r="B76" i="72"/>
  <c r="B77" i="72"/>
  <c r="D77" i="72"/>
  <c r="B78" i="72"/>
  <c r="B79" i="72"/>
  <c r="D79" i="72"/>
  <c r="B80" i="72"/>
  <c r="B85" i="72"/>
  <c r="B86" i="72"/>
  <c r="B87" i="72"/>
  <c r="D87" i="72"/>
  <c r="B88" i="72"/>
  <c r="D88" i="72"/>
  <c r="B89" i="72"/>
  <c r="B94" i="72"/>
  <c r="G94" i="72"/>
  <c r="B95" i="72"/>
  <c r="G95" i="72"/>
  <c r="B96" i="72"/>
  <c r="G96" i="72"/>
  <c r="A1" i="41"/>
  <c r="C3" i="41"/>
  <c r="I5" i="41"/>
  <c r="I6" i="41"/>
  <c r="E8" i="41"/>
  <c r="E43" i="83"/>
  <c r="F8" i="41"/>
  <c r="F43" i="64"/>
  <c r="H43" i="64"/>
  <c r="G8" i="41"/>
  <c r="G2" i="41"/>
  <c r="A12" i="41"/>
  <c r="A13" i="41"/>
  <c r="A14" i="41"/>
  <c r="A15" i="41"/>
  <c r="A16" i="41"/>
  <c r="A17" i="41"/>
  <c r="A18" i="41"/>
  <c r="B1" i="76"/>
  <c r="M11" i="76"/>
  <c r="K44" i="76"/>
  <c r="K45" i="76"/>
  <c r="K46" i="76"/>
  <c r="K48" i="76"/>
  <c r="J49" i="76"/>
  <c r="J48" i="76"/>
  <c r="A1" i="23"/>
  <c r="G1" i="23"/>
  <c r="C3" i="23"/>
  <c r="I5" i="23"/>
  <c r="I3" i="23"/>
  <c r="I6" i="23"/>
  <c r="I8" i="23"/>
  <c r="I9" i="23"/>
  <c r="I10" i="23"/>
  <c r="I11" i="23"/>
  <c r="E13" i="23"/>
  <c r="I14" i="23"/>
  <c r="I15" i="23"/>
  <c r="E16" i="23"/>
  <c r="D89" i="72"/>
  <c r="E89" i="72"/>
  <c r="G2" i="23"/>
  <c r="A25" i="23"/>
  <c r="A26" i="23"/>
  <c r="A27" i="23"/>
  <c r="A28" i="23"/>
  <c r="A29" i="23"/>
  <c r="A30" i="23"/>
  <c r="A31" i="23"/>
  <c r="B2" i="78"/>
  <c r="I7" i="78"/>
  <c r="I9" i="78"/>
  <c r="M7" i="78"/>
  <c r="G11" i="78"/>
  <c r="L13" i="78"/>
  <c r="T34" i="78"/>
  <c r="F42" i="78"/>
  <c r="H42" i="78"/>
  <c r="A1" i="67"/>
  <c r="A1" i="65"/>
  <c r="G1" i="65"/>
  <c r="G2" i="65"/>
  <c r="C3" i="65"/>
  <c r="I8" i="65"/>
  <c r="I3" i="65"/>
  <c r="I9" i="65"/>
  <c r="I10" i="65"/>
  <c r="I12" i="65"/>
  <c r="J78" i="64"/>
  <c r="A21" i="65"/>
  <c r="A22" i="65"/>
  <c r="A23" i="65"/>
  <c r="A24" i="65"/>
  <c r="A25" i="65"/>
  <c r="A26" i="65"/>
  <c r="A27" i="65"/>
  <c r="A1" i="74"/>
  <c r="G1" i="74"/>
  <c r="F26" i="74"/>
  <c r="C3" i="74"/>
  <c r="I5" i="74"/>
  <c r="I3" i="74"/>
  <c r="I8" i="74"/>
  <c r="I11" i="74"/>
  <c r="I12" i="74"/>
  <c r="I13" i="74"/>
  <c r="I16" i="74"/>
  <c r="I17" i="74"/>
  <c r="I25" i="74"/>
  <c r="G26" i="74"/>
  <c r="A31" i="74"/>
  <c r="A32" i="74"/>
  <c r="A33" i="74"/>
  <c r="A34" i="74"/>
  <c r="A35" i="74"/>
  <c r="A36" i="74"/>
  <c r="A1" i="51"/>
  <c r="G1" i="51"/>
  <c r="C3" i="51"/>
  <c r="I6" i="51"/>
  <c r="I8" i="51"/>
  <c r="E2" i="51"/>
  <c r="A20" i="51"/>
  <c r="A21" i="51"/>
  <c r="A22" i="51"/>
  <c r="A23" i="51"/>
  <c r="A24" i="51"/>
  <c r="A25" i="51"/>
  <c r="A26" i="51"/>
  <c r="G1" i="66"/>
  <c r="C3" i="66"/>
  <c r="I5" i="66"/>
  <c r="I3" i="66"/>
  <c r="G49" i="72"/>
  <c r="I6" i="66"/>
  <c r="I7" i="66"/>
  <c r="I8" i="66"/>
  <c r="I15" i="66"/>
  <c r="G16" i="66"/>
  <c r="A20" i="66"/>
  <c r="A21" i="66"/>
  <c r="A22" i="66"/>
  <c r="A23" i="66"/>
  <c r="A24" i="66"/>
  <c r="A25" i="66"/>
  <c r="A26" i="66"/>
  <c r="B1" i="73"/>
  <c r="B1" i="70"/>
  <c r="A1" i="47"/>
  <c r="G1" i="47"/>
  <c r="C3" i="47"/>
  <c r="I8" i="47"/>
  <c r="I13" i="47"/>
  <c r="A24" i="47"/>
  <c r="A25" i="47"/>
  <c r="A26" i="47"/>
  <c r="A27" i="47"/>
  <c r="A28" i="47"/>
  <c r="A29" i="47"/>
  <c r="A30" i="47"/>
  <c r="A1" i="25"/>
  <c r="G1" i="25"/>
  <c r="C3" i="25"/>
  <c r="I6" i="25"/>
  <c r="I8" i="25"/>
  <c r="I13" i="25"/>
  <c r="I19" i="25"/>
  <c r="I21" i="25"/>
  <c r="F35" i="64"/>
  <c r="A36" i="25"/>
  <c r="A37" i="25"/>
  <c r="A38" i="25"/>
  <c r="A39" i="25"/>
  <c r="A40" i="25"/>
  <c r="A41" i="25"/>
  <c r="A42" i="25"/>
  <c r="G1" i="67"/>
  <c r="C3" i="67"/>
  <c r="E19" i="72"/>
  <c r="I6" i="67"/>
  <c r="I7" i="67"/>
  <c r="I8" i="67"/>
  <c r="I9" i="67"/>
  <c r="I10" i="67"/>
  <c r="I11" i="67"/>
  <c r="I13" i="67"/>
  <c r="I15" i="67"/>
  <c r="I16" i="67"/>
  <c r="I17" i="67"/>
  <c r="F2" i="67"/>
  <c r="G2" i="67"/>
  <c r="A26" i="67"/>
  <c r="A27" i="67"/>
  <c r="A28" i="67"/>
  <c r="A29" i="67"/>
  <c r="A30" i="67"/>
  <c r="A31" i="67"/>
  <c r="A32" i="67"/>
  <c r="B27" i="86"/>
  <c r="B44" i="86"/>
  <c r="B51" i="86"/>
  <c r="B59" i="86"/>
  <c r="B72" i="86"/>
  <c r="I7" i="74"/>
  <c r="D41" i="64"/>
  <c r="N80" i="64"/>
  <c r="E34" i="83"/>
  <c r="H65" i="83"/>
  <c r="I5" i="67"/>
  <c r="I3" i="67"/>
  <c r="I23" i="25"/>
  <c r="I16" i="25"/>
  <c r="E2" i="66"/>
  <c r="I11" i="51"/>
  <c r="I10" i="74"/>
  <c r="F43" i="83"/>
  <c r="H43" i="83"/>
  <c r="L14" i="78"/>
  <c r="BO259" i="98"/>
  <c r="CZ259" i="98"/>
  <c r="DB259" i="98"/>
  <c r="BO322" i="98"/>
  <c r="CZ322" i="98"/>
  <c r="DB322" i="98"/>
  <c r="BO138" i="98"/>
  <c r="CZ138" i="98"/>
  <c r="DB138" i="98"/>
  <c r="BO44" i="98"/>
  <c r="CZ44" i="98"/>
  <c r="DB44" i="98"/>
  <c r="BO287" i="98"/>
  <c r="CZ287" i="98"/>
  <c r="DB287" i="98"/>
  <c r="DC20" i="98"/>
  <c r="DC21" i="98"/>
  <c r="DC22" i="98"/>
  <c r="DC23" i="98"/>
  <c r="DC24" i="98"/>
  <c r="DC25" i="98"/>
  <c r="DC26" i="98"/>
  <c r="DC27" i="98"/>
  <c r="DC28" i="98"/>
  <c r="DC29" i="98"/>
  <c r="DC30" i="98"/>
  <c r="DC31" i="98"/>
  <c r="DC32" i="98"/>
  <c r="DC33" i="98"/>
  <c r="DC34" i="98"/>
  <c r="DC35" i="98"/>
  <c r="DC36" i="98"/>
  <c r="DC37" i="98"/>
  <c r="DC38" i="98"/>
  <c r="DC39" i="98"/>
  <c r="DC40" i="98"/>
  <c r="DC41" i="98"/>
  <c r="DC42" i="98"/>
  <c r="DC43" i="98"/>
  <c r="BM108" i="98"/>
  <c r="BN108" i="98"/>
  <c r="BL109" i="98"/>
  <c r="BM381" i="98"/>
  <c r="BN381" i="98"/>
  <c r="BL382" i="98"/>
  <c r="BO230" i="98"/>
  <c r="CZ230" i="98"/>
  <c r="DB230" i="98"/>
  <c r="BM167" i="98"/>
  <c r="BN167" i="98"/>
  <c r="BL168" i="98"/>
  <c r="BM139" i="98"/>
  <c r="BN139" i="98"/>
  <c r="BM260" i="98"/>
  <c r="BN260" i="98"/>
  <c r="BL261" i="98"/>
  <c r="BM323" i="98"/>
  <c r="BN323" i="98"/>
  <c r="BM45" i="98"/>
  <c r="BN45" i="98"/>
  <c r="BL46" i="98"/>
  <c r="BO200" i="98"/>
  <c r="CZ200" i="98"/>
  <c r="DB200" i="98"/>
  <c r="BM288" i="98"/>
  <c r="BN288" i="98"/>
  <c r="BL289" i="98"/>
  <c r="DA16" i="98"/>
  <c r="BO107" i="98"/>
  <c r="CZ107" i="98"/>
  <c r="DB107" i="98"/>
  <c r="BO380" i="98"/>
  <c r="CZ380" i="98"/>
  <c r="DB380" i="98"/>
  <c r="BM231" i="98"/>
  <c r="BN231" i="98"/>
  <c r="BO166" i="98"/>
  <c r="CZ166" i="98"/>
  <c r="DB166" i="98"/>
  <c r="E21" i="23"/>
  <c r="E2" i="23"/>
  <c r="E43" i="64"/>
  <c r="D97" i="72"/>
  <c r="J46" i="76"/>
  <c r="Q46" i="76"/>
  <c r="I7" i="23"/>
  <c r="D86" i="72"/>
  <c r="I95" i="73"/>
  <c r="J95" i="73"/>
  <c r="F21" i="73"/>
  <c r="I130" i="73"/>
  <c r="J130" i="73"/>
  <c r="F56" i="73"/>
  <c r="I109" i="73"/>
  <c r="J109" i="73"/>
  <c r="F35" i="73"/>
  <c r="I125" i="73"/>
  <c r="J125" i="73"/>
  <c r="F51" i="73"/>
  <c r="I114" i="73"/>
  <c r="J114" i="73"/>
  <c r="F40" i="73"/>
  <c r="I100" i="73"/>
  <c r="J100" i="73"/>
  <c r="F26" i="73"/>
  <c r="I116" i="73"/>
  <c r="J116" i="73"/>
  <c r="F42" i="73"/>
  <c r="I132" i="73"/>
  <c r="J132" i="73"/>
  <c r="F58" i="73"/>
  <c r="I99" i="73"/>
  <c r="J99" i="73"/>
  <c r="F25" i="73"/>
  <c r="I131" i="73"/>
  <c r="J131" i="73"/>
  <c r="F57" i="73"/>
  <c r="I122" i="73"/>
  <c r="J122" i="73"/>
  <c r="F48" i="73"/>
  <c r="I121" i="73"/>
  <c r="J121" i="73"/>
  <c r="F47" i="73"/>
  <c r="I106" i="73"/>
  <c r="J106" i="73"/>
  <c r="F32" i="73"/>
  <c r="I96" i="73"/>
  <c r="J96" i="73"/>
  <c r="F22" i="73"/>
  <c r="I112" i="73"/>
  <c r="J112" i="73"/>
  <c r="F38" i="73"/>
  <c r="I128" i="73"/>
  <c r="J128" i="73"/>
  <c r="F54" i="73"/>
  <c r="I127" i="73"/>
  <c r="J127" i="73"/>
  <c r="F53" i="73"/>
  <c r="I110" i="73"/>
  <c r="J110" i="73"/>
  <c r="F36" i="73"/>
  <c r="I101" i="73"/>
  <c r="J101" i="73"/>
  <c r="F27" i="73"/>
  <c r="I117" i="73"/>
  <c r="J117" i="73"/>
  <c r="F43" i="73"/>
  <c r="I133" i="73"/>
  <c r="J133" i="73"/>
  <c r="F59" i="73"/>
  <c r="I134" i="73"/>
  <c r="J134" i="73"/>
  <c r="F60" i="73"/>
  <c r="I108" i="73"/>
  <c r="J108" i="73"/>
  <c r="F34" i="73"/>
  <c r="I124" i="73"/>
  <c r="J124" i="73"/>
  <c r="F50" i="73"/>
  <c r="I118" i="73"/>
  <c r="J118" i="73"/>
  <c r="F44" i="73"/>
  <c r="I107" i="73"/>
  <c r="J107" i="73"/>
  <c r="F33" i="73"/>
  <c r="I123" i="73"/>
  <c r="J123" i="73"/>
  <c r="F49" i="73"/>
  <c r="I115" i="73"/>
  <c r="J115" i="73"/>
  <c r="F41" i="73"/>
  <c r="I105" i="73"/>
  <c r="J105" i="73"/>
  <c r="F31" i="73"/>
  <c r="I111" i="73"/>
  <c r="J111" i="73"/>
  <c r="F37" i="73"/>
  <c r="I98" i="73"/>
  <c r="J98" i="73"/>
  <c r="F24" i="73"/>
  <c r="I97" i="73"/>
  <c r="J97" i="73"/>
  <c r="F23" i="73"/>
  <c r="I113" i="73"/>
  <c r="J113" i="73"/>
  <c r="F39" i="73"/>
  <c r="I129" i="73"/>
  <c r="J129" i="73"/>
  <c r="F55" i="73"/>
  <c r="I126" i="73"/>
  <c r="J126" i="73"/>
  <c r="F52" i="73"/>
  <c r="I104" i="73"/>
  <c r="J104" i="73"/>
  <c r="F30" i="73"/>
  <c r="I120" i="73"/>
  <c r="J120" i="73"/>
  <c r="F46" i="73"/>
  <c r="I102" i="73"/>
  <c r="J102" i="73"/>
  <c r="F28" i="73"/>
  <c r="I103" i="73"/>
  <c r="J103" i="73"/>
  <c r="F29" i="73"/>
  <c r="I119" i="73"/>
  <c r="J119" i="73"/>
  <c r="F45" i="73"/>
  <c r="G2" i="66"/>
  <c r="I37" i="64"/>
  <c r="J37" i="64"/>
  <c r="K37" i="64"/>
  <c r="P72" i="64"/>
  <c r="G2" i="25"/>
  <c r="I35" i="64"/>
  <c r="L35" i="64"/>
  <c r="G2" i="74"/>
  <c r="I39" i="64"/>
  <c r="F2" i="74"/>
  <c r="F39" i="64"/>
  <c r="I76" i="64"/>
  <c r="C42" i="64"/>
  <c r="J72" i="64"/>
  <c r="L34" i="64"/>
  <c r="M34" i="64"/>
  <c r="N34" i="64"/>
  <c r="J45" i="76"/>
  <c r="Q45" i="76"/>
  <c r="J34" i="64"/>
  <c r="K34" i="64"/>
  <c r="P66" i="64"/>
  <c r="I66" i="64"/>
  <c r="G34" i="64"/>
  <c r="I50" i="64"/>
  <c r="D42" i="64"/>
  <c r="G63" i="72"/>
  <c r="Q48" i="76"/>
  <c r="H71" i="64"/>
  <c r="G65" i="72"/>
  <c r="J44" i="76"/>
  <c r="Q44" i="76"/>
  <c r="E51" i="72"/>
  <c r="E26" i="74"/>
  <c r="I43" i="64"/>
  <c r="L43" i="64"/>
  <c r="E2" i="67"/>
  <c r="F3" i="67"/>
  <c r="H45" i="78"/>
  <c r="D54" i="72"/>
  <c r="E37" i="83"/>
  <c r="H71" i="83"/>
  <c r="I15" i="74"/>
  <c r="G66" i="72"/>
  <c r="G97" i="72"/>
  <c r="F204" i="70"/>
  <c r="G76" i="72"/>
  <c r="G82" i="72"/>
  <c r="G89" i="72"/>
  <c r="I16" i="23"/>
  <c r="I13" i="23"/>
  <c r="A1" i="66"/>
  <c r="G85" i="72"/>
  <c r="D11" i="83"/>
  <c r="E11" i="83"/>
  <c r="F11" i="83"/>
  <c r="G11" i="83"/>
  <c r="H11" i="83"/>
  <c r="I11" i="83"/>
  <c r="J11" i="83"/>
  <c r="K11" i="83"/>
  <c r="C36" i="83"/>
  <c r="D36" i="83"/>
  <c r="N70" i="83"/>
  <c r="G8" i="72"/>
  <c r="I5" i="25"/>
  <c r="I3" i="25"/>
  <c r="D36" i="72"/>
  <c r="E35" i="83"/>
  <c r="H67" i="83"/>
  <c r="I7" i="25"/>
  <c r="F2" i="25"/>
  <c r="F34" i="83"/>
  <c r="E97" i="72"/>
  <c r="K97" i="72"/>
  <c r="H2" i="41"/>
  <c r="J74" i="64"/>
  <c r="G59" i="72"/>
  <c r="D10" i="83"/>
  <c r="E10" i="83"/>
  <c r="F10" i="83"/>
  <c r="G10" i="83"/>
  <c r="H10" i="83"/>
  <c r="I10" i="83"/>
  <c r="J10" i="83"/>
  <c r="K10" i="83"/>
  <c r="C35" i="83"/>
  <c r="D35" i="83"/>
  <c r="N68" i="83"/>
  <c r="G32" i="72"/>
  <c r="G36" i="72"/>
  <c r="E36" i="72"/>
  <c r="I68" i="64"/>
  <c r="E20" i="47"/>
  <c r="E2" i="47"/>
  <c r="I22" i="25"/>
  <c r="E38" i="83"/>
  <c r="H73" i="83"/>
  <c r="G2" i="51"/>
  <c r="E38" i="64"/>
  <c r="H73" i="64"/>
  <c r="I17" i="25"/>
  <c r="F2" i="41"/>
  <c r="E2" i="41"/>
  <c r="I43" i="83"/>
  <c r="K43" i="83"/>
  <c r="I8" i="78"/>
  <c r="B18" i="83"/>
  <c r="O44" i="83"/>
  <c r="C55" i="83"/>
  <c r="G2" i="47"/>
  <c r="I14" i="47"/>
  <c r="J70" i="64"/>
  <c r="D14" i="83"/>
  <c r="E14" i="83"/>
  <c r="F14" i="83"/>
  <c r="G14" i="83"/>
  <c r="H14" i="83"/>
  <c r="I14" i="83"/>
  <c r="J14" i="83"/>
  <c r="K14" i="83"/>
  <c r="C39" i="83"/>
  <c r="C40" i="83"/>
  <c r="D15" i="83"/>
  <c r="E15" i="83"/>
  <c r="F15" i="83"/>
  <c r="G15" i="83"/>
  <c r="H15" i="83"/>
  <c r="I15" i="83"/>
  <c r="J15" i="83"/>
  <c r="K15" i="83"/>
  <c r="D16" i="83"/>
  <c r="E16" i="83"/>
  <c r="F16" i="83"/>
  <c r="G16" i="83"/>
  <c r="H16" i="83"/>
  <c r="I16" i="83"/>
  <c r="J16" i="83"/>
  <c r="K16" i="83"/>
  <c r="C41" i="83"/>
  <c r="C38" i="83"/>
  <c r="D13" i="83"/>
  <c r="E13" i="83"/>
  <c r="F13" i="83"/>
  <c r="G13" i="83"/>
  <c r="H13" i="83"/>
  <c r="I13" i="83"/>
  <c r="J13" i="83"/>
  <c r="K13" i="83"/>
  <c r="D9" i="83"/>
  <c r="C34" i="83"/>
  <c r="C12" i="83"/>
  <c r="G67" i="72"/>
  <c r="C25" i="78"/>
  <c r="D41" i="78"/>
  <c r="C30" i="78"/>
  <c r="C34" i="78"/>
  <c r="D32" i="78"/>
  <c r="C38" i="78"/>
  <c r="C28" i="78"/>
  <c r="D35" i="78"/>
  <c r="C35" i="78"/>
  <c r="D40" i="78"/>
  <c r="C27" i="78"/>
  <c r="C37" i="78"/>
  <c r="C31" i="78"/>
  <c r="I39" i="78"/>
  <c r="D34" i="78"/>
  <c r="C39" i="78"/>
  <c r="C29" i="78"/>
  <c r="C26" i="78"/>
  <c r="Q32" i="78"/>
  <c r="Q34" i="78"/>
  <c r="C41" i="78"/>
  <c r="C33" i="78"/>
  <c r="C32" i="78"/>
  <c r="I36" i="78"/>
  <c r="C36" i="78"/>
  <c r="D39" i="78"/>
  <c r="C24" i="78"/>
  <c r="C40" i="78"/>
  <c r="BO288" i="98"/>
  <c r="CZ288" i="98"/>
  <c r="DB288" i="98"/>
  <c r="BO45" i="98"/>
  <c r="CZ45" i="98"/>
  <c r="DB45" i="98"/>
  <c r="BO323" i="98"/>
  <c r="CZ323" i="98"/>
  <c r="DB323" i="98"/>
  <c r="BO167" i="98"/>
  <c r="CZ167" i="98"/>
  <c r="DB167" i="98"/>
  <c r="BO381" i="98"/>
  <c r="CZ381" i="98"/>
  <c r="DB381" i="98"/>
  <c r="DC44" i="98"/>
  <c r="DC45" i="98"/>
  <c r="BM289" i="98"/>
  <c r="BN289" i="98"/>
  <c r="BL290" i="98"/>
  <c r="BM46" i="98"/>
  <c r="BN46" i="98"/>
  <c r="BL47" i="98"/>
  <c r="BM168" i="98"/>
  <c r="BN168" i="98"/>
  <c r="BL169" i="98"/>
  <c r="BM382" i="98"/>
  <c r="BN382" i="98"/>
  <c r="BL383" i="98"/>
  <c r="BO231" i="98"/>
  <c r="CZ231" i="98"/>
  <c r="DB231" i="98"/>
  <c r="BO260" i="98"/>
  <c r="CZ260" i="98"/>
  <c r="DB260" i="98"/>
  <c r="BO108" i="98"/>
  <c r="CZ108" i="98"/>
  <c r="DB108" i="98"/>
  <c r="BM261" i="98"/>
  <c r="BN261" i="98"/>
  <c r="BL262" i="98"/>
  <c r="BO139" i="98"/>
  <c r="CZ139" i="98"/>
  <c r="DB139" i="98"/>
  <c r="BM109" i="98"/>
  <c r="BN109" i="98"/>
  <c r="F39" i="70"/>
  <c r="G91" i="72"/>
  <c r="I41" i="83"/>
  <c r="F61" i="73"/>
  <c r="G19" i="72"/>
  <c r="I34" i="83"/>
  <c r="J66" i="83"/>
  <c r="J53" i="64"/>
  <c r="G72" i="72"/>
  <c r="I39" i="83"/>
  <c r="J76" i="83"/>
  <c r="K43" i="64"/>
  <c r="L39" i="64"/>
  <c r="J76" i="64"/>
  <c r="I42" i="64"/>
  <c r="E2" i="74"/>
  <c r="F3" i="74"/>
  <c r="E39" i="64"/>
  <c r="J50" i="64"/>
  <c r="H34" i="64"/>
  <c r="I38" i="83"/>
  <c r="J38" i="83"/>
  <c r="J54" i="83"/>
  <c r="I10" i="66"/>
  <c r="D72" i="72"/>
  <c r="E39" i="83"/>
  <c r="H75" i="83"/>
  <c r="I40" i="83"/>
  <c r="J78" i="83"/>
  <c r="I19" i="72"/>
  <c r="K19" i="72"/>
  <c r="H2" i="67"/>
  <c r="K61" i="73"/>
  <c r="N43" i="64"/>
  <c r="J80" i="64"/>
  <c r="D91" i="72"/>
  <c r="E41" i="83"/>
  <c r="H79" i="83"/>
  <c r="E41" i="64"/>
  <c r="H79" i="64"/>
  <c r="I36" i="83"/>
  <c r="J70" i="83"/>
  <c r="E35" i="64"/>
  <c r="E2" i="25"/>
  <c r="F3" i="25"/>
  <c r="J68" i="64"/>
  <c r="L43" i="83"/>
  <c r="N43" i="83"/>
  <c r="E68" i="72"/>
  <c r="I35" i="83"/>
  <c r="D82" i="72"/>
  <c r="E40" i="83"/>
  <c r="E40" i="64"/>
  <c r="E2" i="65"/>
  <c r="E54" i="72"/>
  <c r="G48" i="72"/>
  <c r="J38" i="64"/>
  <c r="D45" i="72"/>
  <c r="E36" i="83"/>
  <c r="H69" i="83"/>
  <c r="E36" i="64"/>
  <c r="H69" i="64"/>
  <c r="D12" i="83"/>
  <c r="E12" i="83"/>
  <c r="F12" i="83"/>
  <c r="G12" i="83"/>
  <c r="H12" i="83"/>
  <c r="I12" i="83"/>
  <c r="J12" i="83"/>
  <c r="K12" i="83"/>
  <c r="C37" i="83"/>
  <c r="C42" i="83"/>
  <c r="D34" i="83"/>
  <c r="D38" i="83"/>
  <c r="N74" i="83"/>
  <c r="I66" i="83"/>
  <c r="G34" i="83"/>
  <c r="I50" i="83"/>
  <c r="E9" i="83"/>
  <c r="D41" i="83"/>
  <c r="N80" i="83"/>
  <c r="D40" i="83"/>
  <c r="N78" i="83"/>
  <c r="D39" i="83"/>
  <c r="N76" i="83"/>
  <c r="C18" i="83"/>
  <c r="G27" i="78"/>
  <c r="J27" i="78"/>
  <c r="G28" i="78"/>
  <c r="J28" i="78"/>
  <c r="G30" i="78"/>
  <c r="J30" i="78"/>
  <c r="G33" i="78"/>
  <c r="J33" i="78"/>
  <c r="G29" i="78"/>
  <c r="J29" i="78"/>
  <c r="J31" i="78"/>
  <c r="G31" i="78"/>
  <c r="G35" i="78"/>
  <c r="J35" i="78"/>
  <c r="J25" i="78"/>
  <c r="G25" i="78"/>
  <c r="J24" i="78"/>
  <c r="G24" i="78"/>
  <c r="G32" i="78"/>
  <c r="J32" i="78"/>
  <c r="J26" i="78"/>
  <c r="G26" i="78"/>
  <c r="G38" i="78"/>
  <c r="J38" i="78"/>
  <c r="G40" i="78"/>
  <c r="J40" i="78"/>
  <c r="J36" i="78"/>
  <c r="G36" i="78"/>
  <c r="G41" i="78"/>
  <c r="J41" i="78"/>
  <c r="J39" i="78"/>
  <c r="G39" i="78"/>
  <c r="J37" i="78"/>
  <c r="G37" i="78"/>
  <c r="J34" i="78"/>
  <c r="G34" i="78"/>
  <c r="BO168" i="98"/>
  <c r="CZ168" i="98"/>
  <c r="DB168" i="98"/>
  <c r="BO289" i="98"/>
  <c r="CZ289" i="98"/>
  <c r="DB289" i="98"/>
  <c r="BM290" i="98"/>
  <c r="BN290" i="98"/>
  <c r="BL291" i="98"/>
  <c r="BM262" i="98"/>
  <c r="BN262" i="98"/>
  <c r="BO382" i="98"/>
  <c r="CZ382" i="98"/>
  <c r="DB382" i="98"/>
  <c r="BM47" i="98"/>
  <c r="BN47" i="98"/>
  <c r="BL48" i="98"/>
  <c r="BM169" i="98"/>
  <c r="BN169" i="98"/>
  <c r="BL170" i="98"/>
  <c r="BO109" i="98"/>
  <c r="CZ109" i="98"/>
  <c r="DB109" i="98"/>
  <c r="BO261" i="98"/>
  <c r="CZ261" i="98"/>
  <c r="DB261" i="98"/>
  <c r="BM383" i="98"/>
  <c r="BN383" i="98"/>
  <c r="BL384" i="98"/>
  <c r="BO46" i="98"/>
  <c r="CZ46" i="98"/>
  <c r="DB46" i="98"/>
  <c r="DC46" i="98"/>
  <c r="L34" i="83"/>
  <c r="M34" i="83"/>
  <c r="N34" i="83"/>
  <c r="J34" i="83"/>
  <c r="J50" i="83"/>
  <c r="E72" i="72"/>
  <c r="I72" i="72"/>
  <c r="K72" i="72"/>
  <c r="H2" i="74"/>
  <c r="J74" i="83"/>
  <c r="G54" i="72"/>
  <c r="I37" i="83"/>
  <c r="I42" i="83"/>
  <c r="G39" i="64"/>
  <c r="H75" i="64"/>
  <c r="J39" i="64"/>
  <c r="M39" i="64"/>
  <c r="N39" i="64"/>
  <c r="H67" i="64"/>
  <c r="E42" i="64"/>
  <c r="O66" i="64"/>
  <c r="J41" i="83"/>
  <c r="J57" i="83"/>
  <c r="F206" i="70"/>
  <c r="F205" i="70"/>
  <c r="D18" i="83"/>
  <c r="J80" i="83"/>
  <c r="J41" i="64"/>
  <c r="K41" i="64"/>
  <c r="P80" i="64"/>
  <c r="G35" i="64"/>
  <c r="I51" i="64"/>
  <c r="J35" i="64"/>
  <c r="J51" i="64"/>
  <c r="M35" i="64"/>
  <c r="N35" i="64"/>
  <c r="J39" i="83"/>
  <c r="K38" i="64"/>
  <c r="P74" i="64"/>
  <c r="J54" i="64"/>
  <c r="H77" i="64"/>
  <c r="J40" i="64"/>
  <c r="I36" i="72"/>
  <c r="K36" i="72"/>
  <c r="H2" i="25"/>
  <c r="F35" i="83"/>
  <c r="J35" i="83"/>
  <c r="J68" i="83"/>
  <c r="K38" i="83"/>
  <c r="P74" i="83"/>
  <c r="H77" i="83"/>
  <c r="J40" i="83"/>
  <c r="E42" i="83"/>
  <c r="J36" i="64"/>
  <c r="K36" i="64"/>
  <c r="P70" i="64"/>
  <c r="J36" i="83"/>
  <c r="J52" i="83"/>
  <c r="E18" i="83"/>
  <c r="F9" i="83"/>
  <c r="F16" i="66"/>
  <c r="H34" i="83"/>
  <c r="N66" i="83"/>
  <c r="D37" i="83"/>
  <c r="N72" i="83"/>
  <c r="J42" i="78"/>
  <c r="J43" i="78"/>
  <c r="G42" i="78"/>
  <c r="G43" i="78"/>
  <c r="F44" i="78"/>
  <c r="T33" i="78"/>
  <c r="T35" i="78"/>
  <c r="T39" i="78"/>
  <c r="F45" i="78"/>
  <c r="J3" i="78"/>
  <c r="F11" i="65"/>
  <c r="F17" i="65"/>
  <c r="F40" i="64"/>
  <c r="BO383" i="98"/>
  <c r="CZ383" i="98"/>
  <c r="DB383" i="98"/>
  <c r="BO47" i="98"/>
  <c r="CZ47" i="98"/>
  <c r="DB47" i="98"/>
  <c r="DC47" i="98"/>
  <c r="BO169" i="98"/>
  <c r="CZ169" i="98"/>
  <c r="DB169" i="98"/>
  <c r="BM291" i="98"/>
  <c r="BN291" i="98"/>
  <c r="BL292" i="98"/>
  <c r="BM384" i="98"/>
  <c r="BN384" i="98"/>
  <c r="BM48" i="98"/>
  <c r="BN48" i="98"/>
  <c r="BL49" i="98"/>
  <c r="BM170" i="98"/>
  <c r="BN170" i="98"/>
  <c r="BO262" i="98"/>
  <c r="CZ262" i="98"/>
  <c r="DB262" i="98"/>
  <c r="BO290" i="98"/>
  <c r="CZ290" i="98"/>
  <c r="DB290" i="98"/>
  <c r="K34" i="83"/>
  <c r="P66" i="83"/>
  <c r="J72" i="83"/>
  <c r="J37" i="83"/>
  <c r="J53" i="83"/>
  <c r="K39" i="64"/>
  <c r="P76" i="64"/>
  <c r="J55" i="64"/>
  <c r="H39" i="64"/>
  <c r="O76" i="64"/>
  <c r="I55" i="64"/>
  <c r="F2" i="66"/>
  <c r="F3" i="66"/>
  <c r="F37" i="64"/>
  <c r="F39" i="83"/>
  <c r="L39" i="83"/>
  <c r="M39" i="83"/>
  <c r="N39" i="83"/>
  <c r="K41" i="83"/>
  <c r="P80" i="83"/>
  <c r="J57" i="64"/>
  <c r="D42" i="83"/>
  <c r="H35" i="64"/>
  <c r="K35" i="64"/>
  <c r="K40" i="64"/>
  <c r="P78" i="64"/>
  <c r="J56" i="64"/>
  <c r="J56" i="83"/>
  <c r="K40" i="83"/>
  <c r="P78" i="83"/>
  <c r="I68" i="83"/>
  <c r="L35" i="83"/>
  <c r="M35" i="83"/>
  <c r="N35" i="83"/>
  <c r="G35" i="83"/>
  <c r="J51" i="83"/>
  <c r="K35" i="83"/>
  <c r="P68" i="83"/>
  <c r="J55" i="83"/>
  <c r="K39" i="83"/>
  <c r="P76" i="83"/>
  <c r="J52" i="64"/>
  <c r="K36" i="83"/>
  <c r="P70" i="83"/>
  <c r="O66" i="83"/>
  <c r="I54" i="72"/>
  <c r="K54" i="72"/>
  <c r="F37" i="83"/>
  <c r="F18" i="83"/>
  <c r="G9" i="83"/>
  <c r="F2" i="65"/>
  <c r="F3" i="65"/>
  <c r="I11" i="65"/>
  <c r="E79" i="72"/>
  <c r="E82" i="72"/>
  <c r="F40" i="83"/>
  <c r="BO291" i="98"/>
  <c r="CZ291" i="98"/>
  <c r="DB291" i="98"/>
  <c r="BO170" i="98"/>
  <c r="CZ170" i="98"/>
  <c r="DB170" i="98"/>
  <c r="BM292" i="98"/>
  <c r="BN292" i="98"/>
  <c r="BM49" i="98"/>
  <c r="BN49" i="98"/>
  <c r="BL50" i="98"/>
  <c r="BO384" i="98"/>
  <c r="BO48" i="98"/>
  <c r="CZ48" i="98"/>
  <c r="DB48" i="98"/>
  <c r="DC48" i="98"/>
  <c r="K37" i="83"/>
  <c r="P72" i="83"/>
  <c r="I72" i="64"/>
  <c r="G37" i="64"/>
  <c r="L37" i="64"/>
  <c r="M37" i="64"/>
  <c r="N37" i="64"/>
  <c r="P68" i="64"/>
  <c r="K42" i="64"/>
  <c r="K44" i="64"/>
  <c r="N56" i="64"/>
  <c r="O68" i="64"/>
  <c r="I76" i="83"/>
  <c r="G39" i="83"/>
  <c r="H39" i="83"/>
  <c r="O76" i="83"/>
  <c r="G40" i="64"/>
  <c r="I78" i="64"/>
  <c r="L40" i="64"/>
  <c r="M40" i="64"/>
  <c r="N40" i="64"/>
  <c r="F208" i="70"/>
  <c r="F207" i="70"/>
  <c r="I51" i="83"/>
  <c r="H35" i="83"/>
  <c r="O68" i="83"/>
  <c r="G37" i="83"/>
  <c r="I72" i="83"/>
  <c r="L37" i="83"/>
  <c r="G18" i="83"/>
  <c r="H9" i="83"/>
  <c r="H2" i="66"/>
  <c r="BO49" i="98"/>
  <c r="CZ49" i="98"/>
  <c r="DB49" i="98"/>
  <c r="DC49" i="98"/>
  <c r="CZ384" i="98"/>
  <c r="BM50" i="98"/>
  <c r="BN50" i="98"/>
  <c r="BN386" i="98"/>
  <c r="BO292" i="98"/>
  <c r="CZ292" i="98"/>
  <c r="DB292" i="98"/>
  <c r="K42" i="83"/>
  <c r="K44" i="83"/>
  <c r="N56" i="83"/>
  <c r="I53" i="64"/>
  <c r="H37" i="64"/>
  <c r="O72" i="64"/>
  <c r="G40" i="83"/>
  <c r="L40" i="83"/>
  <c r="M40" i="83"/>
  <c r="N40" i="83"/>
  <c r="I78" i="83"/>
  <c r="I82" i="72"/>
  <c r="K82" i="72"/>
  <c r="H2" i="65"/>
  <c r="I55" i="83"/>
  <c r="H40" i="64"/>
  <c r="O78" i="64"/>
  <c r="I56" i="64"/>
  <c r="M37" i="83"/>
  <c r="N37" i="83"/>
  <c r="I53" i="83"/>
  <c r="H37" i="83"/>
  <c r="I9" i="83"/>
  <c r="H18" i="83"/>
  <c r="DB384" i="98"/>
  <c r="BO50" i="98"/>
  <c r="BM386" i="98"/>
  <c r="H40" i="83"/>
  <c r="O78" i="83"/>
  <c r="I56" i="83"/>
  <c r="F210" i="70"/>
  <c r="F209" i="70"/>
  <c r="J9" i="83"/>
  <c r="I18" i="83"/>
  <c r="O72" i="83"/>
  <c r="CZ50" i="98"/>
  <c r="BO386" i="98"/>
  <c r="F411" i="98"/>
  <c r="K9" i="83"/>
  <c r="K18" i="83"/>
  <c r="J18" i="83"/>
  <c r="DB50" i="98"/>
  <c r="CZ386" i="98"/>
  <c r="CZ16" i="98"/>
  <c r="F212" i="70"/>
  <c r="F211" i="70"/>
  <c r="DC50" i="98"/>
  <c r="DC51" i="98"/>
  <c r="DC52" i="98"/>
  <c r="DC53" i="98"/>
  <c r="DC54" i="98"/>
  <c r="DC55" i="98"/>
  <c r="DC56" i="98"/>
  <c r="DC57" i="98"/>
  <c r="DC58" i="98"/>
  <c r="DC59" i="98"/>
  <c r="DC60" i="98"/>
  <c r="DC61" i="98"/>
  <c r="DC62" i="98"/>
  <c r="DC63" i="98"/>
  <c r="DC64" i="98"/>
  <c r="DC65" i="98"/>
  <c r="DC66" i="98"/>
  <c r="DC67" i="98"/>
  <c r="DC68" i="98"/>
  <c r="DC69" i="98"/>
  <c r="DC70" i="98"/>
  <c r="DC71" i="98"/>
  <c r="DC72" i="98"/>
  <c r="DC73" i="98"/>
  <c r="DC74" i="98"/>
  <c r="DC75" i="98"/>
  <c r="DC76" i="98"/>
  <c r="DC77" i="98"/>
  <c r="DC78" i="98"/>
  <c r="DC79" i="98"/>
  <c r="DC80" i="98"/>
  <c r="DC81" i="98"/>
  <c r="DC82" i="98"/>
  <c r="DC83" i="98"/>
  <c r="DC84" i="98"/>
  <c r="DC85" i="98"/>
  <c r="DC86" i="98"/>
  <c r="DC87" i="98"/>
  <c r="DC88" i="98"/>
  <c r="DC89" i="98"/>
  <c r="DC90" i="98"/>
  <c r="DC91" i="98"/>
  <c r="DC92" i="98"/>
  <c r="DC93" i="98"/>
  <c r="DC94" i="98"/>
  <c r="DC95" i="98"/>
  <c r="DC96" i="98"/>
  <c r="DC97" i="98"/>
  <c r="DC98" i="98"/>
  <c r="DC99" i="98"/>
  <c r="DC100" i="98"/>
  <c r="DC101" i="98"/>
  <c r="DC102" i="98"/>
  <c r="DC103" i="98"/>
  <c r="DC104" i="98"/>
  <c r="DC105" i="98"/>
  <c r="DC106" i="98"/>
  <c r="DC107" i="98"/>
  <c r="DC108" i="98"/>
  <c r="DC109" i="98"/>
  <c r="DC110" i="98"/>
  <c r="DC111" i="98"/>
  <c r="DC112" i="98"/>
  <c r="DC113" i="98"/>
  <c r="DC114" i="98"/>
  <c r="DC115" i="98"/>
  <c r="DC116" i="98"/>
  <c r="DC117" i="98"/>
  <c r="DC118" i="98"/>
  <c r="DC119" i="98"/>
  <c r="DC120" i="98"/>
  <c r="DC121" i="98"/>
  <c r="DC122" i="98"/>
  <c r="DC123" i="98"/>
  <c r="DC124" i="98"/>
  <c r="DC125" i="98"/>
  <c r="DC126" i="98"/>
  <c r="DC127" i="98"/>
  <c r="DC128" i="98"/>
  <c r="DC129" i="98"/>
  <c r="DC130" i="98"/>
  <c r="DC131" i="98"/>
  <c r="DC132" i="98"/>
  <c r="DC133" i="98"/>
  <c r="DC134" i="98"/>
  <c r="DC135" i="98"/>
  <c r="DC136" i="98"/>
  <c r="DC137" i="98"/>
  <c r="DC138" i="98"/>
  <c r="DC139" i="98"/>
  <c r="DC140" i="98"/>
  <c r="DC141" i="98"/>
  <c r="DC142" i="98"/>
  <c r="DC143" i="98"/>
  <c r="DC144" i="98"/>
  <c r="DC145" i="98"/>
  <c r="DC146" i="98"/>
  <c r="DC147" i="98"/>
  <c r="DC148" i="98"/>
  <c r="DC149" i="98"/>
  <c r="DC150" i="98"/>
  <c r="DC151" i="98"/>
  <c r="DC152" i="98"/>
  <c r="DC153" i="98"/>
  <c r="DC154" i="98"/>
  <c r="DC155" i="98"/>
  <c r="DC156" i="98"/>
  <c r="DC157" i="98"/>
  <c r="DC158" i="98"/>
  <c r="DC159" i="98"/>
  <c r="DC160" i="98"/>
  <c r="DC161" i="98"/>
  <c r="DC162" i="98"/>
  <c r="DC163" i="98"/>
  <c r="DC164" i="98"/>
  <c r="DC165" i="98"/>
  <c r="DC166" i="98"/>
  <c r="DC167" i="98"/>
  <c r="DC168" i="98"/>
  <c r="DC169" i="98"/>
  <c r="DC170" i="98"/>
  <c r="DC171" i="98"/>
  <c r="DC172" i="98"/>
  <c r="DC173" i="98"/>
  <c r="DC174" i="98"/>
  <c r="DC175" i="98"/>
  <c r="DC176" i="98"/>
  <c r="DC177" i="98"/>
  <c r="DC178" i="98"/>
  <c r="DC179" i="98"/>
  <c r="DC180" i="98"/>
  <c r="DC181" i="98"/>
  <c r="DC182" i="98"/>
  <c r="DC183" i="98"/>
  <c r="DC184" i="98"/>
  <c r="DC185" i="98"/>
  <c r="DC186" i="98"/>
  <c r="DC187" i="98"/>
  <c r="DC188" i="98"/>
  <c r="DC189" i="98"/>
  <c r="DC190" i="98"/>
  <c r="DC191" i="98"/>
  <c r="DC192" i="98"/>
  <c r="DC193" i="98"/>
  <c r="DC194" i="98"/>
  <c r="DC195" i="98"/>
  <c r="DC196" i="98"/>
  <c r="DC197" i="98"/>
  <c r="DC198" i="98"/>
  <c r="DC199" i="98"/>
  <c r="DC200" i="98"/>
  <c r="DC201" i="98"/>
  <c r="DC202" i="98"/>
  <c r="DC203" i="98"/>
  <c r="DC204" i="98"/>
  <c r="DC205" i="98"/>
  <c r="DC206" i="98"/>
  <c r="DC207" i="98"/>
  <c r="DC208" i="98"/>
  <c r="DC209" i="98"/>
  <c r="DC210" i="98"/>
  <c r="DC211" i="98"/>
  <c r="DC212" i="98"/>
  <c r="DC213" i="98"/>
  <c r="DC214" i="98"/>
  <c r="DC215" i="98"/>
  <c r="DC216" i="98"/>
  <c r="DC217" i="98"/>
  <c r="DC218" i="98"/>
  <c r="DC219" i="98"/>
  <c r="DC220" i="98"/>
  <c r="DC221" i="98"/>
  <c r="DC222" i="98"/>
  <c r="DC223" i="98"/>
  <c r="DC224" i="98"/>
  <c r="DC225" i="98"/>
  <c r="DC226" i="98"/>
  <c r="DC227" i="98"/>
  <c r="DC228" i="98"/>
  <c r="DC229" i="98"/>
  <c r="DC230" i="98"/>
  <c r="DC231" i="98"/>
  <c r="DC232" i="98"/>
  <c r="DC233" i="98"/>
  <c r="DC234" i="98"/>
  <c r="DC235" i="98"/>
  <c r="DC236" i="98"/>
  <c r="DC237" i="98"/>
  <c r="DC238" i="98"/>
  <c r="DC239" i="98"/>
  <c r="DC240" i="98"/>
  <c r="DC241" i="98"/>
  <c r="DC242" i="98"/>
  <c r="DC243" i="98"/>
  <c r="DC244" i="98"/>
  <c r="DC245" i="98"/>
  <c r="DC246" i="98"/>
  <c r="DC247" i="98"/>
  <c r="DC248" i="98"/>
  <c r="DC249" i="98"/>
  <c r="DC250" i="98"/>
  <c r="DC251" i="98"/>
  <c r="DC252" i="98"/>
  <c r="DC253" i="98"/>
  <c r="DC254" i="98"/>
  <c r="DC255" i="98"/>
  <c r="DC256" i="98"/>
  <c r="DC257" i="98"/>
  <c r="DC258" i="98"/>
  <c r="DC259" i="98"/>
  <c r="DC260" i="98"/>
  <c r="DC261" i="98"/>
  <c r="DC262" i="98"/>
  <c r="DC263" i="98"/>
  <c r="DC264" i="98"/>
  <c r="DC265" i="98"/>
  <c r="DC266" i="98"/>
  <c r="DC267" i="98"/>
  <c r="DC268" i="98"/>
  <c r="DC269" i="98"/>
  <c r="DC270" i="98"/>
  <c r="DC271" i="98"/>
  <c r="DC272" i="98"/>
  <c r="DC273" i="98"/>
  <c r="DC274" i="98"/>
  <c r="DC275" i="98"/>
  <c r="DC276" i="98"/>
  <c r="DC277" i="98"/>
  <c r="DC278" i="98"/>
  <c r="DC279" i="98"/>
  <c r="DC280" i="98"/>
  <c r="DC281" i="98"/>
  <c r="DC282" i="98"/>
  <c r="DC283" i="98"/>
  <c r="DC284" i="98"/>
  <c r="DC285" i="98"/>
  <c r="DC286" i="98"/>
  <c r="DC287" i="98"/>
  <c r="DC288" i="98"/>
  <c r="DC289" i="98"/>
  <c r="DC290" i="98"/>
  <c r="DC291" i="98"/>
  <c r="DC292" i="98"/>
  <c r="DC293" i="98"/>
  <c r="DC294" i="98"/>
  <c r="DC295" i="98"/>
  <c r="DC296" i="98"/>
  <c r="DC297" i="98"/>
  <c r="DC298" i="98"/>
  <c r="DC299" i="98"/>
  <c r="DC300" i="98"/>
  <c r="DC301" i="98"/>
  <c r="DC302" i="98"/>
  <c r="DC303" i="98"/>
  <c r="DC304" i="98"/>
  <c r="DC305" i="98"/>
  <c r="DC306" i="98"/>
  <c r="DC307" i="98"/>
  <c r="DC308" i="98"/>
  <c r="DC309" i="98"/>
  <c r="DC310" i="98"/>
  <c r="DC311" i="98"/>
  <c r="DC312" i="98"/>
  <c r="DC313" i="98"/>
  <c r="DC314" i="98"/>
  <c r="DC315" i="98"/>
  <c r="DC316" i="98"/>
  <c r="DC317" i="98"/>
  <c r="DC318" i="98"/>
  <c r="DC319" i="98"/>
  <c r="DC320" i="98"/>
  <c r="DC321" i="98"/>
  <c r="DC322" i="98"/>
  <c r="DC323" i="98"/>
  <c r="DC324" i="98"/>
  <c r="DC325" i="98"/>
  <c r="DC326" i="98"/>
  <c r="DC327" i="98"/>
  <c r="DC328" i="98"/>
  <c r="DC329" i="98"/>
  <c r="DC330" i="98"/>
  <c r="DC331" i="98"/>
  <c r="DC332" i="98"/>
  <c r="DC333" i="98"/>
  <c r="DC334" i="98"/>
  <c r="DC335" i="98"/>
  <c r="DC336" i="98"/>
  <c r="DC337" i="98"/>
  <c r="DC338" i="98"/>
  <c r="DC339" i="98"/>
  <c r="DC340" i="98"/>
  <c r="DC341" i="98"/>
  <c r="DC342" i="98"/>
  <c r="DC343" i="98"/>
  <c r="DC344" i="98"/>
  <c r="DC345" i="98"/>
  <c r="DC346" i="98"/>
  <c r="DC347" i="98"/>
  <c r="DC348" i="98"/>
  <c r="DC349" i="98"/>
  <c r="DC350" i="98"/>
  <c r="DC351" i="98"/>
  <c r="DC352" i="98"/>
  <c r="DC353" i="98"/>
  <c r="DC354" i="98"/>
  <c r="DC355" i="98"/>
  <c r="DC356" i="98"/>
  <c r="DC357" i="98"/>
  <c r="DC358" i="98"/>
  <c r="DC359" i="98"/>
  <c r="DC360" i="98"/>
  <c r="DC361" i="98"/>
  <c r="DC362" i="98"/>
  <c r="DC363" i="98"/>
  <c r="DC364" i="98"/>
  <c r="DC365" i="98"/>
  <c r="DC366" i="98"/>
  <c r="DC367" i="98"/>
  <c r="DC368" i="98"/>
  <c r="DC369" i="98"/>
  <c r="DC370" i="98"/>
  <c r="DC371" i="98"/>
  <c r="DC372" i="98"/>
  <c r="DC373" i="98"/>
  <c r="DC374" i="98"/>
  <c r="DC375" i="98"/>
  <c r="DC376" i="98"/>
  <c r="DC377" i="98"/>
  <c r="DC378" i="98"/>
  <c r="DC379" i="98"/>
  <c r="DC380" i="98"/>
  <c r="DC381" i="98"/>
  <c r="DC382" i="98"/>
  <c r="DC383" i="98"/>
  <c r="DC384" i="98"/>
  <c r="DD20" i="98"/>
  <c r="DD21" i="98"/>
  <c r="DD22" i="98"/>
  <c r="DD23" i="98"/>
  <c r="DD24" i="98"/>
  <c r="DD25" i="98"/>
  <c r="DD26" i="98"/>
  <c r="DD27" i="98"/>
  <c r="DD28" i="98"/>
  <c r="DD29" i="98"/>
  <c r="DD30" i="98"/>
  <c r="DD31" i="98"/>
  <c r="DD32" i="98"/>
  <c r="DD33" i="98"/>
  <c r="DD34" i="98"/>
  <c r="DD35" i="98"/>
  <c r="DD36" i="98"/>
  <c r="DD37" i="98"/>
  <c r="DD38" i="98"/>
  <c r="DD39" i="98"/>
  <c r="DD40" i="98"/>
  <c r="DD41" i="98"/>
  <c r="DD42" i="98"/>
  <c r="DD43" i="98"/>
  <c r="DD44" i="98"/>
  <c r="DD45" i="98"/>
  <c r="DD46" i="98"/>
  <c r="DD47" i="98"/>
  <c r="DD48" i="98"/>
  <c r="DD49" i="98"/>
  <c r="DD50" i="98"/>
  <c r="DD51" i="98"/>
  <c r="DD52" i="98"/>
  <c r="DD53" i="98"/>
  <c r="DD54" i="98"/>
  <c r="DD55" i="98"/>
  <c r="DD56" i="98"/>
  <c r="DD57" i="98"/>
  <c r="DD58" i="98"/>
  <c r="DD59" i="98"/>
  <c r="DD60" i="98"/>
  <c r="DD61" i="98"/>
  <c r="DD62" i="98"/>
  <c r="DD63" i="98"/>
  <c r="DD64" i="98"/>
  <c r="DD65" i="98"/>
  <c r="DD66" i="98"/>
  <c r="DD67" i="98"/>
  <c r="DD68" i="98"/>
  <c r="DD69" i="98"/>
  <c r="DD70" i="98"/>
  <c r="DD71" i="98"/>
  <c r="DD72" i="98"/>
  <c r="DD73" i="98"/>
  <c r="DD74" i="98"/>
  <c r="DD75" i="98"/>
  <c r="DD76" i="98"/>
  <c r="DD77" i="98"/>
  <c r="DD78" i="98"/>
  <c r="DD79" i="98"/>
  <c r="DD80" i="98"/>
  <c r="DD81" i="98"/>
  <c r="DD82" i="98"/>
  <c r="DD83" i="98"/>
  <c r="DD84" i="98"/>
  <c r="DD85" i="98"/>
  <c r="DD86" i="98"/>
  <c r="DD87" i="98"/>
  <c r="DD88" i="98"/>
  <c r="DD89" i="98"/>
  <c r="DD90" i="98"/>
  <c r="DD91" i="98"/>
  <c r="DD92" i="98"/>
  <c r="DD93" i="98"/>
  <c r="DD94" i="98"/>
  <c r="DD95" i="98"/>
  <c r="DD96" i="98"/>
  <c r="DD97" i="98"/>
  <c r="DD98" i="98"/>
  <c r="DD99" i="98"/>
  <c r="DD100" i="98"/>
  <c r="DD101" i="98"/>
  <c r="DD102" i="98"/>
  <c r="DD103" i="98"/>
  <c r="DD104" i="98"/>
  <c r="DD105" i="98"/>
  <c r="DD106" i="98"/>
  <c r="DD107" i="98"/>
  <c r="DD108" i="98"/>
  <c r="DD109" i="98"/>
  <c r="DD110" i="98"/>
  <c r="DD111" i="98"/>
  <c r="DD112" i="98"/>
  <c r="DD113" i="98"/>
  <c r="DD114" i="98"/>
  <c r="DD115" i="98"/>
  <c r="DD116" i="98"/>
  <c r="DD117" i="98"/>
  <c r="DD118" i="98"/>
  <c r="DD119" i="98"/>
  <c r="DD120" i="98"/>
  <c r="DD121" i="98"/>
  <c r="DD122" i="98"/>
  <c r="DD123" i="98"/>
  <c r="DD124" i="98"/>
  <c r="DD125" i="98"/>
  <c r="DD126" i="98"/>
  <c r="DD127" i="98"/>
  <c r="DD128" i="98"/>
  <c r="DD129" i="98"/>
  <c r="DD130" i="98"/>
  <c r="DD131" i="98"/>
  <c r="DD132" i="98"/>
  <c r="DD133" i="98"/>
  <c r="DD134" i="98"/>
  <c r="DD135" i="98"/>
  <c r="DD136" i="98"/>
  <c r="DD137" i="98"/>
  <c r="DD138" i="98"/>
  <c r="DD139" i="98"/>
  <c r="DD140" i="98"/>
  <c r="DD141" i="98"/>
  <c r="DD142" i="98"/>
  <c r="DD143" i="98"/>
  <c r="DD144" i="98"/>
  <c r="DD145" i="98"/>
  <c r="DD146" i="98"/>
  <c r="DD147" i="98"/>
  <c r="DD148" i="98"/>
  <c r="DD149" i="98"/>
  <c r="DD150" i="98"/>
  <c r="DD151" i="98"/>
  <c r="DD152" i="98"/>
  <c r="DD153" i="98"/>
  <c r="DD154" i="98"/>
  <c r="DD155" i="98"/>
  <c r="DD156" i="98"/>
  <c r="DD157" i="98"/>
  <c r="DD158" i="98"/>
  <c r="DD159" i="98"/>
  <c r="DD160" i="98"/>
  <c r="DD161" i="98"/>
  <c r="DD162" i="98"/>
  <c r="DD163" i="98"/>
  <c r="DD164" i="98"/>
  <c r="DD165" i="98"/>
  <c r="DD166" i="98"/>
  <c r="DD167" i="98"/>
  <c r="DD168" i="98"/>
  <c r="DD169" i="98"/>
  <c r="DD170" i="98"/>
  <c r="DD171" i="98"/>
  <c r="DD172" i="98"/>
  <c r="DD173" i="98"/>
  <c r="DD174" i="98"/>
  <c r="DD175" i="98"/>
  <c r="DD176" i="98"/>
  <c r="DD177" i="98"/>
  <c r="DD178" i="98"/>
  <c r="DD179" i="98"/>
  <c r="DD180" i="98"/>
  <c r="DD181" i="98"/>
  <c r="DD182" i="98"/>
  <c r="DD183" i="98"/>
  <c r="DD184" i="98"/>
  <c r="DD185" i="98"/>
  <c r="DD186" i="98"/>
  <c r="DD187" i="98"/>
  <c r="DD188" i="98"/>
  <c r="DD189" i="98"/>
  <c r="DD190" i="98"/>
  <c r="DD191" i="98"/>
  <c r="DD192" i="98"/>
  <c r="DD193" i="98"/>
  <c r="DD194" i="98"/>
  <c r="DD195" i="98"/>
  <c r="DD196" i="98"/>
  <c r="DD197" i="98"/>
  <c r="DD198" i="98"/>
  <c r="DD199" i="98"/>
  <c r="DD200" i="98"/>
  <c r="DD201" i="98"/>
  <c r="DD202" i="98"/>
  <c r="DD203" i="98"/>
  <c r="DD204" i="98"/>
  <c r="DD205" i="98"/>
  <c r="DD206" i="98"/>
  <c r="DD207" i="98"/>
  <c r="DD208" i="98"/>
  <c r="DD209" i="98"/>
  <c r="DD210" i="98"/>
  <c r="DD211" i="98"/>
  <c r="DD212" i="98"/>
  <c r="DD213" i="98"/>
  <c r="DD214" i="98"/>
  <c r="DD215" i="98"/>
  <c r="DD216" i="98"/>
  <c r="DD217" i="98"/>
  <c r="DD218" i="98"/>
  <c r="DD219" i="98"/>
  <c r="DD220" i="98"/>
  <c r="DD221" i="98"/>
  <c r="DD222" i="98"/>
  <c r="DD223" i="98"/>
  <c r="DD224" i="98"/>
  <c r="DD225" i="98"/>
  <c r="DD226" i="98"/>
  <c r="DD227" i="98"/>
  <c r="DD228" i="98"/>
  <c r="DD229" i="98"/>
  <c r="DD230" i="98"/>
  <c r="DD231" i="98"/>
  <c r="DD232" i="98"/>
  <c r="DD233" i="98"/>
  <c r="DD234" i="98"/>
  <c r="DD235" i="98"/>
  <c r="DD236" i="98"/>
  <c r="DD237" i="98"/>
  <c r="DD238" i="98"/>
  <c r="DD239" i="98"/>
  <c r="DD240" i="98"/>
  <c r="DD241" i="98"/>
  <c r="DD242" i="98"/>
  <c r="DD243" i="98"/>
  <c r="DD244" i="98"/>
  <c r="DD245" i="98"/>
  <c r="DD246" i="98"/>
  <c r="DD247" i="98"/>
  <c r="DD248" i="98"/>
  <c r="DD249" i="98"/>
  <c r="DD250" i="98"/>
  <c r="DD251" i="98"/>
  <c r="DD252" i="98"/>
  <c r="DD253" i="98"/>
  <c r="DD254" i="98"/>
  <c r="DD255" i="98"/>
  <c r="DD256" i="98"/>
  <c r="DD257" i="98"/>
  <c r="DD258" i="98"/>
  <c r="DD259" i="98"/>
  <c r="DD260" i="98"/>
  <c r="DD261" i="98"/>
  <c r="DD262" i="98"/>
  <c r="DD263" i="98"/>
  <c r="DD264" i="98"/>
  <c r="DD265" i="98"/>
  <c r="DD266" i="98"/>
  <c r="DD267" i="98"/>
  <c r="DD268" i="98"/>
  <c r="DD269" i="98"/>
  <c r="DD270" i="98"/>
  <c r="DD271" i="98"/>
  <c r="DD272" i="98"/>
  <c r="DD273" i="98"/>
  <c r="DD274" i="98"/>
  <c r="DD275" i="98"/>
  <c r="DD276" i="98"/>
  <c r="DD277" i="98"/>
  <c r="DD278" i="98"/>
  <c r="DD279" i="98"/>
  <c r="DD280" i="98"/>
  <c r="DD281" i="98"/>
  <c r="DD282" i="98"/>
  <c r="DD283" i="98"/>
  <c r="DD284" i="98"/>
  <c r="DD285" i="98"/>
  <c r="DD286" i="98"/>
  <c r="DD287" i="98"/>
  <c r="DD288" i="98"/>
  <c r="DD289" i="98"/>
  <c r="DD290" i="98"/>
  <c r="DD291" i="98"/>
  <c r="DD292" i="98"/>
  <c r="DD293" i="98"/>
  <c r="DD294" i="98"/>
  <c r="DD295" i="98"/>
  <c r="DD296" i="98"/>
  <c r="DD297" i="98"/>
  <c r="DD298" i="98"/>
  <c r="DD299" i="98"/>
  <c r="DD300" i="98"/>
  <c r="DD301" i="98"/>
  <c r="DD302" i="98"/>
  <c r="DD303" i="98"/>
  <c r="DD304" i="98"/>
  <c r="DD305" i="98"/>
  <c r="DD306" i="98"/>
  <c r="DD307" i="98"/>
  <c r="DD308" i="98"/>
  <c r="DD309" i="98"/>
  <c r="DD310" i="98"/>
  <c r="DD311" i="98"/>
  <c r="DD312" i="98"/>
  <c r="DD313" i="98"/>
  <c r="DD314" i="98"/>
  <c r="DD315" i="98"/>
  <c r="DD316" i="98"/>
  <c r="DD317" i="98"/>
  <c r="DD318" i="98"/>
  <c r="DD319" i="98"/>
  <c r="DD320" i="98"/>
  <c r="DD321" i="98"/>
  <c r="DD322" i="98"/>
  <c r="DD323" i="98"/>
  <c r="DD324" i="98"/>
  <c r="DD325" i="98"/>
  <c r="DD326" i="98"/>
  <c r="DD327" i="98"/>
  <c r="DD328" i="98"/>
  <c r="DD329" i="98"/>
  <c r="DD330" i="98"/>
  <c r="DD331" i="98"/>
  <c r="DD332" i="98"/>
  <c r="DD333" i="98"/>
  <c r="DD334" i="98"/>
  <c r="DD335" i="98"/>
  <c r="DD336" i="98"/>
  <c r="DD337" i="98"/>
  <c r="DD338" i="98"/>
  <c r="DD339" i="98"/>
  <c r="DD340" i="98"/>
  <c r="DD341" i="98"/>
  <c r="DD342" i="98"/>
  <c r="DD343" i="98"/>
  <c r="DD344" i="98"/>
  <c r="DD345" i="98"/>
  <c r="DD346" i="98"/>
  <c r="DD347" i="98"/>
  <c r="DD348" i="98"/>
  <c r="DD349" i="98"/>
  <c r="DD350" i="98"/>
  <c r="DD351" i="98"/>
  <c r="DD352" i="98"/>
  <c r="DD353" i="98"/>
  <c r="DD354" i="98"/>
  <c r="DD355" i="98"/>
  <c r="DD356" i="98"/>
  <c r="DD357" i="98"/>
  <c r="DD358" i="98"/>
  <c r="DD359" i="98"/>
  <c r="DD360" i="98"/>
  <c r="DD361" i="98"/>
  <c r="DD362" i="98"/>
  <c r="DD363" i="98"/>
  <c r="DD364" i="98"/>
  <c r="DD365" i="98"/>
  <c r="DD366" i="98"/>
  <c r="DD367" i="98"/>
  <c r="DD368" i="98"/>
  <c r="DD369" i="98"/>
  <c r="DD370" i="98"/>
  <c r="DD371" i="98"/>
  <c r="DD372" i="98"/>
  <c r="DD373" i="98"/>
  <c r="DD374" i="98"/>
  <c r="DD375" i="98"/>
  <c r="DD376" i="98"/>
  <c r="DD377" i="98"/>
  <c r="DD378" i="98"/>
  <c r="DD379" i="98"/>
  <c r="DD380" i="98"/>
  <c r="DD381" i="98"/>
  <c r="DD382" i="98"/>
  <c r="DD383" i="98"/>
  <c r="DD384" i="98"/>
  <c r="DE20" i="98"/>
  <c r="DB386" i="98"/>
  <c r="DB16" i="98"/>
  <c r="F213" i="70"/>
  <c r="DE21" i="98"/>
  <c r="DF21" i="98"/>
  <c r="F214" i="70"/>
  <c r="DE22" i="98"/>
  <c r="DF22" i="98"/>
  <c r="F215" i="70"/>
  <c r="DE23" i="98"/>
  <c r="DF23" i="98"/>
  <c r="F216" i="70"/>
  <c r="DE24" i="98"/>
  <c r="DF24" i="98"/>
  <c r="F217" i="70"/>
  <c r="DE25" i="98"/>
  <c r="DF25" i="98"/>
  <c r="F218" i="70"/>
  <c r="DE26" i="98"/>
  <c r="DF26" i="98"/>
  <c r="F219" i="70"/>
  <c r="DE27" i="98"/>
  <c r="DF27" i="98"/>
  <c r="F220" i="70"/>
  <c r="DE28" i="98"/>
  <c r="DF28" i="98"/>
  <c r="F221" i="70"/>
  <c r="DE29" i="98"/>
  <c r="DF29" i="98"/>
  <c r="F222" i="70"/>
  <c r="DE30" i="98"/>
  <c r="DF30" i="98"/>
  <c r="F223" i="70"/>
  <c r="DE31" i="98"/>
  <c r="DF31" i="98"/>
  <c r="F224" i="70"/>
  <c r="DE32" i="98"/>
  <c r="DF32" i="98"/>
  <c r="F225" i="70"/>
  <c r="DE33" i="98"/>
  <c r="DF33" i="98"/>
  <c r="F226" i="70"/>
  <c r="DE34" i="98"/>
  <c r="DF34" i="98"/>
  <c r="F227" i="70"/>
  <c r="DE35" i="98"/>
  <c r="DF35" i="98"/>
  <c r="F228" i="70"/>
  <c r="DE36" i="98"/>
  <c r="DF36" i="98"/>
  <c r="F229" i="70"/>
  <c r="DE37" i="98"/>
  <c r="DF37" i="98"/>
  <c r="F230" i="70"/>
  <c r="DE38" i="98"/>
  <c r="DF38" i="98"/>
  <c r="F231" i="70"/>
  <c r="DE39" i="98"/>
  <c r="DF39" i="98"/>
  <c r="F232" i="70"/>
  <c r="DE40" i="98"/>
  <c r="DF40" i="98"/>
  <c r="F233" i="70"/>
  <c r="DE41" i="98"/>
  <c r="DF41" i="98"/>
  <c r="F234" i="70"/>
  <c r="DE42" i="98"/>
  <c r="DF42" i="98"/>
  <c r="F235" i="70"/>
  <c r="DE43" i="98"/>
  <c r="DF43" i="98"/>
  <c r="F236" i="70"/>
  <c r="DE44" i="98"/>
  <c r="DF44" i="98"/>
  <c r="F42" i="70"/>
  <c r="C185" i="71"/>
  <c r="F237" i="70"/>
  <c r="F239" i="70"/>
  <c r="E41" i="70"/>
  <c r="E239" i="70"/>
  <c r="DE45" i="98"/>
  <c r="DF45" i="98"/>
  <c r="C81" i="71"/>
  <c r="I11" i="76"/>
  <c r="I12" i="76"/>
  <c r="I47" i="70"/>
  <c r="I53" i="70"/>
  <c r="H59" i="70"/>
  <c r="H57" i="70"/>
  <c r="DE46" i="98"/>
  <c r="DF46" i="98"/>
  <c r="DE47" i="98"/>
  <c r="DF47" i="98"/>
  <c r="E39" i="70"/>
  <c r="E42" i="70"/>
  <c r="DE48" i="98"/>
  <c r="DF48" i="98"/>
  <c r="H56" i="70"/>
  <c r="H58" i="70"/>
  <c r="I5" i="70"/>
  <c r="DE49" i="98"/>
  <c r="DF49" i="98"/>
  <c r="F5" i="47"/>
  <c r="E39" i="72"/>
  <c r="H5" i="47"/>
  <c r="H60" i="70"/>
  <c r="E267" i="70"/>
  <c r="B243" i="70"/>
  <c r="DE50" i="98"/>
  <c r="DF50" i="98"/>
  <c r="E257" i="70"/>
  <c r="E264" i="70"/>
  <c r="E251" i="70"/>
  <c r="E253" i="70"/>
  <c r="E252" i="70"/>
  <c r="E261" i="70"/>
  <c r="E266" i="70"/>
  <c r="E262" i="70"/>
  <c r="E250" i="70"/>
  <c r="E254" i="70"/>
  <c r="E268" i="70"/>
  <c r="E248" i="70"/>
  <c r="E258" i="70"/>
  <c r="E255" i="70"/>
  <c r="E259" i="70"/>
  <c r="E263" i="70"/>
  <c r="E265" i="70"/>
  <c r="E260" i="70"/>
  <c r="E256" i="70"/>
  <c r="E249" i="70"/>
  <c r="C71" i="64"/>
  <c r="C71" i="83"/>
  <c r="B65" i="64"/>
  <c r="B65" i="83"/>
  <c r="DE51" i="98"/>
  <c r="DF51" i="98"/>
  <c r="B245" i="70"/>
  <c r="I62" i="70"/>
  <c r="DE52" i="98"/>
  <c r="DF52" i="98"/>
  <c r="I2" i="70"/>
  <c r="F6" i="47"/>
  <c r="O48" i="76"/>
  <c r="O46" i="76"/>
  <c r="N46" i="76"/>
  <c r="O44" i="76"/>
  <c r="N45" i="76"/>
  <c r="N48" i="76"/>
  <c r="N44" i="76"/>
  <c r="O45" i="76"/>
  <c r="DE53" i="98"/>
  <c r="DF53" i="98"/>
  <c r="E40" i="72"/>
  <c r="F20" i="47"/>
  <c r="I6" i="47"/>
  <c r="I3" i="47"/>
  <c r="N50" i="76"/>
  <c r="L53" i="76"/>
  <c r="F12" i="23"/>
  <c r="F21" i="23"/>
  <c r="O50" i="76"/>
  <c r="L54" i="76"/>
  <c r="DE54" i="98"/>
  <c r="DF54" i="98"/>
  <c r="E86" i="72"/>
  <c r="E91" i="72"/>
  <c r="E45" i="72"/>
  <c r="F36" i="83"/>
  <c r="I70" i="83"/>
  <c r="I12" i="23"/>
  <c r="F2" i="47"/>
  <c r="F3" i="47"/>
  <c r="F36" i="64"/>
  <c r="DE55" i="98"/>
  <c r="DF55" i="98"/>
  <c r="I45" i="72"/>
  <c r="K45" i="72"/>
  <c r="H2" i="47"/>
  <c r="I91" i="72"/>
  <c r="K91" i="72"/>
  <c r="F41" i="83"/>
  <c r="F41" i="64"/>
  <c r="F2" i="23"/>
  <c r="F3" i="23"/>
  <c r="G36" i="64"/>
  <c r="H36" i="64"/>
  <c r="L36" i="64"/>
  <c r="I70" i="64"/>
  <c r="L36" i="83"/>
  <c r="G36" i="83"/>
  <c r="I52" i="83"/>
  <c r="DE56" i="98"/>
  <c r="DF56" i="98"/>
  <c r="I52" i="64"/>
  <c r="H2" i="23"/>
  <c r="G41" i="83"/>
  <c r="L41" i="83"/>
  <c r="M41" i="83"/>
  <c r="N41" i="83"/>
  <c r="I80" i="83"/>
  <c r="I80" i="64"/>
  <c r="G41" i="64"/>
  <c r="L41" i="64"/>
  <c r="M41" i="64"/>
  <c r="N41" i="64"/>
  <c r="M36" i="64"/>
  <c r="N36" i="64"/>
  <c r="O70" i="64"/>
  <c r="M36" i="83"/>
  <c r="N36" i="83"/>
  <c r="H36" i="83"/>
  <c r="O70" i="83"/>
  <c r="DE57" i="98"/>
  <c r="DF57" i="98"/>
  <c r="H41" i="64"/>
  <c r="I57" i="64"/>
  <c r="H41" i="83"/>
  <c r="O80" i="83"/>
  <c r="I57" i="83"/>
  <c r="DE58" i="98"/>
  <c r="DF58" i="98"/>
  <c r="O80" i="64"/>
  <c r="DE59" i="98"/>
  <c r="DF59" i="98"/>
  <c r="DE60" i="98"/>
  <c r="DF60" i="98"/>
  <c r="DE61" i="98"/>
  <c r="DF61" i="98"/>
  <c r="DE62" i="98"/>
  <c r="DF62" i="98"/>
  <c r="DE63" i="98"/>
  <c r="DF63" i="98"/>
  <c r="DE64" i="98"/>
  <c r="DF64" i="98"/>
  <c r="DE65" i="98"/>
  <c r="DF65" i="98"/>
  <c r="DE66" i="98"/>
  <c r="DF66" i="98"/>
  <c r="DE67" i="98"/>
  <c r="DF67" i="98"/>
  <c r="DE68" i="98"/>
  <c r="DF68" i="98"/>
  <c r="DE69" i="98"/>
  <c r="DF69" i="98"/>
  <c r="DE70" i="98"/>
  <c r="DF70" i="98"/>
  <c r="DE71" i="98"/>
  <c r="DF71" i="98"/>
  <c r="DE72" i="98"/>
  <c r="DF72" i="98"/>
  <c r="DE73" i="98"/>
  <c r="DF73" i="98"/>
  <c r="DE74" i="98"/>
  <c r="DF74" i="98"/>
  <c r="DE75" i="98"/>
  <c r="DF75" i="98"/>
  <c r="DE76" i="98"/>
  <c r="DF76" i="98"/>
  <c r="DE77" i="98"/>
  <c r="DF77" i="98"/>
  <c r="DE78" i="98"/>
  <c r="DF78" i="98"/>
  <c r="DE79" i="98"/>
  <c r="DF79" i="98"/>
  <c r="DE80" i="98"/>
  <c r="DF80" i="98"/>
  <c r="DE81" i="98"/>
  <c r="DF81" i="98"/>
  <c r="DE82" i="98"/>
  <c r="DF82" i="98"/>
  <c r="DE83" i="98"/>
  <c r="DF83" i="98"/>
  <c r="DE84" i="98"/>
  <c r="DF84" i="98"/>
  <c r="DE85" i="98"/>
  <c r="DF85" i="98"/>
  <c r="DE86" i="98"/>
  <c r="DF86" i="98"/>
  <c r="DE87" i="98"/>
  <c r="DF87" i="98"/>
  <c r="DE88" i="98"/>
  <c r="DF88" i="98"/>
  <c r="DE89" i="98"/>
  <c r="DF89" i="98"/>
  <c r="DE90" i="98"/>
  <c r="DF90" i="98"/>
  <c r="DE91" i="98"/>
  <c r="DF91" i="98"/>
  <c r="DE92" i="98"/>
  <c r="DF92" i="98"/>
  <c r="DE93" i="98"/>
  <c r="DF93" i="98"/>
  <c r="DE94" i="98"/>
  <c r="DF94" i="98"/>
  <c r="DE95" i="98"/>
  <c r="DF95" i="98"/>
  <c r="DE96" i="98"/>
  <c r="DF96" i="98"/>
  <c r="DE97" i="98"/>
  <c r="DF97" i="98"/>
  <c r="DE98" i="98"/>
  <c r="DF98" i="98"/>
  <c r="DE99" i="98"/>
  <c r="DF99" i="98"/>
  <c r="DE100" i="98"/>
  <c r="DF100" i="98"/>
  <c r="DE101" i="98"/>
  <c r="DF101" i="98"/>
  <c r="DE102" i="98"/>
  <c r="DF102" i="98"/>
  <c r="DE103" i="98"/>
  <c r="DF103" i="98"/>
  <c r="DE104" i="98"/>
  <c r="DF104" i="98"/>
  <c r="DE105" i="98"/>
  <c r="DF105" i="98"/>
  <c r="DE106" i="98"/>
  <c r="DF106" i="98"/>
  <c r="DE107" i="98"/>
  <c r="DF107" i="98"/>
  <c r="DE108" i="98"/>
  <c r="DF108" i="98"/>
  <c r="DE109" i="98"/>
  <c r="DF109" i="98"/>
  <c r="DE110" i="98"/>
  <c r="DF110" i="98"/>
  <c r="DE111" i="98"/>
  <c r="DF111" i="98"/>
  <c r="DE112" i="98"/>
  <c r="DF112" i="98"/>
  <c r="DE113" i="98"/>
  <c r="DF113" i="98"/>
  <c r="DE114" i="98"/>
  <c r="DF114" i="98"/>
  <c r="DE115" i="98"/>
  <c r="DF115" i="98"/>
  <c r="DE116" i="98"/>
  <c r="DF116" i="98"/>
  <c r="DE117" i="98"/>
  <c r="DF117" i="98"/>
  <c r="DE118" i="98"/>
  <c r="DF118" i="98"/>
  <c r="DE119" i="98"/>
  <c r="DF119" i="98"/>
  <c r="DE120" i="98"/>
  <c r="DF120" i="98"/>
  <c r="DE121" i="98"/>
  <c r="DF121" i="98"/>
  <c r="DE122" i="98"/>
  <c r="DF122" i="98"/>
  <c r="DE123" i="98"/>
  <c r="DF123" i="98"/>
  <c r="DE124" i="98"/>
  <c r="DF124" i="98"/>
  <c r="DE125" i="98"/>
  <c r="DF125" i="98"/>
  <c r="DE126" i="98"/>
  <c r="DF126" i="98"/>
  <c r="DE127" i="98"/>
  <c r="DF127" i="98"/>
  <c r="DE128" i="98"/>
  <c r="DF128" i="98"/>
  <c r="DE129" i="98"/>
  <c r="DF129" i="98"/>
  <c r="DE130" i="98"/>
  <c r="DF130" i="98"/>
  <c r="DE131" i="98"/>
  <c r="DF131" i="98"/>
  <c r="DE132" i="98"/>
  <c r="DF132" i="98"/>
  <c r="DE133" i="98"/>
  <c r="DF133" i="98"/>
  <c r="DE134" i="98"/>
  <c r="DF134" i="98"/>
  <c r="DE135" i="98"/>
  <c r="DF135" i="98"/>
  <c r="DE136" i="98"/>
  <c r="DF136" i="98"/>
  <c r="DE137" i="98"/>
  <c r="DF137" i="98"/>
  <c r="DE138" i="98"/>
  <c r="DF138" i="98"/>
  <c r="DE139" i="98"/>
  <c r="DF139" i="98"/>
  <c r="DE140" i="98"/>
  <c r="DF140" i="98"/>
  <c r="DE141" i="98"/>
  <c r="DF141" i="98"/>
  <c r="DE142" i="98"/>
  <c r="DF142" i="98"/>
  <c r="DE143" i="98"/>
  <c r="DF143" i="98"/>
  <c r="DE144" i="98"/>
  <c r="DF144" i="98"/>
  <c r="DE145" i="98"/>
  <c r="DF145" i="98"/>
  <c r="DE146" i="98"/>
  <c r="DF146" i="98"/>
  <c r="DE147" i="98"/>
  <c r="DF147" i="98"/>
  <c r="DE148" i="98"/>
  <c r="DF148" i="98"/>
  <c r="DE149" i="98"/>
  <c r="DF149" i="98"/>
  <c r="DE150" i="98"/>
  <c r="DF150" i="98"/>
  <c r="DE151" i="98"/>
  <c r="DF151" i="98"/>
  <c r="DE152" i="98"/>
  <c r="DF152" i="98"/>
  <c r="DE153" i="98"/>
  <c r="DF153" i="98"/>
  <c r="DE154" i="98"/>
  <c r="DF154" i="98"/>
  <c r="DE155" i="98"/>
  <c r="DF155" i="98"/>
  <c r="DE156" i="98"/>
  <c r="DF156" i="98"/>
  <c r="DE157" i="98"/>
  <c r="DF157" i="98"/>
  <c r="DE158" i="98"/>
  <c r="DF158" i="98"/>
  <c r="DE159" i="98"/>
  <c r="DF159" i="98"/>
  <c r="DE160" i="98"/>
  <c r="DF160" i="98"/>
  <c r="DE161" i="98"/>
  <c r="DF161" i="98"/>
  <c r="DE162" i="98"/>
  <c r="DF162" i="98"/>
  <c r="DE163" i="98"/>
  <c r="DF163" i="98"/>
  <c r="DE164" i="98"/>
  <c r="DF164" i="98"/>
  <c r="DE165" i="98"/>
  <c r="DF165" i="98"/>
  <c r="DE166" i="98"/>
  <c r="DF166" i="98"/>
  <c r="DE167" i="98"/>
  <c r="DF167" i="98"/>
  <c r="DE168" i="98"/>
  <c r="DF168" i="98"/>
  <c r="DE169" i="98"/>
  <c r="DF169" i="98"/>
  <c r="DE170" i="98"/>
  <c r="DF170" i="98"/>
  <c r="DE171" i="98"/>
  <c r="DF171" i="98"/>
  <c r="DE172" i="98"/>
  <c r="DF172" i="98"/>
  <c r="DE173" i="98"/>
  <c r="DF173" i="98"/>
  <c r="DE174" i="98"/>
  <c r="DF174" i="98"/>
  <c r="DE175" i="98"/>
  <c r="DF175" i="98"/>
  <c r="DE176" i="98"/>
  <c r="DF176" i="98"/>
  <c r="DE177" i="98"/>
  <c r="DF177" i="98"/>
  <c r="DE178" i="98"/>
  <c r="DF178" i="98"/>
  <c r="DE179" i="98"/>
  <c r="DF179" i="98"/>
  <c r="DE180" i="98"/>
  <c r="DF180" i="98"/>
  <c r="DE181" i="98"/>
  <c r="DF181" i="98"/>
  <c r="DE182" i="98"/>
  <c r="DF182" i="98"/>
  <c r="DE183" i="98"/>
  <c r="DF183" i="98"/>
  <c r="DE184" i="98"/>
  <c r="DF184" i="98"/>
  <c r="DE185" i="98"/>
  <c r="DF185" i="98"/>
  <c r="DE186" i="98"/>
  <c r="DF186" i="98"/>
  <c r="DE187" i="98"/>
  <c r="DF187" i="98"/>
  <c r="DE188" i="98"/>
  <c r="DF188" i="98"/>
  <c r="DE189" i="98"/>
  <c r="DF189" i="98"/>
  <c r="DE190" i="98"/>
  <c r="DF190" i="98"/>
  <c r="DE191" i="98"/>
  <c r="DF191" i="98"/>
  <c r="DE192" i="98"/>
  <c r="DF192" i="98"/>
  <c r="DE193" i="98"/>
  <c r="DF193" i="98"/>
  <c r="DE194" i="98"/>
  <c r="DF194" i="98"/>
  <c r="DE195" i="98"/>
  <c r="DF195" i="98"/>
  <c r="DE196" i="98"/>
  <c r="DF196" i="98"/>
  <c r="DE197" i="98"/>
  <c r="DF197" i="98"/>
  <c r="DE198" i="98"/>
  <c r="DF198" i="98"/>
  <c r="DE199" i="98"/>
  <c r="DF199" i="98"/>
  <c r="DE200" i="98"/>
  <c r="DF200" i="98"/>
  <c r="DE201" i="98"/>
  <c r="DF201" i="98"/>
  <c r="DE202" i="98"/>
  <c r="DF202" i="98"/>
  <c r="DE203" i="98"/>
  <c r="DF203" i="98"/>
  <c r="DE204" i="98"/>
  <c r="DF204" i="98"/>
  <c r="DE205" i="98"/>
  <c r="DF205" i="98"/>
  <c r="DE206" i="98"/>
  <c r="DF206" i="98"/>
  <c r="DE207" i="98"/>
  <c r="DF207" i="98"/>
  <c r="DE208" i="98"/>
  <c r="DF208" i="98"/>
  <c r="DE209" i="98"/>
  <c r="DF209" i="98"/>
  <c r="DE210" i="98"/>
  <c r="DF210" i="98"/>
  <c r="DE211" i="98"/>
  <c r="DF211" i="98"/>
  <c r="DE212" i="98"/>
  <c r="DF212" i="98"/>
  <c r="DE213" i="98"/>
  <c r="DF213" i="98"/>
  <c r="DE214" i="98"/>
  <c r="DF214" i="98"/>
  <c r="DE215" i="98"/>
  <c r="DF215" i="98"/>
  <c r="DE216" i="98"/>
  <c r="DF216" i="98"/>
  <c r="DE217" i="98"/>
  <c r="DF217" i="98"/>
  <c r="DE218" i="98"/>
  <c r="DF218" i="98"/>
  <c r="DE219" i="98"/>
  <c r="DF219" i="98"/>
  <c r="DE220" i="98"/>
  <c r="DF220" i="98"/>
  <c r="DE221" i="98"/>
  <c r="DF221" i="98"/>
  <c r="DE222" i="98"/>
  <c r="DF222" i="98"/>
  <c r="DE223" i="98"/>
  <c r="DF223" i="98"/>
  <c r="DE224" i="98"/>
  <c r="DF224" i="98"/>
  <c r="DE225" i="98"/>
  <c r="DF225" i="98"/>
  <c r="DE226" i="98"/>
  <c r="DF226" i="98"/>
  <c r="DE227" i="98"/>
  <c r="DF227" i="98"/>
  <c r="DE228" i="98"/>
  <c r="DF228" i="98"/>
  <c r="DE229" i="98"/>
  <c r="DF229" i="98"/>
  <c r="DE230" i="98"/>
  <c r="DF230" i="98"/>
  <c r="DE231" i="98"/>
  <c r="DF231" i="98"/>
  <c r="DE232" i="98"/>
  <c r="DF232" i="98"/>
  <c r="DE233" i="98"/>
  <c r="DF233" i="98"/>
  <c r="DE234" i="98"/>
  <c r="DF234" i="98"/>
  <c r="DE235" i="98"/>
  <c r="DF235" i="98"/>
  <c r="DE236" i="98"/>
  <c r="DF236" i="98"/>
  <c r="DE237" i="98"/>
  <c r="DF237" i="98"/>
  <c r="DE238" i="98"/>
  <c r="DF238" i="98"/>
  <c r="DE239" i="98"/>
  <c r="DF239" i="98"/>
  <c r="DE240" i="98"/>
  <c r="DF240" i="98"/>
  <c r="DE241" i="98"/>
  <c r="DF241" i="98"/>
  <c r="DE242" i="98"/>
  <c r="DF242" i="98"/>
  <c r="DE243" i="98"/>
  <c r="DF243" i="98"/>
  <c r="DE244" i="98"/>
  <c r="DF244" i="98"/>
  <c r="DE245" i="98"/>
  <c r="DF245" i="98"/>
  <c r="DE246" i="98"/>
  <c r="DF246" i="98"/>
  <c r="DE247" i="98"/>
  <c r="DF247" i="98"/>
  <c r="DE248" i="98"/>
  <c r="DF248" i="98"/>
  <c r="DE249" i="98"/>
  <c r="DF249" i="98"/>
  <c r="DE250" i="98"/>
  <c r="DF250" i="98"/>
  <c r="DE251" i="98"/>
  <c r="DF251" i="98"/>
  <c r="DE252" i="98"/>
  <c r="DF252" i="98"/>
  <c r="DE253" i="98"/>
  <c r="DF253" i="98"/>
  <c r="DE254" i="98"/>
  <c r="DF254" i="98"/>
  <c r="DE255" i="98"/>
  <c r="DF255" i="98"/>
  <c r="DE256" i="98"/>
  <c r="DF256" i="98"/>
  <c r="DE257" i="98"/>
  <c r="DF257" i="98"/>
  <c r="DE258" i="98"/>
  <c r="DF258" i="98"/>
  <c r="DE259" i="98"/>
  <c r="DF259" i="98"/>
  <c r="DE260" i="98"/>
  <c r="DF260" i="98"/>
  <c r="DE261" i="98"/>
  <c r="DF261" i="98"/>
  <c r="DE262" i="98"/>
  <c r="DF262" i="98"/>
  <c r="DE263" i="98"/>
  <c r="DF263" i="98"/>
  <c r="DE264" i="98"/>
  <c r="DF264" i="98"/>
  <c r="DE265" i="98"/>
  <c r="DF265" i="98"/>
  <c r="DE266" i="98"/>
  <c r="DF266" i="98"/>
  <c r="DE267" i="98"/>
  <c r="DF267" i="98"/>
  <c r="DE268" i="98"/>
  <c r="DF268" i="98"/>
  <c r="DE269" i="98"/>
  <c r="DF269" i="98"/>
  <c r="DE270" i="98"/>
  <c r="DF270" i="98"/>
  <c r="DE271" i="98"/>
  <c r="DF271" i="98"/>
  <c r="DE272" i="98"/>
  <c r="DF272" i="98"/>
  <c r="DE273" i="98"/>
  <c r="DF273" i="98"/>
  <c r="DE274" i="98"/>
  <c r="DF274" i="98"/>
  <c r="DE275" i="98"/>
  <c r="DF275" i="98"/>
  <c r="DE276" i="98"/>
  <c r="DF276" i="98"/>
  <c r="DE277" i="98"/>
  <c r="DF277" i="98"/>
  <c r="DE278" i="98"/>
  <c r="DF278" i="98"/>
  <c r="DE279" i="98"/>
  <c r="DF279" i="98"/>
  <c r="DE280" i="98"/>
  <c r="DF280" i="98"/>
  <c r="DE281" i="98"/>
  <c r="DF281" i="98"/>
  <c r="DE282" i="98"/>
  <c r="DF282" i="98"/>
  <c r="DE283" i="98"/>
  <c r="DF283" i="98"/>
  <c r="DE284" i="98"/>
  <c r="DF284" i="98"/>
  <c r="DE285" i="98"/>
  <c r="DF285" i="98"/>
  <c r="DE286" i="98"/>
  <c r="DF286" i="98"/>
  <c r="DE287" i="98"/>
  <c r="DF287" i="98"/>
  <c r="DE288" i="98"/>
  <c r="DF288" i="98"/>
  <c r="DE289" i="98"/>
  <c r="DF289" i="98"/>
  <c r="DE290" i="98"/>
  <c r="DF290" i="98"/>
  <c r="DE291" i="98"/>
  <c r="DF291" i="98"/>
  <c r="DE292" i="98"/>
  <c r="DF292" i="98"/>
  <c r="DE293" i="98"/>
  <c r="DF293" i="98"/>
  <c r="DE294" i="98"/>
  <c r="DF294" i="98"/>
  <c r="DE295" i="98"/>
  <c r="DF295" i="98"/>
  <c r="DE296" i="98"/>
  <c r="DF296" i="98"/>
  <c r="DE297" i="98"/>
  <c r="DF297" i="98"/>
  <c r="DE298" i="98"/>
  <c r="DF298" i="98"/>
  <c r="DE299" i="98"/>
  <c r="DF299" i="98"/>
  <c r="DE300" i="98"/>
  <c r="DF300" i="98"/>
  <c r="DE301" i="98"/>
  <c r="DF301" i="98"/>
  <c r="DE302" i="98"/>
  <c r="DF302" i="98"/>
  <c r="DE303" i="98"/>
  <c r="DF303" i="98"/>
  <c r="DE304" i="98"/>
  <c r="DF304" i="98"/>
  <c r="DE305" i="98"/>
  <c r="DF305" i="98"/>
  <c r="DE306" i="98"/>
  <c r="DF306" i="98"/>
  <c r="DE307" i="98"/>
  <c r="DF307" i="98"/>
  <c r="DE308" i="98"/>
  <c r="DF308" i="98"/>
  <c r="DE309" i="98"/>
  <c r="DF309" i="98"/>
  <c r="DE310" i="98"/>
  <c r="DF310" i="98"/>
  <c r="DE311" i="98"/>
  <c r="DF311" i="98"/>
  <c r="DE312" i="98"/>
  <c r="DF312" i="98"/>
  <c r="DE313" i="98"/>
  <c r="DF313" i="98"/>
  <c r="DE314" i="98"/>
  <c r="DF314" i="98"/>
  <c r="DE315" i="98"/>
  <c r="DF315" i="98"/>
  <c r="DE316" i="98"/>
  <c r="DF316" i="98"/>
  <c r="DE317" i="98"/>
  <c r="DF317" i="98"/>
  <c r="DE318" i="98"/>
  <c r="DF318" i="98"/>
  <c r="DE319" i="98"/>
  <c r="DF319" i="98"/>
  <c r="DE320" i="98"/>
  <c r="DF320" i="98"/>
  <c r="DE321" i="98"/>
  <c r="DF321" i="98"/>
  <c r="DE322" i="98"/>
  <c r="DF322" i="98"/>
  <c r="DE323" i="98"/>
  <c r="DF323" i="98"/>
  <c r="DE324" i="98"/>
  <c r="DF324" i="98"/>
  <c r="DE325" i="98"/>
  <c r="DF325" i="98"/>
  <c r="DE326" i="98"/>
  <c r="DF326" i="98"/>
  <c r="DE327" i="98"/>
  <c r="DF327" i="98"/>
  <c r="DE328" i="98"/>
  <c r="DF328" i="98"/>
  <c r="DE329" i="98"/>
  <c r="DF329" i="98"/>
  <c r="DE330" i="98"/>
  <c r="DF330" i="98"/>
  <c r="DE331" i="98"/>
  <c r="DF331" i="98"/>
  <c r="DE332" i="98"/>
  <c r="DF332" i="98"/>
  <c r="DE333" i="98"/>
  <c r="DF333" i="98"/>
  <c r="DE334" i="98"/>
  <c r="DF334" i="98"/>
  <c r="DE335" i="98"/>
  <c r="DF335" i="98"/>
  <c r="DE336" i="98"/>
  <c r="DF336" i="98"/>
  <c r="DE337" i="98"/>
  <c r="DF337" i="98"/>
  <c r="DE338" i="98"/>
  <c r="DF338" i="98"/>
  <c r="DE339" i="98"/>
  <c r="DF339" i="98"/>
  <c r="DE340" i="98"/>
  <c r="DF340" i="98"/>
  <c r="DE341" i="98"/>
  <c r="DF341" i="98"/>
  <c r="DE342" i="98"/>
  <c r="DF342" i="98"/>
  <c r="DE343" i="98"/>
  <c r="DF343" i="98"/>
  <c r="DE344" i="98"/>
  <c r="DF344" i="98"/>
  <c r="DE345" i="98"/>
  <c r="DF345" i="98"/>
  <c r="DE346" i="98"/>
  <c r="DF346" i="98"/>
  <c r="DE347" i="98"/>
  <c r="DF347" i="98"/>
  <c r="DE348" i="98"/>
  <c r="DF348" i="98"/>
  <c r="DE349" i="98"/>
  <c r="DF349" i="98"/>
  <c r="DE350" i="98"/>
  <c r="DF350" i="98"/>
  <c r="DE351" i="98"/>
  <c r="DF351" i="98"/>
  <c r="DE352" i="98"/>
  <c r="DF352" i="98"/>
  <c r="DE353" i="98"/>
  <c r="DF353" i="98"/>
  <c r="DE354" i="98"/>
  <c r="DF354" i="98"/>
  <c r="DE355" i="98"/>
  <c r="DF355" i="98"/>
  <c r="DE356" i="98"/>
  <c r="DF356" i="98"/>
  <c r="DE357" i="98"/>
  <c r="DF357" i="98"/>
  <c r="DE358" i="98"/>
  <c r="DF358" i="98"/>
  <c r="DE359" i="98"/>
  <c r="DF359" i="98"/>
  <c r="DE360" i="98"/>
  <c r="DF360" i="98"/>
  <c r="DE361" i="98"/>
  <c r="DF361" i="98"/>
  <c r="DE362" i="98"/>
  <c r="DF362" i="98"/>
  <c r="DE363" i="98"/>
  <c r="DF363" i="98"/>
  <c r="DE364" i="98"/>
  <c r="DF364" i="98"/>
  <c r="DE365" i="98"/>
  <c r="DF365" i="98"/>
  <c r="DE366" i="98"/>
  <c r="DF366" i="98"/>
  <c r="DE367" i="98"/>
  <c r="DF367" i="98"/>
  <c r="DE368" i="98"/>
  <c r="DF368" i="98"/>
  <c r="DE369" i="98"/>
  <c r="DF369" i="98"/>
  <c r="DE370" i="98"/>
  <c r="DF370" i="98"/>
  <c r="DE371" i="98"/>
  <c r="DF371" i="98"/>
  <c r="DE372" i="98"/>
  <c r="DF372" i="98"/>
  <c r="DE373" i="98"/>
  <c r="DF373" i="98"/>
  <c r="DE374" i="98"/>
  <c r="DF374" i="98"/>
  <c r="DE375" i="98"/>
  <c r="DF375" i="98"/>
  <c r="DE376" i="98"/>
  <c r="DF376" i="98"/>
  <c r="DE377" i="98"/>
  <c r="DF377" i="98"/>
  <c r="DE378" i="98"/>
  <c r="DF378" i="98"/>
  <c r="DE379" i="98"/>
  <c r="DF379" i="98"/>
  <c r="DE380" i="98"/>
  <c r="DF380" i="98"/>
  <c r="DE381" i="98"/>
  <c r="DF381" i="98"/>
  <c r="DE382" i="98"/>
  <c r="DF382" i="98"/>
  <c r="DE383" i="98"/>
  <c r="DF383" i="98"/>
  <c r="DE384" i="98"/>
  <c r="DF20" i="98"/>
  <c r="DF384" i="98"/>
  <c r="DF386" i="98"/>
  <c r="DF16" i="98"/>
  <c r="DA387" i="98"/>
  <c r="AI392" i="98"/>
  <c r="E426" i="98"/>
  <c r="AJ410" i="98"/>
  <c r="E416" i="98"/>
  <c r="AJ400" i="98"/>
  <c r="E415" i="98"/>
  <c r="AJ399" i="98"/>
  <c r="E424" i="98"/>
  <c r="AJ408" i="98"/>
  <c r="E421" i="98"/>
  <c r="AJ405" i="98"/>
  <c r="E422" i="98"/>
  <c r="AJ406" i="98"/>
  <c r="E418" i="98"/>
  <c r="AJ402" i="98"/>
  <c r="E423" i="98"/>
  <c r="AJ407" i="98"/>
  <c r="E417" i="98"/>
  <c r="AJ401" i="98"/>
  <c r="E419" i="98"/>
  <c r="AJ403" i="98"/>
  <c r="E425" i="98"/>
  <c r="AJ409" i="98"/>
  <c r="E420" i="98"/>
  <c r="AJ404" i="98"/>
  <c r="E427" i="98"/>
  <c r="D471" i="98"/>
  <c r="AJ411" i="98"/>
  <c r="F459" i="98"/>
  <c r="F454" i="98"/>
  <c r="F461" i="98"/>
  <c r="F456" i="98"/>
  <c r="F451" i="98"/>
  <c r="F457" i="98"/>
  <c r="F458" i="98"/>
  <c r="F460" i="98"/>
  <c r="F453" i="98"/>
  <c r="F452" i="98"/>
  <c r="F455" i="98"/>
  <c r="F450" i="98"/>
  <c r="F462" i="98"/>
  <c r="D472" i="98"/>
  <c r="D469" i="98"/>
  <c r="D473" i="98"/>
  <c r="D475" i="98"/>
  <c r="D477" i="98"/>
  <c r="M1" i="98"/>
  <c r="BH1" i="98"/>
  <c r="F5" i="51"/>
  <c r="E57" i="72"/>
  <c r="E59" i="72"/>
  <c r="I59" i="72"/>
  <c r="K59" i="72"/>
  <c r="K92" i="72"/>
  <c r="K99" i="72"/>
  <c r="B5" i="82"/>
  <c r="F38" i="83"/>
  <c r="L38" i="83"/>
  <c r="L42" i="83"/>
  <c r="L44" i="83"/>
  <c r="I5" i="51"/>
  <c r="I3" i="51"/>
  <c r="H2" i="51"/>
  <c r="F16" i="51"/>
  <c r="F2" i="51"/>
  <c r="M38" i="83"/>
  <c r="N38" i="83"/>
  <c r="N42" i="83"/>
  <c r="N44" i="83"/>
  <c r="C62" i="83"/>
  <c r="G38" i="83"/>
  <c r="I54" i="83"/>
  <c r="F42" i="83"/>
  <c r="F3" i="51"/>
  <c r="I74" i="83"/>
  <c r="F38" i="64"/>
  <c r="I74" i="64"/>
  <c r="H38" i="83"/>
  <c r="O74" i="83"/>
  <c r="F42" i="64"/>
  <c r="G38" i="64"/>
  <c r="H38" i="64"/>
  <c r="H42" i="64"/>
  <c r="H44" i="64"/>
  <c r="L38" i="64"/>
  <c r="L42" i="64"/>
  <c r="L44" i="64"/>
  <c r="H42" i="83"/>
  <c r="H44" i="83"/>
  <c r="I54" i="64"/>
  <c r="O74" i="64"/>
  <c r="M38" i="64"/>
  <c r="N38" i="64"/>
  <c r="N42" i="64"/>
  <c r="N44" i="64"/>
  <c r="C62" i="64"/>
  <c r="N49" i="83"/>
  <c r="C61" i="83"/>
  <c r="N50" i="83"/>
  <c r="N53" i="83"/>
  <c r="N52" i="83"/>
  <c r="N51" i="83"/>
  <c r="N48" i="83"/>
  <c r="N54" i="83"/>
  <c r="N54" i="64"/>
  <c r="N51" i="64"/>
  <c r="N50" i="64"/>
  <c r="N48" i="64"/>
  <c r="N49" i="64"/>
  <c r="N53" i="64"/>
  <c r="N52" i="64"/>
  <c r="C61" i="64"/>
</calcChain>
</file>

<file path=xl/comments1.xml><?xml version="1.0" encoding="utf-8"?>
<comments xmlns="http://schemas.openxmlformats.org/spreadsheetml/2006/main">
  <authors>
    <author>nickm</author>
    <author>Patrick</author>
  </authors>
  <commentList>
    <comment ref="B12" authorId="0" shapeId="0">
      <text>
        <r>
          <rPr>
            <sz val="9"/>
            <color indexed="81"/>
            <rFont val="Tahoma"/>
            <family val="2"/>
          </rPr>
          <t>Developer, Landlord or Owner seeking certification.</t>
        </r>
      </text>
    </comment>
    <comment ref="B13" authorId="0" shapeId="0">
      <text>
        <r>
          <rPr>
            <sz val="9"/>
            <color indexed="81"/>
            <rFont val="Tahoma"/>
            <family val="2"/>
          </rPr>
          <t>Developer, landlord, owner or nominated representative of.</t>
        </r>
      </text>
    </comment>
    <comment ref="B15" authorId="0" shapeId="0">
      <text>
        <r>
          <rPr>
            <sz val="9"/>
            <color indexed="81"/>
            <rFont val="Tahoma"/>
            <family val="2"/>
          </rPr>
          <t>If the Green Star SA AP has been multiple persons throughout the project, please list in order of time involved in project (i.e. longest to shortest).</t>
        </r>
      </text>
    </comment>
    <comment ref="B32" authorId="0" shapeId="0">
      <text>
        <r>
          <rPr>
            <sz val="9"/>
            <color indexed="81"/>
            <rFont val="Tahoma"/>
            <family val="2"/>
          </rPr>
          <t>The total floor area of all parts of a building that are permanently covered and can be protected from the elements but excluding car parking areas. For the purposes of the Green Star SA submission, Gross Floor Area should be calculated as the building Construction Area (using SAPOA definition 1st Aug 2005) less the area of car parking (GSSA Public Building PILOT: Technical Manual v1). If the building is mixed-use the building type that supports the primary function of the building should be entered.</t>
        </r>
      </text>
    </comment>
    <comment ref="B33" authorId="0" shapeId="0">
      <text>
        <r>
          <rPr>
            <sz val="9"/>
            <color indexed="81"/>
            <rFont val="Tahoma"/>
            <family val="2"/>
          </rPr>
          <t>The total floor area of all parts of a building that are permanently covered and can be protected from the elements but excluding car parking areas. For the purposes of the Green Star SA submission, Gross Floor Area should be calculated as the building Construction Area (using SAPOA definition 1st Aug 2005) less the area of car parking (GSSA Public Building PILOT: Technical Manual v1). If the building is mixed-use the gross floor area must include both the areas that supports the primary function and those that do not support the primary function.</t>
        </r>
      </text>
    </comment>
    <comment ref="C37" authorId="1" shapeId="0">
      <text>
        <r>
          <rPr>
            <sz val="9"/>
            <color indexed="81"/>
            <rFont val="Tahoma"/>
            <family val="2"/>
          </rPr>
          <t>Areas using fans or other electrically operated air movement devices and mechanical heating or cooling to provide ventilation and temperature control to a building.</t>
        </r>
      </text>
    </comment>
    <comment ref="D37" authorId="1" shapeId="0">
      <text>
        <r>
          <rPr>
            <sz val="9"/>
            <color indexed="81"/>
            <rFont val="Tahoma"/>
            <family val="2"/>
          </rPr>
          <t>Areas using fans or other electrically operated air movement devices to provide ventilation to a building without mechanical cooling or heating.</t>
        </r>
      </text>
    </comment>
    <comment ref="E37" authorId="1" shapeId="0">
      <text>
        <r>
          <rPr>
            <sz val="9"/>
            <color indexed="81"/>
            <rFont val="Tahoma"/>
            <family val="2"/>
          </rPr>
          <t>Areas using natural means to provide ventilation to a building without mechanical cooling or heating.</t>
        </r>
      </text>
    </comment>
    <comment ref="B38" authorId="1" shapeId="0">
      <text>
        <r>
          <rPr>
            <sz val="9"/>
            <color indexed="81"/>
            <rFont val="Tahoma"/>
            <family val="2"/>
          </rPr>
          <t>Enclosed office space, commonly of low density.</t>
        </r>
      </text>
    </comment>
    <comment ref="B39" authorId="1" shapeId="0">
      <text>
        <r>
          <rPr>
            <sz val="9"/>
            <color indexed="81"/>
            <rFont val="Tahoma"/>
            <family val="2"/>
          </rPr>
          <t>An area used for changing, containing showers. This activity should be assigned to the shower area and all associated changing areas. For areas which can be used to for changing but which do not contain showers, such as a cloak room/locker room, refer to the common room/staff room/lounge category.</t>
        </r>
      </text>
    </comment>
    <comment ref="B40" authorId="1" shapeId="0">
      <text>
        <r>
          <rPr>
            <sz val="9"/>
            <color indexed="81"/>
            <rFont val="Tahoma"/>
            <family val="2"/>
          </rPr>
          <t>For all circulation areas such as corridors and stairways.</t>
        </r>
      </text>
    </comment>
    <comment ref="B41" authorId="1" shapeId="0">
      <text>
        <r>
          <rPr>
            <sz val="9"/>
            <color indexed="81"/>
            <rFont val="Tahoma"/>
            <family val="2"/>
          </rPr>
          <t xml:space="preserve">An area for meeting in a non work capacity. May contain some hot drink facilities.
</t>
        </r>
      </text>
    </comment>
    <comment ref="B42" authorId="1" shapeId="0">
      <text>
        <r>
          <rPr>
            <sz val="9"/>
            <color indexed="81"/>
            <rFont val="Tahoma"/>
            <family val="2"/>
          </rPr>
          <t>An area specifically designed for eating and drinking. For areas where food and drink may be consumed but where this is not the specific function of the area, use “common/staff room” and for areas with transient occupancy, use “tea kitchen”.</t>
        </r>
      </text>
    </comment>
    <comment ref="B43" authorId="1" shapeId="0">
      <text>
        <r>
          <rPr>
            <sz val="9"/>
            <color indexed="81"/>
            <rFont val="Tahoma"/>
            <family val="2"/>
          </rPr>
          <t>An area where food is prepared.</t>
        </r>
      </text>
    </comment>
    <comment ref="B44" authorId="1" shapeId="0">
      <text>
        <r>
          <rPr>
            <sz val="9"/>
            <color indexed="81"/>
            <rFont val="Tahoma"/>
            <family val="2"/>
          </rPr>
          <t>An area which can accommodate a large number of seated people.</t>
        </r>
      </text>
    </comment>
    <comment ref="B45" authorId="1" shapeId="0">
      <text>
        <r>
          <rPr>
            <sz val="9"/>
            <color indexed="81"/>
            <rFont val="Tahoma"/>
            <family val="2"/>
          </rPr>
          <t xml:space="preserve">High density desk based work space with correspondinly dense IT.
</t>
        </r>
      </text>
    </comment>
    <comment ref="B46" authorId="1" shapeId="0">
      <text>
        <r>
          <rPr>
            <sz val="9"/>
            <color indexed="81"/>
            <rFont val="Tahoma"/>
            <family val="2"/>
          </rPr>
          <t>An area dedicated to IT equipment such as a printers, faxes and copiers with transient occupancy (not 24 hrs).</t>
        </r>
      </text>
    </comment>
    <comment ref="B47" authorId="1" shapeId="0">
      <text>
        <r>
          <rPr>
            <sz val="9"/>
            <color indexed="81"/>
            <rFont val="Tahoma"/>
            <family val="2"/>
          </rPr>
          <t>An area specifically used for people to have meetings, not for everyday desk working. For everyday desk working areas refer to the appropriate office category.</t>
        </r>
      </text>
    </comment>
    <comment ref="B48" authorId="1" shapeId="0">
      <text>
        <r>
          <rPr>
            <sz val="9"/>
            <color indexed="81"/>
            <rFont val="Tahoma"/>
            <family val="2"/>
          </rPr>
          <t>Shared office space commonly of higher density than a cellular office.</t>
        </r>
      </text>
    </comment>
    <comment ref="B49" authorId="1" shapeId="0">
      <text>
        <r>
          <rPr>
            <sz val="9"/>
            <color indexed="81"/>
            <rFont val="Tahoma"/>
            <family val="2"/>
          </rPr>
          <t>Areas containing the main HVAC equipment for the building eg: boilers/air conditioning plant.</t>
        </r>
      </text>
    </comment>
    <comment ref="B50" authorId="1" shapeId="0">
      <text>
        <r>
          <rPr>
            <sz val="9"/>
            <color indexed="81"/>
            <rFont val="Tahoma"/>
            <family val="2"/>
          </rPr>
          <t>All public circulation areas within a Public Building. For non public circulation spaces use "Circulation areas (corridors and stairways) - non public"</t>
        </r>
      </text>
    </comment>
    <comment ref="B51" authorId="1" shapeId="0">
      <text>
        <r>
          <rPr>
            <sz val="9"/>
            <color indexed="81"/>
            <rFont val="Tahoma"/>
            <family val="2"/>
          </rPr>
          <t>The area in a building which is used for entry from the outside or other building storeys.</t>
        </r>
      </text>
    </comment>
    <comment ref="B52" authorId="1" shapeId="0">
      <text>
        <r>
          <rPr>
            <sz val="9"/>
            <color indexed="81"/>
            <rFont val="Tahoma"/>
            <family val="2"/>
          </rPr>
          <t>Areas for un-chilled storage with low transient occupancy.</t>
        </r>
      </text>
    </comment>
    <comment ref="B53" authorId="1" shapeId="0">
      <text>
        <r>
          <rPr>
            <sz val="9"/>
            <color indexed="81"/>
            <rFont val="Tahoma"/>
            <family val="2"/>
          </rPr>
          <t>Areas used for making hot drinks, often containing a refrigerator with transient occupancy. For larger areas containing seating and a small hot drinks making area refer to “Common room/staff room”.</t>
        </r>
      </text>
    </comment>
    <comment ref="B54" authorId="1" shapeId="0">
      <text>
        <r>
          <rPr>
            <sz val="9"/>
            <color indexed="81"/>
            <rFont val="Tahoma"/>
            <family val="2"/>
          </rPr>
          <t>Any toilet areas. If toilets are subsidiary to changing/shower activities refer to "changing facilities"</t>
        </r>
      </text>
    </comment>
    <comment ref="B55" authorId="1" shapeId="0">
      <text>
        <r>
          <rPr>
            <sz val="9"/>
            <color indexed="81"/>
            <rFont val="Tahoma"/>
            <family val="2"/>
          </rPr>
          <t>Any sub-ground parking, structured parking 
or parking beneath building structure. This area is inclusive of loading bays/docks for the purposes of deliveries to the retail tenancies.</t>
        </r>
      </text>
    </comment>
    <comment ref="B56" authorId="1" shapeId="0">
      <text>
        <r>
          <rPr>
            <sz val="9"/>
            <color indexed="81"/>
            <rFont val="Tahoma"/>
            <family val="2"/>
          </rPr>
          <t>This is inclusive of loading bays/docks for the purposes of deliveries to the retail tenancies.</t>
        </r>
      </text>
    </comment>
    <comment ref="B57" authorId="1" shapeId="0">
      <text>
        <r>
          <rPr>
            <sz val="9"/>
            <color indexed="81"/>
            <rFont val="Tahoma"/>
            <family val="2"/>
          </rPr>
          <t>All areas outside the building footprint(s) including all external parking (parking which is not sub-ground, structured parking or beneath building structure).  Includes external accessible roof areas if they are used regularly by any building occupants or building visitors for any reason (other than maintenance).</t>
        </r>
      </text>
    </comment>
    <comment ref="B59" authorId="1" shapeId="0">
      <text>
        <r>
          <rPr>
            <sz val="9"/>
            <color indexed="81"/>
            <rFont val="Tahoma"/>
            <family val="2"/>
          </rPr>
          <t>The area within an airport where baggage is reclaimed from conveyor belts.</t>
        </r>
      </text>
    </comment>
    <comment ref="B60" authorId="1" shapeId="0">
      <text>
        <r>
          <rPr>
            <sz val="9"/>
            <color indexed="81"/>
            <rFont val="Tahoma"/>
            <family val="2"/>
          </rPr>
          <t>A room which accommodates one or more prisoners.</t>
        </r>
      </text>
    </comment>
    <comment ref="B61" authorId="1" shapeId="0">
      <text>
        <r>
          <rPr>
            <sz val="9"/>
            <color indexed="81"/>
            <rFont val="Tahoma"/>
            <family val="2"/>
          </rPr>
          <t>Area within an airport where travellers check in for their flight, containing check in desks and conveyer belt.</t>
        </r>
      </text>
    </comment>
    <comment ref="B62" authorId="1" shapeId="0">
      <text>
        <r>
          <rPr>
            <sz val="9"/>
            <color indexed="81"/>
            <rFont val="Tahoma"/>
            <family val="2"/>
          </rPr>
          <t>All teaching areas other than for science or practical classes, for which refer to "Laboratory" or "Workshop - small scale".</t>
        </r>
      </text>
    </comment>
    <comment ref="B63" authorId="1" shapeId="0">
      <text>
        <r>
          <rPr>
            <sz val="9"/>
            <color indexed="81"/>
            <rFont val="Tahoma"/>
            <family val="2"/>
          </rPr>
          <t>An area used for medical consultation.</t>
        </r>
      </text>
    </comment>
    <comment ref="B64" authorId="1" shapeId="0">
      <text>
        <r>
          <rPr>
            <sz val="9"/>
            <color indexed="81"/>
            <rFont val="Tahoma"/>
            <family val="2"/>
          </rPr>
          <t>An area where display lighting is used to illuminate items.</t>
        </r>
      </text>
    </comment>
    <comment ref="B65" authorId="1" shapeId="0">
      <text>
        <r>
          <rPr>
            <sz val="9"/>
            <color indexed="81"/>
            <rFont val="Tahoma"/>
            <family val="2"/>
          </rPr>
          <t>An area where indoor sports can be played.</t>
        </r>
      </text>
    </comment>
    <comment ref="B66" authorId="1" shapeId="0">
      <text>
        <r>
          <rPr>
            <sz val="9"/>
            <color indexed="81"/>
            <rFont val="Tahoma"/>
            <family val="2"/>
          </rPr>
          <t xml:space="preserve">An area used for excersizing/dance, usually with high person density but with no machines. </t>
        </r>
      </text>
    </comment>
    <comment ref="B67" authorId="1" shapeId="0">
      <text>
        <r>
          <rPr>
            <sz val="9"/>
            <color indexed="81"/>
            <rFont val="Tahoma"/>
            <family val="2"/>
          </rPr>
          <t>An area used for excercise containing machines.</t>
        </r>
      </text>
    </comment>
    <comment ref="B68" authorId="1" shapeId="0">
      <text>
        <r>
          <rPr>
            <sz val="9"/>
            <color indexed="81"/>
            <rFont val="Tahoma"/>
            <family val="2"/>
          </rPr>
          <t>An area which contains an ice rink.</t>
        </r>
      </text>
    </comment>
    <comment ref="B69" authorId="1" shapeId="0">
      <text>
        <r>
          <rPr>
            <sz val="9"/>
            <color indexed="81"/>
            <rFont val="Tahoma"/>
            <family val="2"/>
          </rPr>
          <t>A facility that provides controlled conditions in which scientific research, experiments, and measurement may be performed.</t>
        </r>
      </text>
    </comment>
    <comment ref="B70" authorId="1" shapeId="0">
      <text>
        <r>
          <rPr>
            <sz val="9"/>
            <color indexed="81"/>
            <rFont val="Tahoma"/>
            <family val="2"/>
          </rPr>
          <t>An area used only for washing and/or drying clothes using washing machines and/or tumble dryers. This is not for where there is an individual washing machines within another space (eg a food preperation area).</t>
        </r>
      </text>
    </comment>
    <comment ref="B71" authorId="1" shapeId="0">
      <text>
        <r>
          <rPr>
            <sz val="9"/>
            <color indexed="81"/>
            <rFont val="Tahoma"/>
            <family val="2"/>
          </rPr>
          <t>For stages with dedicated lighting and equipment in addition to that within the remainder of the space. For stages within other activity areas which do not have specific lighting or additional electrical equipment, do not define these as separate spaces.</t>
        </r>
      </text>
    </comment>
    <comment ref="B72" authorId="1" shapeId="0">
      <text>
        <r>
          <rPr>
            <sz val="9"/>
            <color indexed="81"/>
            <rFont val="Tahoma"/>
            <family val="2"/>
          </rPr>
          <t>A sales area designed to accommodate a considerable quantity of fridges/freezers such as a supermarket or food hall.</t>
        </r>
      </text>
    </comment>
    <comment ref="B73" authorId="1" shapeId="0">
      <text>
        <r>
          <rPr>
            <sz val="9"/>
            <color indexed="81"/>
            <rFont val="Tahoma"/>
            <family val="2"/>
          </rPr>
          <t>All Sales areas which do not have a large concentration of fridges/freezers or electrical appliances.</t>
        </r>
      </text>
    </comment>
    <comment ref="B74" authorId="1" shapeId="0">
      <text>
        <r>
          <rPr>
            <sz val="9"/>
            <color indexed="81"/>
            <rFont val="Tahoma"/>
            <family val="2"/>
          </rPr>
          <t>For the security areas of an airport containing equipment such as X-ray machines.</t>
        </r>
      </text>
    </comment>
    <comment ref="B75" authorId="1" shapeId="0">
      <text>
        <r>
          <rPr>
            <sz val="9"/>
            <color indexed="81"/>
            <rFont val="Tahoma"/>
            <family val="2"/>
          </rPr>
          <t>A storage area containing items which need to be chilled. The area itself can be conditioned.</t>
        </r>
      </text>
    </comment>
    <comment ref="B76" authorId="1" shapeId="0">
      <text>
        <r>
          <rPr>
            <sz val="9"/>
            <color indexed="81"/>
            <rFont val="Tahoma"/>
            <family val="2"/>
          </rPr>
          <t>A storage area kept at below 0degC. Cooling load is assumed to be a process load and therefore not included in the calculation.</t>
        </r>
      </text>
    </comment>
    <comment ref="B77" authorId="1" shapeId="0">
      <text>
        <r>
          <rPr>
            <sz val="9"/>
            <color indexed="81"/>
            <rFont val="Tahoma"/>
            <family val="2"/>
          </rPr>
          <t>The area in which a swimming pool is contained. This area should be the whole pool hall.</t>
        </r>
      </text>
    </comment>
    <comment ref="B78" authorId="1" shapeId="0">
      <text>
        <r>
          <rPr>
            <sz val="9"/>
            <color indexed="81"/>
            <rFont val="Tahoma"/>
            <family val="2"/>
          </rPr>
          <t>An area for sedentary-light practical work. Often containing some machinery.</t>
        </r>
      </text>
    </comment>
    <comment ref="B80" authorId="0" shapeId="0">
      <text>
        <r>
          <rPr>
            <sz val="9"/>
            <color indexed="81"/>
            <rFont val="Tahoma"/>
            <family val="2"/>
          </rPr>
          <t>This is calculated automatically. No user input required beyond (i) and (ii).</t>
        </r>
      </text>
    </comment>
    <comment ref="B147" authorId="0" shapeId="0">
      <text>
        <r>
          <rPr>
            <sz val="9"/>
            <color indexed="81"/>
            <rFont val="Tahoma"/>
            <family val="2"/>
          </rPr>
          <t>Any sub-ground parking, structured parking 
or parking beneath building structure. This area is inclusive of loading bays/docks for the purposes of deliveries to the retail tenancies.</t>
        </r>
      </text>
    </comment>
    <comment ref="B148" authorId="0" shapeId="0">
      <text>
        <r>
          <rPr>
            <sz val="9"/>
            <color indexed="81"/>
            <rFont val="Tahoma"/>
            <family val="2"/>
          </rPr>
          <t>This is inclusive of loading bays/docks for the purposes of deliveries to the retail tenancies.</t>
        </r>
      </text>
    </comment>
    <comment ref="B149" authorId="0" shapeId="0">
      <text>
        <r>
          <rPr>
            <sz val="9"/>
            <color indexed="81"/>
            <rFont val="Tahoma"/>
            <family val="2"/>
          </rPr>
          <t>All areas outside the building footprint(s) including all external parking (parking which is not sub-ground, structured parking or beneath building structure).  Includes external accessible roof areas if they are used regularly by any building occupants or building visitors for any reason (other than maintenance).</t>
        </r>
      </text>
    </comment>
    <comment ref="B152" authorId="1" shapeId="0">
      <text>
        <r>
          <rPr>
            <b/>
            <sz val="9"/>
            <color indexed="81"/>
            <rFont val="Tahoma"/>
            <family val="2"/>
          </rPr>
          <t>Patrick:</t>
        </r>
        <r>
          <rPr>
            <sz val="9"/>
            <color indexed="81"/>
            <rFont val="Tahoma"/>
            <family val="2"/>
          </rPr>
          <t xml:space="preserve">
test</t>
        </r>
      </text>
    </comment>
  </commentList>
</comments>
</file>

<file path=xl/comments10.xml><?xml version="1.0" encoding="utf-8"?>
<comments xmlns="http://schemas.openxmlformats.org/spreadsheetml/2006/main">
  <authors>
    <author>nickm</author>
  </authors>
  <commentList>
    <comment ref="H4" authorId="0" shapeId="0">
      <text>
        <r>
          <rPr>
            <sz val="9"/>
            <color indexed="81"/>
            <rFont val="Tahoma"/>
            <family val="2"/>
          </rPr>
          <t>Comments are for internal design team purposes only. Do NOT include ANY comments within the workbook submitted as part of the submission for a certified rating (Round 1 or Round 2).</t>
        </r>
      </text>
    </comment>
  </commentList>
</comments>
</file>

<file path=xl/comments11.xml><?xml version="1.0" encoding="utf-8"?>
<comments xmlns="http://schemas.openxmlformats.org/spreadsheetml/2006/main">
  <authors>
    <author xml:space="preserve"> </author>
    <author>dhclark</author>
  </authors>
  <commentList>
    <comment ref="L7" authorId="0" shapeId="0">
      <text>
        <r>
          <rPr>
            <b/>
            <sz val="8"/>
            <color indexed="81"/>
            <rFont val="Tahoma"/>
            <family val="2"/>
          </rPr>
          <t>From building input sheet</t>
        </r>
      </text>
    </comment>
    <comment ref="B14" authorId="1" shapeId="0">
      <text>
        <r>
          <rPr>
            <sz val="8"/>
            <color indexed="81"/>
            <rFont val="Tahoma"/>
            <family val="2"/>
          </rPr>
          <t xml:space="preserve">This changes the ecological value of indigenous land types (marked *).
</t>
        </r>
      </text>
    </comment>
    <comment ref="E23" authorId="1" shapeId="0">
      <text>
        <r>
          <rPr>
            <b/>
            <sz val="8"/>
            <color indexed="81"/>
            <rFont val="Tahoma"/>
            <family val="2"/>
          </rPr>
          <t>These values are shown in manual</t>
        </r>
        <r>
          <rPr>
            <sz val="8"/>
            <color indexed="81"/>
            <rFont val="Tahoma"/>
            <family val="2"/>
          </rPr>
          <t xml:space="preserve">
</t>
        </r>
      </text>
    </comment>
  </commentList>
</comments>
</file>

<file path=xl/comments12.xml><?xml version="1.0" encoding="utf-8"?>
<comments xmlns="http://schemas.openxmlformats.org/spreadsheetml/2006/main">
  <authors>
    <author>nickm</author>
  </authors>
  <commentList>
    <comment ref="H4" authorId="0" shapeId="0">
      <text>
        <r>
          <rPr>
            <sz val="9"/>
            <color indexed="81"/>
            <rFont val="Tahoma"/>
            <family val="2"/>
          </rPr>
          <t>Comments are for internal design team purposes only. Do NOT include ANY comments within the workbook submitted as part of the submission for a certified rating (Round 1 or Round 2).</t>
        </r>
      </text>
    </comment>
  </commentList>
</comments>
</file>

<file path=xl/comments13.xml><?xml version="1.0" encoding="utf-8"?>
<comments xmlns="http://schemas.openxmlformats.org/spreadsheetml/2006/main">
  <authors>
    <author xml:space="preserve"> </author>
  </authors>
  <commentList>
    <comment ref="L11" authorId="0" shapeId="0">
      <text>
        <r>
          <rPr>
            <b/>
            <sz val="8"/>
            <color indexed="81"/>
            <rFont val="Tahoma"/>
            <family val="2"/>
          </rPr>
          <t>From building input sheet</t>
        </r>
      </text>
    </comment>
  </commentList>
</comments>
</file>

<file path=xl/comments14.xml><?xml version="1.0" encoding="utf-8"?>
<comments xmlns="http://schemas.openxmlformats.org/spreadsheetml/2006/main">
  <authors>
    <author>nickm</author>
  </authors>
  <commentList>
    <comment ref="H4" authorId="0" shapeId="0">
      <text>
        <r>
          <rPr>
            <sz val="9"/>
            <color indexed="81"/>
            <rFont val="Tahoma"/>
            <family val="2"/>
          </rPr>
          <t>Comments are for internal design team purposes only. Do NOT include ANY comments within the workbook submitted as part of the submission for a certified rating (Round 1 or Round 2).</t>
        </r>
      </text>
    </comment>
  </commentList>
</comments>
</file>

<file path=xl/comments15.xml><?xml version="1.0" encoding="utf-8"?>
<comments xmlns="http://schemas.openxmlformats.org/spreadsheetml/2006/main">
  <authors>
    <author>nickm</author>
  </authors>
  <commentList>
    <comment ref="D2" authorId="0" shapeId="0">
      <text>
        <r>
          <rPr>
            <sz val="9"/>
            <color indexed="81"/>
            <rFont val="Tahoma"/>
            <family val="2"/>
          </rPr>
          <t xml:space="preserve">Comments are for internal design team purposes only. Do NOT include ANY comments within the workbook submitted as part of the submission for a certified rating (Round 1 or Round 2).
</t>
        </r>
      </text>
    </comment>
  </commentList>
</comments>
</file>

<file path=xl/comments2.xml><?xml version="1.0" encoding="utf-8"?>
<comments xmlns="http://schemas.openxmlformats.org/spreadsheetml/2006/main">
  <authors>
    <author>nickm</author>
  </authors>
  <commentList>
    <comment ref="H4" authorId="0" shapeId="0">
      <text>
        <r>
          <rPr>
            <sz val="9"/>
            <color indexed="81"/>
            <rFont val="Tahoma"/>
            <family val="2"/>
          </rPr>
          <t>Comments are for internal design team purposes only. Do NOT include ANY comments within the workbook submitted as part of the submission for a certified rating (Round 1 or Round 2).</t>
        </r>
      </text>
    </comment>
  </commentList>
</comments>
</file>

<file path=xl/comments3.xml><?xml version="1.0" encoding="utf-8"?>
<comments xmlns="http://schemas.openxmlformats.org/spreadsheetml/2006/main">
  <authors>
    <author>nickm</author>
  </authors>
  <commentList>
    <comment ref="H4" authorId="0" shapeId="0">
      <text>
        <r>
          <rPr>
            <sz val="9"/>
            <color indexed="81"/>
            <rFont val="Tahoma"/>
            <family val="2"/>
          </rPr>
          <t>Comments are for internal design team purposes only. Do NOT include ANY comments within the workbook submitted as part of the submission for a certified rating (Round 1 or Round 2).</t>
        </r>
      </text>
    </comment>
  </commentList>
</comments>
</file>

<file path=xl/comments4.xml><?xml version="1.0" encoding="utf-8"?>
<comments xmlns="http://schemas.openxmlformats.org/spreadsheetml/2006/main">
  <authors>
    <author>nickm</author>
  </authors>
  <commentList>
    <comment ref="H4" authorId="0" shapeId="0">
      <text>
        <r>
          <rPr>
            <sz val="9"/>
            <color indexed="81"/>
            <rFont val="Tahoma"/>
            <family val="2"/>
          </rPr>
          <t>Comments are for internal design team purposes only. Do NOT include ANY comments within the workbook submitted as part of the submission for a certified rating (Round 1 or Round 2).</t>
        </r>
      </text>
    </comment>
  </commentList>
</comments>
</file>

<file path=xl/comments5.xml><?xml version="1.0" encoding="utf-8"?>
<comments xmlns="http://schemas.openxmlformats.org/spreadsheetml/2006/main">
  <authors>
    <author>Jacob Knight</author>
    <author>stenford Mutaringe</author>
  </authors>
  <commentList>
    <comment ref="F33" authorId="0" shapeId="0">
      <text>
        <r>
          <rPr>
            <sz val="9"/>
            <color indexed="81"/>
            <rFont val="Tahoma"/>
            <family val="2"/>
          </rPr>
          <t>Do not include heat from renewable sources (e.g. solar water heating) or "waste" heat from on site generation covered below.</t>
        </r>
        <r>
          <rPr>
            <sz val="8"/>
            <color indexed="81"/>
            <rFont val="Tahoma"/>
            <family val="2"/>
          </rPr>
          <t xml:space="preserve">
</t>
        </r>
      </text>
    </comment>
    <comment ref="G33" authorId="0" shapeId="0">
      <text>
        <r>
          <rPr>
            <sz val="9"/>
            <color indexed="81"/>
            <rFont val="Tahoma"/>
            <family val="2"/>
          </rPr>
          <t>Do not include heat from renewable sources (e.g. solar water heating) or "waste" heat from on site generation covered below.</t>
        </r>
        <r>
          <rPr>
            <sz val="8"/>
            <color indexed="81"/>
            <rFont val="Tahoma"/>
            <family val="2"/>
          </rPr>
          <t xml:space="preserve">
</t>
        </r>
      </text>
    </comment>
    <comment ref="G34" authorId="0" shapeId="0">
      <text>
        <r>
          <rPr>
            <sz val="9"/>
            <color indexed="81"/>
            <rFont val="Tahoma"/>
            <family val="2"/>
          </rPr>
          <t>Use for absorption chillers etc</t>
        </r>
      </text>
    </comment>
    <comment ref="E40" authorId="1" shapeId="0">
      <text>
        <r>
          <rPr>
            <sz val="9"/>
            <color indexed="81"/>
            <rFont val="Tahoma"/>
            <family val="2"/>
          </rPr>
          <t>Refer to protocol for calculation of lift  energy use.</t>
        </r>
      </text>
    </comment>
    <comment ref="F40" authorId="1" shapeId="0">
      <text>
        <r>
          <rPr>
            <sz val="9"/>
            <color indexed="81"/>
            <rFont val="Tahoma"/>
            <family val="2"/>
          </rPr>
          <t>Refer to protocol for calculation of lift  energy use.</t>
        </r>
      </text>
    </comment>
    <comment ref="F41" authorId="1" shapeId="0">
      <text>
        <r>
          <rPr>
            <sz val="9"/>
            <color indexed="81"/>
            <rFont val="Tahoma"/>
            <family val="2"/>
          </rPr>
          <t>Refer to protocol for calculation of domestic hot water  energy use.</t>
        </r>
      </text>
    </comment>
    <comment ref="G41" authorId="1" shapeId="0">
      <text>
        <r>
          <rPr>
            <sz val="9"/>
            <color indexed="81"/>
            <rFont val="Tahoma"/>
            <family val="2"/>
          </rPr>
          <t>Refer to protocol for calculation of domestic hot water  energy use.</t>
        </r>
      </text>
    </comment>
    <comment ref="F51" authorId="0" shapeId="0">
      <text>
        <r>
          <rPr>
            <sz val="9"/>
            <color indexed="81"/>
            <rFont val="Tahoma"/>
            <family val="2"/>
          </rPr>
          <t>Enter "0" if only heat is being generated.</t>
        </r>
      </text>
    </comment>
  </commentList>
</comments>
</file>

<file path=xl/comments6.xml><?xml version="1.0" encoding="utf-8"?>
<comments xmlns="http://schemas.openxmlformats.org/spreadsheetml/2006/main">
  <authors>
    <author>nickm</author>
  </authors>
  <commentList>
    <comment ref="H4" authorId="0" shapeId="0">
      <text>
        <r>
          <rPr>
            <sz val="9"/>
            <color indexed="81"/>
            <rFont val="Tahoma"/>
            <family val="2"/>
          </rPr>
          <t>Comments are for internal design team purposes only. Do NOT include ANY comments within the workbook submitted as part of the submission for a certified rating (Round 1 or Round 2).</t>
        </r>
      </text>
    </comment>
  </commentList>
</comments>
</file>

<file path=xl/comments7.xml><?xml version="1.0" encoding="utf-8"?>
<comments xmlns="http://schemas.openxmlformats.org/spreadsheetml/2006/main">
  <authors>
    <author>nickm</author>
  </authors>
  <commentList>
    <comment ref="H4" authorId="0" shapeId="0">
      <text>
        <r>
          <rPr>
            <sz val="9"/>
            <color indexed="81"/>
            <rFont val="Tahoma"/>
            <family val="2"/>
          </rPr>
          <t>Comments are for internal design team purposes only. Do NOT include ANY comments within the workbook submitted as part of the submission for a certified rating (Round 1 or Round 2).</t>
        </r>
      </text>
    </comment>
  </commentList>
</comments>
</file>

<file path=xl/comments8.xml><?xml version="1.0" encoding="utf-8"?>
<comments xmlns="http://schemas.openxmlformats.org/spreadsheetml/2006/main">
  <authors>
    <author>Etienne</author>
  </authors>
  <commentList>
    <comment ref="P225" authorId="0" shapeId="0">
      <text>
        <r>
          <rPr>
            <b/>
            <sz val="8"/>
            <color indexed="81"/>
            <rFont val="Tahoma"/>
            <family val="2"/>
          </rPr>
          <t>Etienne:</t>
        </r>
        <r>
          <rPr>
            <sz val="8"/>
            <color indexed="81"/>
            <rFont val="Tahoma"/>
            <family val="2"/>
          </rPr>
          <t xml:space="preserve">
Unique formulae, don't drag down</t>
        </r>
      </text>
    </comment>
  </commentList>
</comments>
</file>

<file path=xl/comments9.xml><?xml version="1.0" encoding="utf-8"?>
<comments xmlns="http://schemas.openxmlformats.org/spreadsheetml/2006/main">
  <authors>
    <author>nickm</author>
  </authors>
  <commentList>
    <comment ref="H4" authorId="0" shapeId="0">
      <text>
        <r>
          <rPr>
            <sz val="9"/>
            <color indexed="81"/>
            <rFont val="Tahoma"/>
            <family val="2"/>
          </rPr>
          <t>Comments are for internal design team purposes only. Do NOT include ANY comments within the workbook submitted as part of the submission for a certified rating (Round 1 or Round 2).</t>
        </r>
      </text>
    </comment>
  </commentList>
</comments>
</file>

<file path=xl/sharedStrings.xml><?xml version="1.0" encoding="utf-8"?>
<sst xmlns="http://schemas.openxmlformats.org/spreadsheetml/2006/main" count="5225" uniqueCount="2340">
  <si>
    <t>Number modelling points achieved without checks</t>
  </si>
  <si>
    <t>Green Lease</t>
  </si>
  <si>
    <t xml:space="preserve">Swartberg Shale Fynbos </t>
  </si>
  <si>
    <t xml:space="preserve">Fynbos Northwest Centre </t>
  </si>
  <si>
    <t xml:space="preserve">Altimontane Sandstone Fynbos </t>
  </si>
  <si>
    <t xml:space="preserve">Bokkeveld Sandstone Fynbos </t>
  </si>
  <si>
    <t xml:space="preserve">Cederberg Sandstone Fynbos </t>
  </si>
  <si>
    <t xml:space="preserve">Ceres Alluvium Fynbos </t>
  </si>
  <si>
    <t xml:space="preserve">Graafwater Sandstone Fynbos </t>
  </si>
  <si>
    <t xml:space="preserve">Klawer Sandy Shrubland </t>
  </si>
  <si>
    <t xml:space="preserve">Suurberg Quartzite Fynbos </t>
  </si>
  <si>
    <t xml:space="preserve">Suurberg Shale Fynbos </t>
  </si>
  <si>
    <t>Mat - 6</t>
  </si>
  <si>
    <t>Mat - 8</t>
  </si>
  <si>
    <t>Mat - 9</t>
  </si>
  <si>
    <t>Mat - 10</t>
  </si>
  <si>
    <t>PVC Minimisation</t>
  </si>
  <si>
    <t>Emi - 5</t>
  </si>
  <si>
    <t>Emi - 6</t>
  </si>
  <si>
    <t>Emi - 7</t>
  </si>
  <si>
    <t>Heating (nominated area)</t>
  </si>
  <si>
    <t>Cooling &amp; Heat Rejection (nominated area)</t>
  </si>
  <si>
    <t>Pumps (nominated area)</t>
  </si>
  <si>
    <t>Fans (nominated area)</t>
  </si>
  <si>
    <t>Extract and Miscellaneous Fans (nominated area)</t>
  </si>
  <si>
    <t>Weighted Score 
tbc</t>
  </si>
  <si>
    <t>Achieved + tbc credits</t>
  </si>
  <si>
    <t>% of achieved + tbc</t>
  </si>
  <si>
    <t>Potential weighted score</t>
  </si>
  <si>
    <t>Error check</t>
  </si>
  <si>
    <t>State list</t>
  </si>
  <si>
    <t>Land use &amp; Ecology</t>
  </si>
  <si>
    <t>Total</t>
  </si>
  <si>
    <t xml:space="preserve">State selected = </t>
  </si>
  <si>
    <t>Overall Score</t>
  </si>
  <si>
    <t>Scores required for GBRT Ratings</t>
  </si>
  <si>
    <t>Type of assessment</t>
  </si>
  <si>
    <t>No Rating</t>
  </si>
  <si>
    <t>Category Score Data</t>
  </si>
  <si>
    <t>New Building</t>
  </si>
  <si>
    <t>One Star</t>
  </si>
  <si>
    <t>Refurbished Building</t>
  </si>
  <si>
    <t>Two Star</t>
  </si>
  <si>
    <t>Green Star SA - Office v1</t>
  </si>
  <si>
    <t>Green Star SA - Office Design v1</t>
  </si>
  <si>
    <t>Green Star SA - Office As Built v1</t>
  </si>
  <si>
    <t>Waste and Recycling Management Plan</t>
  </si>
  <si>
    <t>Man-9</t>
  </si>
  <si>
    <t>Building Management Systems</t>
  </si>
  <si>
    <t xml:space="preserve">To encourage and recognise the incorporation of Building Management Systems to actively control and maximise the effectiveness of building services.
</t>
  </si>
  <si>
    <t>To encourage and recognise the use of boilers and generators that minimise harmful emissions.</t>
  </si>
  <si>
    <t xml:space="preserve">Subtropical Freshwater Wetlands </t>
  </si>
  <si>
    <t xml:space="preserve">Inland Saline Vegetation </t>
  </si>
  <si>
    <t xml:space="preserve">Bushmanland Vloere </t>
  </si>
  <si>
    <t xml:space="preserve">Cape Inland Salt Pans </t>
  </si>
  <si>
    <t xml:space="preserve">Highveld Salt Pans </t>
  </si>
  <si>
    <t xml:space="preserve">Namaqualand Riviere </t>
  </si>
  <si>
    <t xml:space="preserve">Namaqualand Salt Pans </t>
  </si>
  <si>
    <t xml:space="preserve">Southern Kalahari Mekgacha </t>
  </si>
  <si>
    <t xml:space="preserve">Southern Kalahari Salt Pans </t>
  </si>
  <si>
    <t xml:space="preserve">Southern Karoo Riviere </t>
  </si>
  <si>
    <t xml:space="preserve">Subtropical Salt Pans </t>
  </si>
  <si>
    <t xml:space="preserve">Macroalgal Sea Beds </t>
  </si>
  <si>
    <t xml:space="preserve">Cape Kelp Sea Beds </t>
  </si>
  <si>
    <t xml:space="preserve">Namaqualand Inland Duneveld </t>
  </si>
  <si>
    <t xml:space="preserve">Namaqualand Seashore Vegetation </t>
  </si>
  <si>
    <t xml:space="preserve">Namaqualand Spinescent Grassland </t>
  </si>
  <si>
    <t xml:space="preserve">Namaqualand Strandveld </t>
  </si>
  <si>
    <t xml:space="preserve">Namib Seashore Vegetation </t>
  </si>
  <si>
    <t>Credit Criteria</t>
  </si>
  <si>
    <t>Eco - 1</t>
  </si>
  <si>
    <t>Eco - 2</t>
  </si>
  <si>
    <t>Eco - 3</t>
  </si>
  <si>
    <t>Eco - 4</t>
  </si>
  <si>
    <t>Topsoil</t>
  </si>
  <si>
    <t>Reuse of Land</t>
  </si>
  <si>
    <t>IEQ-1</t>
  </si>
  <si>
    <t>IEQ-3</t>
  </si>
  <si>
    <t>IEQ-4</t>
  </si>
  <si>
    <t>IEQ-5</t>
  </si>
  <si>
    <t>IEQ-6</t>
  </si>
  <si>
    <t>IEQ-7</t>
  </si>
  <si>
    <t>IEQ-8</t>
  </si>
  <si>
    <t>IEQ-9</t>
  </si>
  <si>
    <t>IEQ-11</t>
  </si>
  <si>
    <t>IEQ-12</t>
  </si>
  <si>
    <t>IEQ-13</t>
  </si>
  <si>
    <t>IEQ-14</t>
  </si>
  <si>
    <t>IEQ-15</t>
  </si>
  <si>
    <t xml:space="preserve">Ene- </t>
  </si>
  <si>
    <t>Ene-1</t>
  </si>
  <si>
    <t>Ene-2</t>
  </si>
  <si>
    <t>Ene-4</t>
  </si>
  <si>
    <t>Ene-5</t>
  </si>
  <si>
    <t>Ene-6</t>
  </si>
  <si>
    <t>Fynbos Karoo Mountain Centre</t>
  </si>
  <si>
    <t xml:space="preserve">Albany Alluvial Vegetation </t>
  </si>
  <si>
    <t>Fynbos Northwest Centre</t>
  </si>
  <si>
    <t>Fynbos South Coast Centre</t>
  </si>
  <si>
    <t xml:space="preserve">Albany Dune Strandveld </t>
  </si>
  <si>
    <t xml:space="preserve">well protected </t>
  </si>
  <si>
    <t>Fynbos Southeast Centre</t>
  </si>
  <si>
    <t xml:space="preserve">Algoa Dune Strandveld </t>
  </si>
  <si>
    <t>Fynbos Southwest Centre</t>
  </si>
  <si>
    <t xml:space="preserve">Swartruggens Sandstone Karoo </t>
  </si>
  <si>
    <t>Transport Calculator</t>
  </si>
  <si>
    <t>To encourage and recognise development on land that has limited ecological value and to discourage development on ecologically valuable sites.</t>
  </si>
  <si>
    <t>Does the site contain any rare, threatened or vulnerable flora or fauna?</t>
  </si>
  <si>
    <t>Rehabilitation/Creation of Wetland/Riparian</t>
  </si>
  <si>
    <t>Exotic Plantation Forest</t>
  </si>
  <si>
    <t>Indigenous Plantation Forest</t>
  </si>
  <si>
    <t>Critically Endangered</t>
  </si>
  <si>
    <t>Endangered</t>
  </si>
  <si>
    <t>Least Threatened</t>
  </si>
  <si>
    <t>Vulnerable</t>
  </si>
  <si>
    <t>Uncontracted</t>
  </si>
  <si>
    <r>
      <t xml:space="preserve">70 </t>
    </r>
    <r>
      <rPr>
        <sz val="10"/>
        <color indexed="9"/>
        <rFont val="Arial"/>
        <family val="2"/>
      </rPr>
      <t>≤</t>
    </r>
    <r>
      <rPr>
        <sz val="8"/>
        <color indexed="9"/>
        <rFont val="Verdana"/>
        <family val="2"/>
      </rPr>
      <t xml:space="preserve"> R &lt; 75</t>
    </r>
  </si>
  <si>
    <r>
      <t xml:space="preserve">75 </t>
    </r>
    <r>
      <rPr>
        <sz val="10"/>
        <color indexed="9"/>
        <rFont val="Arial"/>
        <family val="2"/>
      </rPr>
      <t>≤</t>
    </r>
    <r>
      <rPr>
        <sz val="8"/>
        <color indexed="9"/>
        <rFont val="Verdana"/>
        <family val="2"/>
      </rPr>
      <t xml:space="preserve"> R &lt; 80</t>
    </r>
  </si>
  <si>
    <t>To encourage and recognise designs that produce a net reduction in the total amount of material used.</t>
  </si>
  <si>
    <t>Points achieved</t>
  </si>
  <si>
    <t>ENERGY USE</t>
  </si>
  <si>
    <t>Actual Building</t>
  </si>
  <si>
    <t>Summary for:</t>
  </si>
  <si>
    <t>Fuel-Efficient Transport</t>
  </si>
  <si>
    <t>Albany Thicket Alluvial Vegetation</t>
  </si>
  <si>
    <t xml:space="preserve">Western Lesotho Basalt Shrubland </t>
  </si>
  <si>
    <t xml:space="preserve">Winburg Grassy Shrubland </t>
  </si>
  <si>
    <t xml:space="preserve">Bedford Dry Grassland </t>
  </si>
  <si>
    <t xml:space="preserve">Northern Knersvlakte Vygieveld </t>
  </si>
  <si>
    <t xml:space="preserve">Northern Richtersveld Scorpionstailveld </t>
  </si>
  <si>
    <t xml:space="preserve">Richtersveld Western Foothill Shrubland </t>
  </si>
  <si>
    <t xml:space="preserve">Riethuis Quartz Vygieveld </t>
  </si>
  <si>
    <t xml:space="preserve">Southeastern Richtersveld Succulent Shrubland </t>
  </si>
  <si>
    <t xml:space="preserve">Southern Richtersveld Scorpionstailveld </t>
  </si>
  <si>
    <t>Category Weighting:</t>
  </si>
  <si>
    <t xml:space="preserve">Category Summary:  </t>
  </si>
  <si>
    <t>Category Weighted Score</t>
  </si>
  <si>
    <t>To encourage and recognise building systems design that eliminates the risk of Legionnaires’ disease (Legionellosis).</t>
  </si>
  <si>
    <t xml:space="preserve">Umdaus Mountains Succulent Shrubland </t>
  </si>
  <si>
    <t xml:space="preserve">Upper Annisvlakte Succulent Shrubland </t>
  </si>
  <si>
    <t xml:space="preserve">Van der Sterberg Summit Shrubland </t>
  </si>
  <si>
    <t xml:space="preserve">Arid Estuarine Salt Marshes </t>
  </si>
  <si>
    <t xml:space="preserve">Cape Estuarine Salt Marshes </t>
  </si>
  <si>
    <t xml:space="preserve">Subtropical Estuarine Salt Marshes </t>
  </si>
  <si>
    <t xml:space="preserve">Freshwater Wetlands </t>
  </si>
  <si>
    <t xml:space="preserve">Cape Lowland Freshwater Wetlands </t>
  </si>
  <si>
    <t xml:space="preserve">Cape Vernal Pools </t>
  </si>
  <si>
    <t xml:space="preserve">Drakensberg Wetlands </t>
  </si>
  <si>
    <t xml:space="preserve">Tsakane Clay Grassland </t>
  </si>
  <si>
    <t xml:space="preserve">Vaal Reefs Dolomite Sinkhole Woodland </t>
  </si>
  <si>
    <t xml:space="preserve">Vaal-Vet Sandy Grassland </t>
  </si>
  <si>
    <t xml:space="preserve">Vredefort Dome Granite Grassland </t>
  </si>
  <si>
    <t xml:space="preserve">Hantam Karoo </t>
  </si>
  <si>
    <t xml:space="preserve">Central Knersvlakte Vygieveld </t>
  </si>
  <si>
    <t xml:space="preserve">Citrusdal Vygieveld </t>
  </si>
  <si>
    <t xml:space="preserve">Knersvlakte Dolomite Vygieveld </t>
  </si>
  <si>
    <t xml:space="preserve">1.If the user wishes to use daylight harvesting to prove energy reductions, this can only be obtained from energy model results incorporating such a system, </t>
  </si>
  <si>
    <t>4. Where results are modelled, 'Modelled' must be selected from the drop down menu, and the results must be entered into the 'modelled numbers' column.</t>
  </si>
  <si>
    <t>6. Results will automatically be exported into the Energy Calculator.</t>
  </si>
  <si>
    <t>Renosterveld Mountain Centre</t>
  </si>
  <si>
    <t xml:space="preserve">Springbokvlakte Plain Desert </t>
  </si>
  <si>
    <t>Renosterveld South Coast Centre</t>
  </si>
  <si>
    <t xml:space="preserve">Tatasberg Mountain Desert </t>
  </si>
  <si>
    <t>Renosterveld West Coast Centre</t>
  </si>
  <si>
    <t>Western Gariep</t>
  </si>
  <si>
    <t>Savanna Alluvial Vegetation</t>
  </si>
  <si>
    <t xml:space="preserve">Alexander Bay Coastal Duneveld </t>
  </si>
  <si>
    <t>South Strandveld</t>
  </si>
  <si>
    <t xml:space="preserve">West Gariep Hills Desert </t>
  </si>
  <si>
    <t>Southern Karoo</t>
  </si>
  <si>
    <t xml:space="preserve">West Gariep Lowlands Desert </t>
  </si>
  <si>
    <t>Sub Escarpment Grassland</t>
  </si>
  <si>
    <t xml:space="preserve">West Gariep Plains Desert </t>
  </si>
  <si>
    <t>Sub Escarpment Savanna</t>
  </si>
  <si>
    <t>Trans Escarpment Succulent Karoo</t>
  </si>
  <si>
    <t xml:space="preserve">Ironwood Dry Forest </t>
  </si>
  <si>
    <t xml:space="preserve">CE </t>
  </si>
  <si>
    <t xml:space="preserve">Sekhukhune Plains Bushveld </t>
  </si>
  <si>
    <t xml:space="preserve">Springbokvlakte Thornveld </t>
  </si>
  <si>
    <t xml:space="preserve">Western Sandy Bushveld </t>
  </si>
  <si>
    <t xml:space="preserve">Zeerust Thornveld </t>
  </si>
  <si>
    <t xml:space="preserve">Kalahari Dry Savanna </t>
  </si>
  <si>
    <t xml:space="preserve">Aoub Duneveld </t>
  </si>
  <si>
    <t xml:space="preserve">Ghaap Plateau Vaalbosveld </t>
  </si>
  <si>
    <t xml:space="preserve">Gordonia Duneveld </t>
  </si>
  <si>
    <t xml:space="preserve">Gordonia Kameeldoring Bushveld </t>
  </si>
  <si>
    <t xml:space="preserve">Gordonia Plains Shrubveld </t>
  </si>
  <si>
    <t xml:space="preserve">Kathu Bushveld </t>
  </si>
  <si>
    <t xml:space="preserve">Kimberley Thornveld </t>
  </si>
  <si>
    <t xml:space="preserve">Vanrhynsdorp Gannabosveld </t>
  </si>
  <si>
    <t xml:space="preserve">Western Mountain Shrubland </t>
  </si>
  <si>
    <t xml:space="preserve">Namaqualand Shale Shrubland </t>
  </si>
  <si>
    <t xml:space="preserve">Western Upland Karoo </t>
  </si>
  <si>
    <t xml:space="preserve">Anenous Plateau Shrubland </t>
  </si>
  <si>
    <t xml:space="preserve">Aughrabies Mountains Succulent Shrubland </t>
  </si>
  <si>
    <t xml:space="preserve">Central Richtersveld Montane Shrubland </t>
  </si>
  <si>
    <t xml:space="preserve">Die Plate Succulent Shrubland </t>
  </si>
  <si>
    <t xml:space="preserve">Eenriet Plains Succulent Shrubland </t>
  </si>
  <si>
    <t xml:space="preserve">Goariep Mountain Succulent Shrubland </t>
  </si>
  <si>
    <t xml:space="preserve">Kamiesberg Mountains Shrubland </t>
  </si>
  <si>
    <t>Highveld Alluvial Vegetation</t>
  </si>
  <si>
    <t>Achieved</t>
  </si>
  <si>
    <t>tbc</t>
  </si>
  <si>
    <t>Three Star</t>
  </si>
  <si>
    <t xml:space="preserve">Type selected = </t>
  </si>
  <si>
    <t>Four Star</t>
  </si>
  <si>
    <t>Green Star SA Accredited Professional</t>
  </si>
  <si>
    <t>To encourage and recognise the engagement of professionals who can assist the project team with the integration of Green Star SA aims and processes throughout design and construction phases.</t>
  </si>
  <si>
    <t>Dematerialisation</t>
  </si>
  <si>
    <t>Wat - 1</t>
  </si>
  <si>
    <t>Wat - 2</t>
  </si>
  <si>
    <t xml:space="preserve">North Kammanassie Sandstone Fynbos </t>
  </si>
  <si>
    <t xml:space="preserve">Namaqualand Sand Fynbos </t>
  </si>
  <si>
    <t xml:space="preserve">North Hex Sandstone Fynbos </t>
  </si>
  <si>
    <t xml:space="preserve">Northern Shale Band Vegetation </t>
  </si>
  <si>
    <t xml:space="preserve">Olifants Sandstone Fynbos </t>
  </si>
  <si>
    <t xml:space="preserve">Piketberg Sandstone Fynbos </t>
  </si>
  <si>
    <t xml:space="preserve">South Hex Sandstone Fynbos </t>
  </si>
  <si>
    <t xml:space="preserve">Breede Alluvium Renosterveld </t>
  </si>
  <si>
    <t>To encourage and recognise the design of services that eliminate the risk of mould growth and its associated detrimental impact on occupant health.</t>
  </si>
  <si>
    <t>Gauteng</t>
  </si>
  <si>
    <t>W Cape</t>
  </si>
  <si>
    <t>E Cape</t>
  </si>
  <si>
    <t>KZN</t>
  </si>
  <si>
    <t>N Cape</t>
  </si>
  <si>
    <t>Limpopo</t>
  </si>
  <si>
    <t>N West</t>
  </si>
  <si>
    <t>Free State</t>
  </si>
  <si>
    <t xml:space="preserve">Error Message = </t>
  </si>
  <si>
    <t>5. The user must only make entries into the white cells.</t>
  </si>
  <si>
    <t>LIGHTING ENERGY USE</t>
  </si>
  <si>
    <t>1. User must enter values into white cells ONLY.</t>
  </si>
  <si>
    <t xml:space="preserve">Roggeveld Karoo </t>
  </si>
  <si>
    <t xml:space="preserve">West Bushmanland Klipveld </t>
  </si>
  <si>
    <t xml:space="preserve">West Coast Sandveld </t>
  </si>
  <si>
    <t xml:space="preserve">Aughrabies Sandy Grassland </t>
  </si>
  <si>
    <t xml:space="preserve">Namaqualand Arid Grassland </t>
  </si>
  <si>
    <t xml:space="preserve">Northern Coastal Forest </t>
  </si>
  <si>
    <t>Upland Forest</t>
  </si>
  <si>
    <t xml:space="preserve">Sand Forest </t>
  </si>
  <si>
    <t>Upper Karoo</t>
  </si>
  <si>
    <t xml:space="preserve">Western Shale Band Vegetation </t>
  </si>
  <si>
    <t xml:space="preserve">Aliwal North Dry Grassland </t>
  </si>
  <si>
    <t xml:space="preserve">LT </t>
  </si>
  <si>
    <t xml:space="preserve">Amersfoort Highveld Clay Grassland </t>
  </si>
  <si>
    <t xml:space="preserve">VU </t>
  </si>
  <si>
    <t xml:space="preserve">Bloemfontein Dry Grassland </t>
  </si>
  <si>
    <t xml:space="preserve">EN </t>
  </si>
  <si>
    <t xml:space="preserve">Carletonville Dolomite Grassland </t>
  </si>
  <si>
    <t xml:space="preserve">Central Free State Grassland </t>
  </si>
  <si>
    <t xml:space="preserve">Eastern Free State Clay Grassland </t>
  </si>
  <si>
    <t xml:space="preserve">•  5 Star Green Star Certified Rating recognises and rewards "South African Excellence"; and </t>
  </si>
  <si>
    <t>Land Use &amp; Ecology</t>
  </si>
  <si>
    <t>Emissions</t>
  </si>
  <si>
    <t>Type Selected =</t>
  </si>
  <si>
    <t>Refurbishment</t>
  </si>
  <si>
    <t>Credit No.</t>
  </si>
  <si>
    <t>Points Available</t>
  </si>
  <si>
    <t>Points Achieved</t>
  </si>
  <si>
    <t>Percent of Available Points Achieved</t>
  </si>
  <si>
    <t>Weighted Score</t>
  </si>
  <si>
    <t>TOTAL</t>
  </si>
  <si>
    <t>Sub-total weighted points achieved:</t>
  </si>
  <si>
    <t>(Innovation is not weighted)</t>
  </si>
  <si>
    <t>Total weighted points achieved:</t>
  </si>
  <si>
    <t>45-59</t>
  </si>
  <si>
    <t>60-74</t>
  </si>
  <si>
    <t>75+</t>
  </si>
  <si>
    <t>Ene - 0</t>
  </si>
  <si>
    <t>Man - 1</t>
  </si>
  <si>
    <t>Inn - 1</t>
  </si>
  <si>
    <t>Inn - 2</t>
  </si>
  <si>
    <t>Inn - 3</t>
  </si>
  <si>
    <t>2. Refer to the Technical Manual for additional instructions.</t>
  </si>
  <si>
    <t>Other consultant:</t>
  </si>
  <si>
    <t>`</t>
  </si>
  <si>
    <t>Emi-9</t>
  </si>
  <si>
    <t>1. Ensure 'Water Calculator' data is correct.</t>
  </si>
  <si>
    <t>2. No further data input required.</t>
  </si>
  <si>
    <t>Category Score</t>
  </si>
  <si>
    <t>Credit Summary</t>
  </si>
  <si>
    <t>Comments:</t>
  </si>
  <si>
    <t>Enter description of project aspects etc.</t>
  </si>
  <si>
    <t>Graphical Summary</t>
  </si>
  <si>
    <t>Watercourse Protection Measures
• A site-specific Watercourse Management Plan has been produced, exhibited and, for an As Built submission, implemented; and
• All points are achieved in Emi-5 ‘Watercourse Pollution’ and in Emi-7 ‘Light Pollution’.
The project must abide by all measures in the Environmental Impact Assessment for the project if one is required, and the GBCSA reserves the right to provide the final ruling on a project’s compliance with this Conditional Requirement.</t>
  </si>
  <si>
    <t>Shower Demand</t>
  </si>
  <si>
    <t xml:space="preserve">Rooiberg Quartz Vygieveld </t>
  </si>
  <si>
    <t xml:space="preserve">Rosyntjieberge Mountain Succulent Shrubland </t>
  </si>
  <si>
    <t xml:space="preserve">Southern Richtersveld Inselberg Shrubland </t>
  </si>
  <si>
    <t xml:space="preserve">Southwestern Richtersveld Mountain Shrubland </t>
  </si>
  <si>
    <t xml:space="preserve">Stinkfonteinberge Eastern Footplain Shrubland </t>
  </si>
  <si>
    <t>Emi - 8</t>
  </si>
  <si>
    <t>Refrigerant GWP</t>
  </si>
  <si>
    <t>Refrigerant Leaks</t>
  </si>
  <si>
    <t>Watercourse Pollution</t>
  </si>
  <si>
    <t>Discharge to Sewer</t>
  </si>
  <si>
    <t>Light Pollution</t>
  </si>
  <si>
    <t>Legionella</t>
  </si>
  <si>
    <t>Insulant ODP</t>
  </si>
  <si>
    <t>Conditional Requirements</t>
  </si>
  <si>
    <t>Ene</t>
  </si>
  <si>
    <t>Eco</t>
  </si>
  <si>
    <t>Mpumalanga</t>
  </si>
  <si>
    <t>Rating Chart</t>
  </si>
  <si>
    <t>Credit Graph Data</t>
  </si>
  <si>
    <t>Weighted Score Graph Data</t>
  </si>
  <si>
    <t>Available</t>
  </si>
  <si>
    <t>Potential</t>
  </si>
  <si>
    <t>Green cells update with changes to Building Input Sheet</t>
  </si>
  <si>
    <t>Rating</t>
  </si>
  <si>
    <t>Achieved Rating</t>
  </si>
  <si>
    <t>Potential Rating</t>
  </si>
  <si>
    <t>Green Star</t>
  </si>
  <si>
    <t>Innovation</t>
  </si>
  <si>
    <t>Management</t>
  </si>
  <si>
    <t>Indoor Environment Quality</t>
  </si>
  <si>
    <t>Energy</t>
  </si>
  <si>
    <t>Water</t>
  </si>
  <si>
    <t>Materials</t>
  </si>
  <si>
    <t>IEQ</t>
  </si>
  <si>
    <t>If there are mandatory requirements then this cell to the left</t>
  </si>
  <si>
    <t>Inn-1</t>
  </si>
  <si>
    <t>Innovative Strategies &amp; Technologies</t>
  </si>
  <si>
    <t>Type of Rating</t>
  </si>
  <si>
    <t>Thermal Comfort</t>
  </si>
  <si>
    <t>HIDDEN CELLS:</t>
  </si>
  <si>
    <t>Current Project Phase:</t>
  </si>
  <si>
    <r>
      <t xml:space="preserve">Building Description:
</t>
    </r>
    <r>
      <rPr>
        <sz val="8"/>
        <color indexed="9"/>
        <rFont val="Arial"/>
        <family val="2"/>
      </rPr>
      <t>(Orientation, Form, Structure, Façade, etc.)</t>
    </r>
  </si>
  <si>
    <t>Weekday Score</t>
  </si>
  <si>
    <t>4 points available for weekday service</t>
  </si>
  <si>
    <t>WEEKDAY SERVICES</t>
  </si>
  <si>
    <t>Total for all services</t>
  </si>
  <si>
    <t>weekday</t>
  </si>
  <si>
    <t>weekend</t>
  </si>
  <si>
    <t>point scored</t>
  </si>
  <si>
    <t>4.</t>
  </si>
  <si>
    <t xml:space="preserve">Maximum Electrical Demand Reduction </t>
  </si>
  <si>
    <t>Notional Building</t>
  </si>
  <si>
    <r>
      <t>fuel CO</t>
    </r>
    <r>
      <rPr>
        <vertAlign val="subscript"/>
        <sz val="10"/>
        <color indexed="9"/>
        <rFont val="Arial"/>
        <family val="2"/>
      </rPr>
      <t>2</t>
    </r>
    <r>
      <rPr>
        <sz val="10"/>
        <color indexed="9"/>
        <rFont val="Arial"/>
        <family val="2"/>
      </rPr>
      <t xml:space="preserve"> factor</t>
    </r>
  </si>
  <si>
    <r>
      <t xml:space="preserve">ON SITE RENEWABLE ELECTRICITY GENERATION </t>
    </r>
    <r>
      <rPr>
        <b/>
        <sz val="10"/>
        <color indexed="9"/>
        <rFont val="Arial"/>
        <family val="2"/>
      </rPr>
      <t>(actual building only)</t>
    </r>
  </si>
  <si>
    <r>
      <t>fuel factor 
kgCO</t>
    </r>
    <r>
      <rPr>
        <vertAlign val="subscript"/>
        <sz val="8"/>
        <color indexed="9"/>
        <rFont val="Arial"/>
        <family val="2"/>
      </rPr>
      <t>2</t>
    </r>
    <r>
      <rPr>
        <sz val="8"/>
        <color indexed="9"/>
        <rFont val="Arial"/>
        <family val="2"/>
      </rPr>
      <t>/kWh</t>
    </r>
  </si>
  <si>
    <r>
      <t>net saving kgCO</t>
    </r>
    <r>
      <rPr>
        <vertAlign val="subscript"/>
        <sz val="8"/>
        <color indexed="9"/>
        <rFont val="Arial"/>
        <family val="2"/>
      </rPr>
      <t>2</t>
    </r>
    <r>
      <rPr>
        <sz val="8"/>
        <color indexed="9"/>
        <rFont val="Arial"/>
        <family val="2"/>
      </rPr>
      <t>/year</t>
    </r>
  </si>
  <si>
    <r>
      <t>net saving kgCO</t>
    </r>
    <r>
      <rPr>
        <vertAlign val="subscript"/>
        <sz val="8"/>
        <color indexed="9"/>
        <rFont val="Arial"/>
        <family val="2"/>
      </rPr>
      <t>2</t>
    </r>
    <r>
      <rPr>
        <sz val="8"/>
        <color indexed="9"/>
        <rFont val="Arial"/>
        <family val="2"/>
      </rPr>
      <t>/m²/year</t>
    </r>
  </si>
  <si>
    <r>
      <t xml:space="preserve">OTHER ON SITE GENERATION </t>
    </r>
    <r>
      <rPr>
        <b/>
        <sz val="10"/>
        <color indexed="9"/>
        <rFont val="Arial"/>
        <family val="2"/>
      </rPr>
      <t>(actual building only)</t>
    </r>
  </si>
  <si>
    <r>
      <t>kWh/m</t>
    </r>
    <r>
      <rPr>
        <sz val="10"/>
        <color indexed="9"/>
        <rFont val="Arial"/>
        <family val="2"/>
      </rPr>
      <t>²</t>
    </r>
    <r>
      <rPr>
        <sz val="10"/>
        <color indexed="9"/>
        <rFont val="Arial"/>
        <family val="2"/>
      </rPr>
      <t>/year</t>
    </r>
  </si>
  <si>
    <r>
      <t>kgCO</t>
    </r>
    <r>
      <rPr>
        <vertAlign val="subscript"/>
        <sz val="10"/>
        <color indexed="9"/>
        <rFont val="Arial"/>
        <family val="2"/>
      </rPr>
      <t>2</t>
    </r>
    <r>
      <rPr>
        <sz val="10"/>
        <color indexed="9"/>
        <rFont val="Arial"/>
        <family val="2"/>
      </rPr>
      <t>/m²/year</t>
    </r>
  </si>
  <si>
    <t>Building Input Worksheet</t>
  </si>
  <si>
    <t>New or Refurbished Building:</t>
  </si>
  <si>
    <t>Name of Building:</t>
  </si>
  <si>
    <t>Address of Building:</t>
  </si>
  <si>
    <t>Postcode:</t>
  </si>
  <si>
    <t>Province:</t>
  </si>
  <si>
    <t>Applicant:</t>
  </si>
  <si>
    <t>Contact Person:</t>
  </si>
  <si>
    <t>Project Manager:</t>
  </si>
  <si>
    <t>Architect:</t>
  </si>
  <si>
    <t>Structural/Civil Engineer:</t>
  </si>
  <si>
    <t>Mechanical Engineer:</t>
  </si>
  <si>
    <t>Electrical Engineer:</t>
  </si>
  <si>
    <t>Wet Services Engineer:</t>
  </si>
  <si>
    <t>Fire Systems Engineer:</t>
  </si>
  <si>
    <t>Quantity Surveyor:</t>
  </si>
  <si>
    <t>Acoustic Consultant:</t>
  </si>
  <si>
    <t>Landscaping Consultant:</t>
  </si>
  <si>
    <t>Building Surveyor:</t>
  </si>
  <si>
    <t>Main Contractor:</t>
  </si>
  <si>
    <t>Local Planning Authority:</t>
  </si>
  <si>
    <t>Eligibility for Assessment</t>
  </si>
  <si>
    <t>No</t>
  </si>
  <si>
    <t>Credits</t>
  </si>
  <si>
    <t>No showers installed</t>
  </si>
  <si>
    <t>If areas don't match then zero credits (default)</t>
  </si>
  <si>
    <t xml:space="preserve">CREDIT = </t>
  </si>
  <si>
    <t xml:space="preserve">Eastern Little Karoo </t>
  </si>
  <si>
    <t xml:space="preserve">Gold Reef Mountain Bushveld </t>
  </si>
  <si>
    <t xml:space="preserve">Kaalrug Mountain Bushveld </t>
  </si>
  <si>
    <t xml:space="preserve">Loskopdam Mountain Bushveld </t>
  </si>
  <si>
    <t xml:space="preserve">Malelane Mountain Bushveld </t>
  </si>
  <si>
    <t xml:space="preserve">Mmabolo Mountain Bushveld </t>
  </si>
  <si>
    <t xml:space="preserve">Norite Koppies Bushveld </t>
  </si>
  <si>
    <t xml:space="preserve">Northern Lebombo Bushveld </t>
  </si>
  <si>
    <t xml:space="preserve">Ohrigstad Mountain Bushveld </t>
  </si>
  <si>
    <t>Calc (0%)</t>
  </si>
  <si>
    <t>Use the tabs at the bottom of the pages to navigate.</t>
  </si>
  <si>
    <t xml:space="preserve">© Green Building Council of South Africa </t>
  </si>
  <si>
    <t>What is Green Star SA?</t>
  </si>
  <si>
    <t>What do Green Star SA ratings mean?</t>
  </si>
  <si>
    <t>Acknowledgements</t>
  </si>
  <si>
    <t>na</t>
  </si>
  <si>
    <t>The Green Star Technical Clarifications (TC) and Credit Interpretation Request (CIR) rulings provide an essential source of information to all</t>
  </si>
  <si>
    <t>To encourage and recognise the reduction in embodied energy and resource depletion associated with reduced use of virgin steel.</t>
  </si>
  <si>
    <t>Change of Ecological Value</t>
  </si>
  <si>
    <t>note:</t>
  </si>
  <si>
    <t>To encourage and recognise designs that minimise the embodied energy and resources associated with demolition.</t>
  </si>
  <si>
    <t>Man-8</t>
  </si>
  <si>
    <t>To encourage and recognise the reuse of land that has previously been developed and where the site is within an existing municipally approved urban edge.</t>
  </si>
  <si>
    <t>To encourage and recognise designs that provide good levels of daylight for building users.</t>
  </si>
  <si>
    <t>Man-1</t>
  </si>
  <si>
    <t>Man-2</t>
  </si>
  <si>
    <t>Reclaimed Contaminated Land</t>
  </si>
  <si>
    <t>Greenhouse Gas Emissions</t>
  </si>
  <si>
    <t>Provision of Car Parking</t>
  </si>
  <si>
    <t>projects undertaking Green Star assessment. They are available on the GBCSA website http://www.gbcsa.org.za . Technical Clarifications</t>
  </si>
  <si>
    <t xml:space="preserve">often represent the GBCSA answers to technical queries and complement Green Star SA Technical Manuals. They do not amend but clarify </t>
  </si>
  <si>
    <t xml:space="preserve">Credit Criteria or Compliance Requirements. They are an extension of the Technical Manual; it is the responsibility of the project teams to stay </t>
  </si>
  <si>
    <t xml:space="preserve">up-to-date with this section of the GBCSA website. The CIR rulings offer alternative compliance options whenever those have been deemed </t>
  </si>
  <si>
    <t>equivalent in meeting the Aim of Credit.</t>
  </si>
  <si>
    <t>2. Refer to the comprehensive Green Star SA Transport Calculator Guide available on the GBCSA website www.gbcsa.org.za for additional instructions.</t>
  </si>
  <si>
    <t>Baseline</t>
  </si>
  <si>
    <t>Mandatory Requirements Message</t>
  </si>
  <si>
    <t>data for graphical summary page</t>
  </si>
  <si>
    <t>Category Weightings</t>
  </si>
  <si>
    <t>Points Calculation</t>
  </si>
  <si>
    <t>Warning text</t>
  </si>
  <si>
    <t>Six Star</t>
  </si>
  <si>
    <t>Rating message</t>
  </si>
  <si>
    <t>Lighting Energy Calculator</t>
  </si>
  <si>
    <t>W/m2</t>
  </si>
  <si>
    <t>Electrical use kWh/year using schedule A</t>
  </si>
  <si>
    <t>Cyclist Facilities</t>
  </si>
  <si>
    <t>Commuting Mass Transport</t>
  </si>
  <si>
    <t>Vertical transportation</t>
  </si>
  <si>
    <t>% of points achieved</t>
  </si>
  <si>
    <t>To encourage and recognise specification of interior finishes that minimise the contribution and levels of Volatile Organic Compounds in buildings.</t>
  </si>
  <si>
    <t>To encourage and recognise sustainable building initiatives that are currently outside of the scope of this Green Star SA rating tool but which have a substantial or significant environmental benefit.</t>
  </si>
  <si>
    <t>Recycling Waste Storage</t>
  </si>
  <si>
    <t xml:space="preserve">Building Reuse </t>
  </si>
  <si>
    <t xml:space="preserve">Tembe Sandy Bushveld </t>
  </si>
  <si>
    <t xml:space="preserve">North Rooiberg Sandstone Fynbos </t>
  </si>
  <si>
    <t xml:space="preserve">North Swartberg Sandstone Fynbos </t>
  </si>
  <si>
    <t xml:space="preserve">South Kammanassie Sandstone Fynbos </t>
  </si>
  <si>
    <t xml:space="preserve">Northern Richtersveld Red Duneveld </t>
  </si>
  <si>
    <t xml:space="preserve">Northern Richtersveld Sandveld </t>
  </si>
  <si>
    <t xml:space="preserve">Northern Richtersveld Yellow Duneveld </t>
  </si>
  <si>
    <t xml:space="preserve">Richtersveld Coastal Duneveld </t>
  </si>
  <si>
    <t>Air tightness testing</t>
  </si>
  <si>
    <t xml:space="preserve">Man-11 </t>
  </si>
  <si>
    <r>
      <t xml:space="preserve">Building Services:
</t>
    </r>
    <r>
      <rPr>
        <sz val="8"/>
        <color indexed="9"/>
        <rFont val="Arial"/>
        <family val="2"/>
      </rPr>
      <t>(Heating, Cooling, Ventilation, Lighting, Lifts, Domestic Hot Water)</t>
    </r>
  </si>
  <si>
    <t>Score</t>
  </si>
  <si>
    <t xml:space="preserve">Points = </t>
  </si>
  <si>
    <t>Electric Lighting Levels</t>
  </si>
  <si>
    <t>External Views</t>
  </si>
  <si>
    <t>IEQ - 12</t>
  </si>
  <si>
    <t>Local Connectivity</t>
  </si>
  <si>
    <t xml:space="preserve">Tra-7 </t>
  </si>
  <si>
    <t>Tra - 7</t>
  </si>
  <si>
    <t xml:space="preserve">•  4 Star Green Star Certified Rating recognises and rewards "Best Practice";  </t>
  </si>
  <si>
    <t xml:space="preserve">Xhariep Karroid Grassland </t>
  </si>
  <si>
    <t>Zastron Moist Grassland</t>
  </si>
  <si>
    <t>To encourage and recognise developments that maintain or enhance the ecological value of their sites.</t>
  </si>
  <si>
    <t>To encourage and recognise actions taken to reduce health risks to occupants from the presence of hazardous materials.</t>
  </si>
  <si>
    <t>No. of Points Achieved</t>
  </si>
  <si>
    <t>Points to be Confirmed</t>
  </si>
  <si>
    <t>Comments</t>
  </si>
  <si>
    <t xml:space="preserve">Richtersveld White Duneveld </t>
  </si>
  <si>
    <t xml:space="preserve">Southern Richtersveld Red Duneveld </t>
  </si>
  <si>
    <t>Flushes per day</t>
  </si>
  <si>
    <t>Urinals</t>
  </si>
  <si>
    <t xml:space="preserve">De Hoop Limestone Fynbos </t>
  </si>
  <si>
    <t>Irrigation</t>
  </si>
  <si>
    <t>Daylight Glare Control</t>
  </si>
  <si>
    <t>High Frequency Ballasts</t>
  </si>
  <si>
    <r>
      <t xml:space="preserve">85 </t>
    </r>
    <r>
      <rPr>
        <sz val="10"/>
        <color indexed="9"/>
        <rFont val="Arial"/>
        <family val="2"/>
      </rPr>
      <t>≤</t>
    </r>
    <r>
      <rPr>
        <sz val="8"/>
        <color indexed="9"/>
        <rFont val="Verdana"/>
        <family val="2"/>
      </rPr>
      <t xml:space="preserve"> R &lt; 90</t>
    </r>
  </si>
  <si>
    <r>
      <t xml:space="preserve">80 </t>
    </r>
    <r>
      <rPr>
        <sz val="10"/>
        <color indexed="9"/>
        <rFont val="Arial"/>
        <family val="2"/>
      </rPr>
      <t>≤</t>
    </r>
    <r>
      <rPr>
        <sz val="8"/>
        <color indexed="9"/>
        <rFont val="Verdana"/>
        <family val="2"/>
      </rPr>
      <t xml:space="preserve"> R &lt; 85</t>
    </r>
  </si>
  <si>
    <r>
      <t xml:space="preserve">65 </t>
    </r>
    <r>
      <rPr>
        <sz val="10"/>
        <color indexed="9"/>
        <rFont val="Arial"/>
        <family val="2"/>
      </rPr>
      <t>≤</t>
    </r>
    <r>
      <rPr>
        <sz val="8"/>
        <color indexed="9"/>
        <rFont val="Verdana"/>
        <family val="2"/>
      </rPr>
      <t xml:space="preserve"> R &lt; 70</t>
    </r>
  </si>
  <si>
    <r>
      <t xml:space="preserve">60 </t>
    </r>
    <r>
      <rPr>
        <sz val="10"/>
        <color indexed="9"/>
        <rFont val="Arial"/>
        <family val="2"/>
      </rPr>
      <t>≤</t>
    </r>
    <r>
      <rPr>
        <sz val="8"/>
        <color indexed="9"/>
        <rFont val="Verdana"/>
        <family val="2"/>
      </rPr>
      <t xml:space="preserve"> R &lt; 65</t>
    </r>
  </si>
  <si>
    <r>
      <t xml:space="preserve">55 </t>
    </r>
    <r>
      <rPr>
        <sz val="10"/>
        <color indexed="9"/>
        <rFont val="Arial"/>
        <family val="2"/>
      </rPr>
      <t>≤</t>
    </r>
    <r>
      <rPr>
        <sz val="8"/>
        <color indexed="9"/>
        <rFont val="Verdana"/>
        <family val="2"/>
      </rPr>
      <t xml:space="preserve"> R &lt; 60</t>
    </r>
  </si>
  <si>
    <r>
      <t xml:space="preserve">50 </t>
    </r>
    <r>
      <rPr>
        <sz val="10"/>
        <color indexed="9"/>
        <rFont val="Arial"/>
        <family val="2"/>
      </rPr>
      <t>≤</t>
    </r>
    <r>
      <rPr>
        <sz val="8"/>
        <color indexed="9"/>
        <rFont val="Verdana"/>
        <family val="2"/>
      </rPr>
      <t xml:space="preserve"> R &lt; 55</t>
    </r>
  </si>
  <si>
    <r>
      <t xml:space="preserve">45 </t>
    </r>
    <r>
      <rPr>
        <sz val="10"/>
        <color indexed="9"/>
        <rFont val="Arial"/>
        <family val="2"/>
      </rPr>
      <t>≤</t>
    </r>
    <r>
      <rPr>
        <sz val="8"/>
        <color indexed="9"/>
        <rFont val="Verdana"/>
        <family val="2"/>
      </rPr>
      <t xml:space="preserve"> R &lt; 50</t>
    </r>
  </si>
  <si>
    <r>
      <t xml:space="preserve">40 </t>
    </r>
    <r>
      <rPr>
        <sz val="10"/>
        <color indexed="9"/>
        <rFont val="Arial"/>
        <family val="2"/>
      </rPr>
      <t>≤</t>
    </r>
    <r>
      <rPr>
        <sz val="8"/>
        <color indexed="9"/>
        <rFont val="Verdana"/>
        <family val="2"/>
      </rPr>
      <t xml:space="preserve"> R &lt; 45</t>
    </r>
  </si>
  <si>
    <r>
      <t xml:space="preserve">35 </t>
    </r>
    <r>
      <rPr>
        <sz val="10"/>
        <color indexed="9"/>
        <rFont val="Arial"/>
        <family val="2"/>
      </rPr>
      <t>≤</t>
    </r>
    <r>
      <rPr>
        <sz val="8"/>
        <color indexed="9"/>
        <rFont val="Verdana"/>
        <family val="2"/>
      </rPr>
      <t xml:space="preserve"> R &lt; 40</t>
    </r>
  </si>
  <si>
    <r>
      <t xml:space="preserve">30 </t>
    </r>
    <r>
      <rPr>
        <sz val="10"/>
        <color indexed="9"/>
        <rFont val="Arial"/>
        <family val="2"/>
      </rPr>
      <t>≤</t>
    </r>
    <r>
      <rPr>
        <sz val="8"/>
        <color indexed="9"/>
        <rFont val="Verdana"/>
        <family val="2"/>
      </rPr>
      <t xml:space="preserve"> R &lt; 35</t>
    </r>
  </si>
  <si>
    <r>
      <t xml:space="preserve">25 </t>
    </r>
    <r>
      <rPr>
        <sz val="10"/>
        <color indexed="9"/>
        <rFont val="Arial"/>
        <family val="2"/>
      </rPr>
      <t>≤</t>
    </r>
    <r>
      <rPr>
        <sz val="8"/>
        <color indexed="9"/>
        <rFont val="Verdana"/>
        <family val="2"/>
      </rPr>
      <t xml:space="preserve"> R &lt; 30</t>
    </r>
  </si>
  <si>
    <r>
      <t xml:space="preserve">20 </t>
    </r>
    <r>
      <rPr>
        <sz val="10"/>
        <color indexed="9"/>
        <rFont val="Arial"/>
        <family val="2"/>
      </rPr>
      <t>≤</t>
    </r>
    <r>
      <rPr>
        <sz val="8"/>
        <color indexed="9"/>
        <rFont val="Verdana"/>
        <family val="2"/>
      </rPr>
      <t xml:space="preserve"> R &lt; 25</t>
    </r>
  </si>
  <si>
    <r>
      <t xml:space="preserve">15 </t>
    </r>
    <r>
      <rPr>
        <sz val="10"/>
        <color indexed="9"/>
        <rFont val="Arial"/>
        <family val="2"/>
      </rPr>
      <t>≤</t>
    </r>
    <r>
      <rPr>
        <sz val="8"/>
        <color indexed="9"/>
        <rFont val="Verdana"/>
        <family val="2"/>
      </rPr>
      <t xml:space="preserve"> R &lt; 20</t>
    </r>
  </si>
  <si>
    <r>
      <t xml:space="preserve">10 </t>
    </r>
    <r>
      <rPr>
        <sz val="10"/>
        <color indexed="9"/>
        <rFont val="Arial"/>
        <family val="2"/>
      </rPr>
      <t>≤</t>
    </r>
    <r>
      <rPr>
        <sz val="8"/>
        <color indexed="9"/>
        <rFont val="Verdana"/>
        <family val="2"/>
      </rPr>
      <t xml:space="preserve"> R &lt; 15</t>
    </r>
  </si>
  <si>
    <r>
      <t xml:space="preserve">5 </t>
    </r>
    <r>
      <rPr>
        <sz val="10"/>
        <color indexed="9"/>
        <rFont val="Arial"/>
        <family val="2"/>
      </rPr>
      <t>≤</t>
    </r>
    <r>
      <rPr>
        <sz val="8"/>
        <color indexed="9"/>
        <rFont val="Arial"/>
        <family val="2"/>
      </rPr>
      <t xml:space="preserve"> </t>
    </r>
    <r>
      <rPr>
        <sz val="8"/>
        <color indexed="9"/>
        <rFont val="Verdana"/>
        <family val="2"/>
      </rPr>
      <t>R &lt; 10</t>
    </r>
  </si>
  <si>
    <r>
      <t xml:space="preserve">0 </t>
    </r>
    <r>
      <rPr>
        <sz val="10"/>
        <color indexed="9"/>
        <rFont val="Arial"/>
        <family val="2"/>
      </rPr>
      <t>≤</t>
    </r>
    <r>
      <rPr>
        <sz val="8"/>
        <color indexed="9"/>
        <rFont val="Verdana"/>
        <family val="2"/>
      </rPr>
      <t xml:space="preserve"> R &lt; 5</t>
    </r>
  </si>
  <si>
    <t>Lower Limit</t>
  </si>
  <si>
    <t>Upper Limit</t>
  </si>
  <si>
    <t>Point Awarded</t>
  </si>
  <si>
    <t>Band Check</t>
  </si>
  <si>
    <t>Bus &amp; Minibus Contract</t>
  </si>
  <si>
    <t>Uncontracted Minibus</t>
  </si>
  <si>
    <t>Regenerated Endemic Habitat (&lt; 10 years old)*</t>
  </si>
  <si>
    <t xml:space="preserve">Hantam Plateau Dolerite Bulb Veld </t>
  </si>
  <si>
    <t>ECOLOGICAL DIVERSITY INDEX:</t>
  </si>
  <si>
    <t>To encourage and recognise the specification of reused timber products or timber that has certified environmentally-responsible forest management practices.</t>
  </si>
  <si>
    <t>Man-3</t>
  </si>
  <si>
    <t>Occupant Amenity Water</t>
  </si>
  <si>
    <t>Landscape Irrigation</t>
  </si>
  <si>
    <t>Heat Rejection Water</t>
  </si>
  <si>
    <t>Exceeding Green Star SA Benchmarks</t>
  </si>
  <si>
    <t>To encourage and recognise developments that reuse existing buildings to minimise materials consumption.</t>
  </si>
  <si>
    <t>Refrigerant / Gaseous ODP</t>
  </si>
  <si>
    <t>Total of credits available</t>
  </si>
  <si>
    <t>Man-4</t>
  </si>
  <si>
    <t>Man-5</t>
  </si>
  <si>
    <t>Man-6</t>
  </si>
  <si>
    <t>Environmental Management</t>
  </si>
  <si>
    <t>Man-7</t>
  </si>
  <si>
    <t>Waste Management</t>
  </si>
  <si>
    <t>Inn-2</t>
  </si>
  <si>
    <t>Inn-3</t>
  </si>
  <si>
    <t xml:space="preserve">Environmental Design Initiatives </t>
  </si>
  <si>
    <t>Sewage Calculator</t>
  </si>
  <si>
    <t xml:space="preserve">Humansdorp Shale Renosterveld </t>
  </si>
  <si>
    <t>Notes &amp; Instructions:</t>
  </si>
  <si>
    <t>2. The user must enter the W/m2 of the lighting system connected load (as appropriate for the particular area in the actual building).</t>
  </si>
  <si>
    <t>N/A</t>
  </si>
  <si>
    <t>Wat-1</t>
  </si>
  <si>
    <t>Wat-2</t>
  </si>
  <si>
    <t>Wat-3</t>
  </si>
  <si>
    <t>Wat-4</t>
  </si>
  <si>
    <t>Wat-5</t>
  </si>
  <si>
    <t>Type</t>
  </si>
  <si>
    <t>Description</t>
  </si>
  <si>
    <t>Total Internal Covered Car Parking Area</t>
  </si>
  <si>
    <t xml:space="preserve">   which applies weather data appropriate for the site, and not via this calculator.</t>
  </si>
  <si>
    <t>Electrical use kWh/year</t>
  </si>
  <si>
    <t xml:space="preserve">Eastern Free State Sandy Grassland </t>
  </si>
  <si>
    <t xml:space="preserve">Eastern Highveld Grassland </t>
  </si>
  <si>
    <t xml:space="preserve">Egoli Granite Grassland </t>
  </si>
  <si>
    <t xml:space="preserve">Frankfort Highveld Grassland </t>
  </si>
  <si>
    <t xml:space="preserve">KaNgwane Montane Grassland </t>
  </si>
  <si>
    <t xml:space="preserve">Poung Dolomite Mountain Bushveld </t>
  </si>
  <si>
    <t xml:space="preserve">Sekhukhune Mountain Bushveld </t>
  </si>
  <si>
    <t xml:space="preserve">Southern Lebombo Bushveld </t>
  </si>
  <si>
    <t xml:space="preserve">Soutpansberg Mountain Bushveld </t>
  </si>
  <si>
    <t xml:space="preserve">Swartruggens Mountain Bushveld </t>
  </si>
  <si>
    <t xml:space="preserve">VhaVenda Miombo </t>
  </si>
  <si>
    <t xml:space="preserve">Waterberg Mountain Bushveld </t>
  </si>
  <si>
    <t xml:space="preserve">Sub Escarpment Savanna </t>
  </si>
  <si>
    <t xml:space="preserve">Eastern Cape Thornveld </t>
  </si>
  <si>
    <t xml:space="preserve">Eastern Valley Bushveld </t>
  </si>
  <si>
    <t xml:space="preserve">KwaZulu Natal Hinterland Thornveld </t>
  </si>
  <si>
    <t xml:space="preserve">Lesotho Mires </t>
  </si>
  <si>
    <r>
      <t>Land Types Before Construction / m</t>
    </r>
    <r>
      <rPr>
        <b/>
        <vertAlign val="superscript"/>
        <sz val="10"/>
        <color indexed="9"/>
        <rFont val="Arial"/>
        <family val="2"/>
      </rPr>
      <t>2</t>
    </r>
  </si>
  <si>
    <r>
      <t>Land Types After Construction / m</t>
    </r>
    <r>
      <rPr>
        <b/>
        <vertAlign val="superscript"/>
        <sz val="10"/>
        <color indexed="9"/>
        <rFont val="Arial"/>
        <family val="2"/>
      </rPr>
      <t>2</t>
    </r>
  </si>
  <si>
    <t>Design Rating</t>
  </si>
  <si>
    <t>As Built Rating</t>
  </si>
  <si>
    <t>* The notional building W/m2 values are to some extent an improvement from SANS 204-2:2008 Table 14</t>
  </si>
  <si>
    <t xml:space="preserve">KwaZulu-Natal Coastal Belt </t>
  </si>
  <si>
    <t xml:space="preserve">Maputaland Coastal Belt </t>
  </si>
  <si>
    <t xml:space="preserve">Maputaland Wooded Grassland </t>
  </si>
  <si>
    <t xml:space="preserve">Pondoland-Natal Sandstone Coastal Sourveld </t>
  </si>
  <si>
    <t xml:space="preserve">Transkei Coastal Belt </t>
  </si>
  <si>
    <t xml:space="preserve">Amatole Mistbelt Grassland </t>
  </si>
  <si>
    <t xml:space="preserve">Amatole Montane Grassland </t>
  </si>
  <si>
    <t xml:space="preserve">Barberton Montane Grassland </t>
  </si>
  <si>
    <t xml:space="preserve">Drakensberg Afroalpine Heathland </t>
  </si>
  <si>
    <t xml:space="preserve">Drakensberg-Amatole Afromontane Fynbos </t>
  </si>
  <si>
    <t>After Sensitivity weighting</t>
  </si>
  <si>
    <t>(from Potable Water Calculator)</t>
  </si>
  <si>
    <t>Taps</t>
  </si>
  <si>
    <t>To encourage and recognise information management that enables building users to optimise the building’s environmental performance.</t>
  </si>
  <si>
    <t>Tra - 1</t>
  </si>
  <si>
    <t>Tra - 2</t>
  </si>
  <si>
    <t>Tra - 3</t>
  </si>
  <si>
    <t>Tra - 4</t>
  </si>
  <si>
    <t>To encourage and recognise construction practices that preserve the ecological integrity of topsoil.</t>
  </si>
  <si>
    <t>IEQ - 3</t>
  </si>
  <si>
    <t>IEQ - 4</t>
  </si>
  <si>
    <t>IEQ - 9</t>
  </si>
  <si>
    <t>IEQ - 11</t>
  </si>
  <si>
    <t>Air Change Effectiveness</t>
  </si>
  <si>
    <t xml:space="preserve">•  6 Star Green Star Certified Rating recognises and rewards "World Leadership".  </t>
  </si>
  <si>
    <t>How to use this tool</t>
  </si>
  <si>
    <t>IEQ - 1</t>
  </si>
  <si>
    <t>refer to 'Lighting Energy Calculator'</t>
  </si>
  <si>
    <t>Highveld Grassland</t>
  </si>
  <si>
    <t>Inland Saline Vegetation</t>
  </si>
  <si>
    <t xml:space="preserve">Bushmanland Inselberg Shrubland </t>
  </si>
  <si>
    <t xml:space="preserve">Albany Coastal Belt </t>
  </si>
  <si>
    <t xml:space="preserve">poorly protected </t>
  </si>
  <si>
    <t xml:space="preserve">Eco- </t>
  </si>
  <si>
    <t>Eco-1</t>
  </si>
  <si>
    <t>Emi-1</t>
  </si>
  <si>
    <t>Emi-2</t>
  </si>
  <si>
    <t>Emi-3</t>
  </si>
  <si>
    <t>Emi-4</t>
  </si>
  <si>
    <t>Emi-5</t>
  </si>
  <si>
    <t>Emi-6</t>
  </si>
  <si>
    <t>Emi-7</t>
  </si>
  <si>
    <t>Emi-8</t>
  </si>
  <si>
    <t>To encourage and recognise the provision of response monitoring of Carbon Dioxide levels to ensure delivery of optimum quantities of outside air.</t>
  </si>
  <si>
    <t>To encourage and recognise buildings that achieve a high level of thermal comfort.</t>
  </si>
  <si>
    <t>To encourage and recognise designs that minimise greenhouse gas emissions associated with operational energy consumption.</t>
  </si>
  <si>
    <t>Yes</t>
  </si>
  <si>
    <t>Hours of operation</t>
  </si>
  <si>
    <t>Potable water factor</t>
  </si>
  <si>
    <t xml:space="preserve">Langebaan Dune Strandveld </t>
  </si>
  <si>
    <t xml:space="preserve">Pilanesberg Mountain Bushveld </t>
  </si>
  <si>
    <t xml:space="preserve">Factor = </t>
  </si>
  <si>
    <t xml:space="preserve">Final credit = </t>
  </si>
  <si>
    <t>ERROR Check on Area</t>
  </si>
  <si>
    <t>Gas use 
kWh/year</t>
  </si>
  <si>
    <t>Domestic Hot Water</t>
  </si>
  <si>
    <t>kWh/year</t>
  </si>
  <si>
    <t>To encourage and recognise developments that reclaim contaminated land that otherwise would not have been developed.</t>
  </si>
  <si>
    <t xml:space="preserve">Thukela Thornveld </t>
  </si>
  <si>
    <t xml:space="preserve">Thukela Valley Bushveld </t>
  </si>
  <si>
    <t xml:space="preserve">Central Succulent Karoo </t>
  </si>
  <si>
    <t xml:space="preserve">Swartland Alluvium Fynbos </t>
  </si>
  <si>
    <t xml:space="preserve">Swellendam Silcrete Fynbos </t>
  </si>
  <si>
    <t>15 min</t>
  </si>
  <si>
    <t>30 min</t>
  </si>
  <si>
    <t>0-250m</t>
  </si>
  <si>
    <t>Weighting factors</t>
  </si>
  <si>
    <t>Score Matrix</t>
  </si>
  <si>
    <t>250-500m</t>
  </si>
  <si>
    <t>500-750m</t>
  </si>
  <si>
    <t xml:space="preserve">Namaqualand Coastal Duneveld </t>
  </si>
  <si>
    <t>Hazardous Materials</t>
  </si>
  <si>
    <t>Internal Noise Levels</t>
  </si>
  <si>
    <t>Five Star</t>
  </si>
  <si>
    <t>Six Stars</t>
  </si>
  <si>
    <t>Mandatory requirements</t>
  </si>
  <si>
    <t>Carbon Dioxide Monitoring and Control</t>
  </si>
  <si>
    <t>Daylight</t>
  </si>
  <si>
    <t>Independent Commissioning Agent</t>
  </si>
  <si>
    <t>To encourage and recognise the specification of products with low formaldehyde emission levels.</t>
  </si>
  <si>
    <t>To encourage and recognise the reduction of embodied energy and resource depletion occurring through use of concrete.</t>
  </si>
  <si>
    <t>STATE BASED WEIGHTING FACTORS</t>
  </si>
  <si>
    <t xml:space="preserve">Klerksdorp Thornveld </t>
  </si>
  <si>
    <t>Existing Natural Grazing*</t>
  </si>
  <si>
    <t xml:space="preserve">The Green Star SA environmental rating system for buildings was developed by the Green Building Council of South Africa (GBCSA).  Green Star SA is a comprehensive rating system for evaluating the environmental design and performance of South African buildings based on a number of criteria, including energy and water efficiency, indoor environment quality and resource conservation. </t>
  </si>
  <si>
    <t>Ene-0 Conditional Requirement</t>
  </si>
  <si>
    <t>Yes- Compliance Route 1</t>
  </si>
  <si>
    <t>Yes- Compliance Route 2</t>
  </si>
  <si>
    <t>No- Not Met</t>
  </si>
  <si>
    <t>In which vegetation type is the site located?</t>
  </si>
  <si>
    <t>Greenfields/ Brownfields</t>
  </si>
  <si>
    <t>Before Sensitivity weighting</t>
  </si>
  <si>
    <t xml:space="preserve">Southern Coastal Forest </t>
  </si>
  <si>
    <t>West Coast Sandveld</t>
  </si>
  <si>
    <t>West Strandveld</t>
  </si>
  <si>
    <t xml:space="preserve">Northern Afrotemperate Forest </t>
  </si>
  <si>
    <t xml:space="preserve">Northern Mistbelt Forest </t>
  </si>
  <si>
    <t>Western Lowland Karoo</t>
  </si>
  <si>
    <t xml:space="preserve">Scarp Forest </t>
  </si>
  <si>
    <t>Western Mountain Shrubland</t>
  </si>
  <si>
    <t>Southern Afrotemperate Forest</t>
  </si>
  <si>
    <t>Compliance Route 1</t>
  </si>
  <si>
    <t>None</t>
  </si>
  <si>
    <t>Compliance Route 2</t>
  </si>
  <si>
    <t xml:space="preserve">Einiqua Rocky Desert </t>
  </si>
  <si>
    <t>Lowland Forest</t>
  </si>
  <si>
    <t xml:space="preserve">Hellskloof Canyon Desert </t>
  </si>
  <si>
    <t>Lowveld</t>
  </si>
  <si>
    <t>750m-1km</t>
  </si>
  <si>
    <t>15min</t>
  </si>
  <si>
    <t>30min</t>
  </si>
  <si>
    <t xml:space="preserve">Tanqua Escarpment Succulent Shrubland </t>
  </si>
  <si>
    <t xml:space="preserve">Tanqua Karoo </t>
  </si>
  <si>
    <t xml:space="preserve">Tanqua Sheet Wash Plains Vygieveld </t>
  </si>
  <si>
    <t xml:space="preserve">Southern Karoo </t>
  </si>
  <si>
    <t xml:space="preserve">Eastern Gwarrieveld </t>
  </si>
  <si>
    <t>Points</t>
  </si>
  <si>
    <t xml:space="preserve">Roggeveld Shale Renosterveld </t>
  </si>
  <si>
    <t xml:space="preserve">Renosterveld Mountain Centre </t>
  </si>
  <si>
    <t xml:space="preserve">Ceres Shale Renosterveld </t>
  </si>
  <si>
    <t xml:space="preserve">Matjiesfontein Shale Renosterveld </t>
  </si>
  <si>
    <t xml:space="preserve">Montagu Shale Renosterveld </t>
  </si>
  <si>
    <t xml:space="preserve">Southeastern Richtersveld Mountain Desert </t>
  </si>
  <si>
    <t>Renosterveld Eastern Centre</t>
  </si>
  <si>
    <t xml:space="preserve">Southern Nababiepsberge Mountain Desert </t>
  </si>
  <si>
    <t xml:space="preserve">Aggeneys Gravel Vygieveld </t>
  </si>
  <si>
    <t xml:space="preserve">Swartland Silcrete Renosterveld </t>
  </si>
  <si>
    <t xml:space="preserve">South Strandveld </t>
  </si>
  <si>
    <t xml:space="preserve">Blombos Sand Strandveld </t>
  </si>
  <si>
    <t xml:space="preserve">Groot Brak Dune Strandveld </t>
  </si>
  <si>
    <t xml:space="preserve">Overberg Dune Strandveld </t>
  </si>
  <si>
    <t xml:space="preserve">Southern Cape Dune Fynbos </t>
  </si>
  <si>
    <t xml:space="preserve">Cape Seashore Vegetation </t>
  </si>
  <si>
    <t xml:space="preserve">West Strandveld </t>
  </si>
  <si>
    <t xml:space="preserve">Cape Flats Dune Strandveld </t>
  </si>
  <si>
    <t>Urban Area and Unallocated</t>
  </si>
  <si>
    <t xml:space="preserve">South Rooiberg Sandstone Fynbos </t>
  </si>
  <si>
    <t xml:space="preserve">South Swartberg Sandstone Fynbos </t>
  </si>
  <si>
    <t>Eco - 5</t>
  </si>
  <si>
    <t>Urban Heat Island</t>
  </si>
  <si>
    <t xml:space="preserve">Delagoa Lowveld </t>
  </si>
  <si>
    <t xml:space="preserve">Swartland Granite Bulb Veld </t>
  </si>
  <si>
    <t xml:space="preserve">Swartland Shale Renosterveld </t>
  </si>
  <si>
    <t>Contracted</t>
  </si>
  <si>
    <t xml:space="preserve">Little Karoo Quartz Vygieveld </t>
  </si>
  <si>
    <t xml:space="preserve">Muscadel Alluvial Vegetation </t>
  </si>
  <si>
    <t xml:space="preserve">Prince Albert Succulent Karoo </t>
  </si>
  <si>
    <t xml:space="preserve">Robertson Karoo </t>
  </si>
  <si>
    <t xml:space="preserve">Steytlerville Karoo </t>
  </si>
  <si>
    <t xml:space="preserve">Western Gwarrieveld </t>
  </si>
  <si>
    <t xml:space="preserve">Western Little Karoo </t>
  </si>
  <si>
    <t xml:space="preserve">Trans Escarpment Succulent Karoo </t>
  </si>
  <si>
    <t xml:space="preserve">Lebombo Summit Sourveld </t>
  </si>
  <si>
    <t xml:space="preserve">Leolo Summit Sourveld </t>
  </si>
  <si>
    <t xml:space="preserve">Lydenburg Montane Grassland </t>
  </si>
  <si>
    <t xml:space="preserve">Lydenburg Thornveld </t>
  </si>
  <si>
    <t xml:space="preserve">Northern KwaZulu-Natal Moist Grassland </t>
  </si>
  <si>
    <t xml:space="preserve">Paulpietersburg Moist Grassland </t>
  </si>
  <si>
    <t xml:space="preserve">Rand Highveld Grassland </t>
  </si>
  <si>
    <t xml:space="preserve">Sekhukhune Montane Grassland </t>
  </si>
  <si>
    <t xml:space="preserve">Soutpansberg Summit Sourveld </t>
  </si>
  <si>
    <t xml:space="preserve">Soweto Highveld Grassland </t>
  </si>
  <si>
    <t xml:space="preserve">Strydpoort Summit Sourveld </t>
  </si>
  <si>
    <t xml:space="preserve">not protected </t>
  </si>
  <si>
    <t>Kalahari Dry Savanna</t>
  </si>
  <si>
    <t xml:space="preserve">Einiqua Plains Desert </t>
  </si>
  <si>
    <t>Lower Karoo</t>
  </si>
  <si>
    <t>Enter any comments required in the 'Comments' column. Note these comments are for internal design team purposes only. Do NOT include ANY comments within the workbook submitted as a part of a submission for a certified rating.</t>
  </si>
  <si>
    <t>ERROR, text not valid!</t>
  </si>
  <si>
    <t>% Reduction from Notional ( R )</t>
  </si>
  <si>
    <t>Please select Compliance Route adopted:</t>
  </si>
  <si>
    <t>Conditional Requirement Achieved?</t>
  </si>
  <si>
    <t>ERROR, sum of no. of points achieved and points to be confirmed exceeds the total no. of available points</t>
  </si>
  <si>
    <t>ERROR MESSAGES</t>
  </si>
  <si>
    <t>ERROR, Value entered in 'No. of points achieved' must be a number or 'na'</t>
  </si>
  <si>
    <t>[ERROR: Please check for error message in worksheet]</t>
  </si>
  <si>
    <t>Western Upland Karoo</t>
  </si>
  <si>
    <t xml:space="preserve">Southern Mistbelt Forest </t>
  </si>
  <si>
    <t>Wetland Forest</t>
  </si>
  <si>
    <t xml:space="preserve">Lowveld Riverine Forest </t>
  </si>
  <si>
    <t xml:space="preserve">Mangrove Forest </t>
  </si>
  <si>
    <t>Swamp Forest</t>
  </si>
  <si>
    <t xml:space="preserve">Fynbos Alluvial Vegetation </t>
  </si>
  <si>
    <t xml:space="preserve">Cape Lowland Alluvial Vegetation </t>
  </si>
  <si>
    <t xml:space="preserve">Fynbos Kamiesberg Centre </t>
  </si>
  <si>
    <t xml:space="preserve">Kamiesberg Granite Fynbos </t>
  </si>
  <si>
    <t>External Area (including external Car Parking)</t>
  </si>
  <si>
    <t>1. User must enter values into or select options in white cells ONLY</t>
  </si>
  <si>
    <t>Result</t>
  </si>
  <si>
    <t>Mat-1</t>
  </si>
  <si>
    <t>Mat-2</t>
  </si>
  <si>
    <t>Mat-3</t>
  </si>
  <si>
    <t>Mat-4</t>
  </si>
  <si>
    <t>Mat-5</t>
  </si>
  <si>
    <t>Mat-6</t>
  </si>
  <si>
    <t>Mat-7</t>
  </si>
  <si>
    <t>Mat-8</t>
  </si>
  <si>
    <t>Mat-9</t>
  </si>
  <si>
    <t>Mat-10</t>
  </si>
  <si>
    <t>Eco-2</t>
  </si>
  <si>
    <t>Eco-3</t>
  </si>
  <si>
    <t>Eco-4</t>
  </si>
  <si>
    <t xml:space="preserve">Eco-5 </t>
  </si>
  <si>
    <t>Options</t>
  </si>
  <si>
    <t>Eco- Conditional Requirement met</t>
  </si>
  <si>
    <t>Eco- Conditional Requirement NOT met</t>
  </si>
  <si>
    <t>Mass Transport Calculator Engine:</t>
  </si>
  <si>
    <t>5.</t>
  </si>
  <si>
    <t xml:space="preserve">Volatile Organic Compounds </t>
  </si>
  <si>
    <t>Formaldehyde Minimisation</t>
  </si>
  <si>
    <t>Mould Prevention</t>
  </si>
  <si>
    <t>Ene - 1</t>
  </si>
  <si>
    <t>Ene - 2</t>
  </si>
  <si>
    <t>Conditional Requirement</t>
  </si>
  <si>
    <t xml:space="preserve">Mountain Bushveld </t>
  </si>
  <si>
    <t xml:space="preserve">Andesite Mountain Bushveld </t>
  </si>
  <si>
    <t xml:space="preserve">Barberton Serpentine Sourveld </t>
  </si>
  <si>
    <t xml:space="preserve">Gauteng Shale Mountain Bushveld </t>
  </si>
  <si>
    <t xml:space="preserve">Noams Mountain Desert </t>
  </si>
  <si>
    <t>Macroalgal Sea Beds</t>
  </si>
  <si>
    <t xml:space="preserve">Northern Nababiepsberge Mountain Desert </t>
  </si>
  <si>
    <t>Mountain Bushveld</t>
  </si>
  <si>
    <t xml:space="preserve">Richtersberg Mountain Desert </t>
  </si>
  <si>
    <t>Nama Karoo Alluvial Vegetation</t>
  </si>
  <si>
    <t>3.</t>
  </si>
  <si>
    <t xml:space="preserve">Drakensberg Foothill Moist Grassland </t>
  </si>
  <si>
    <t>Thermal Energy Sub-metering</t>
  </si>
  <si>
    <t>No. of Bus, Midibus or Minibus Routes</t>
  </si>
  <si>
    <t>No. of Train Routes</t>
  </si>
  <si>
    <t xml:space="preserve">•  recognise and reward environmental leadership; and </t>
  </si>
  <si>
    <t xml:space="preserve">•  reduce the environmental impact of development. </t>
  </si>
  <si>
    <t>Green Star SA rating tools use six stars to measure performance.  Projects that obtain a predicted rating of one, two or three stars are not eligible for formal certification.  Projects that obtain a predicted 4 Star rating or above are eligible to apply for formal certification, whereby a:</t>
  </si>
  <si>
    <t xml:space="preserve">Kouga Sandstone Grassy Fynbos </t>
  </si>
  <si>
    <t xml:space="preserve">Loerie Conglomerate Fynbos </t>
  </si>
  <si>
    <t xml:space="preserve">North Outeniqua Sandstone Fynbos </t>
  </si>
  <si>
    <t xml:space="preserve">South Outeniqua Sandstone Fynbos </t>
  </si>
  <si>
    <t xml:space="preserve">Breede Shale Renosterveld </t>
  </si>
  <si>
    <t xml:space="preserve">Central Ruens Shale Renosterveld </t>
  </si>
  <si>
    <t xml:space="preserve">Eastern Ruens Shale Renosterveld </t>
  </si>
  <si>
    <t xml:space="preserve">Mossel Bay Shale Renosterveld </t>
  </si>
  <si>
    <t xml:space="preserve">Ruens Silcrete Renosterveld </t>
  </si>
  <si>
    <t xml:space="preserve">Western Ruens Shale Renosterveld </t>
  </si>
  <si>
    <t xml:space="preserve">Renosterveld West Coast Centre </t>
  </si>
  <si>
    <t xml:space="preserve">Peninsula Shale Renosterveld </t>
  </si>
  <si>
    <t xml:space="preserve">Piketberg Quartz Succulent Shrubland </t>
  </si>
  <si>
    <t xml:space="preserve">&lt;1 </t>
  </si>
  <si>
    <t xml:space="preserve">Swartland Alluvium Renosterveld </t>
  </si>
  <si>
    <t>Sensitivity Category</t>
  </si>
  <si>
    <t>CE</t>
  </si>
  <si>
    <t>less than 5</t>
  </si>
  <si>
    <t>EN</t>
  </si>
  <si>
    <t>5 to 10</t>
  </si>
  <si>
    <t>LT</t>
  </si>
  <si>
    <t>10 to 15</t>
  </si>
  <si>
    <t>VU</t>
  </si>
  <si>
    <t>Indigenous Garden</t>
  </si>
  <si>
    <t>Indigenous Roof Garden</t>
  </si>
  <si>
    <t>Precipitation Average Monthly (mm)</t>
  </si>
  <si>
    <t>January</t>
  </si>
  <si>
    <t>February</t>
  </si>
  <si>
    <t>September</t>
  </si>
  <si>
    <t>October</t>
  </si>
  <si>
    <t>November</t>
  </si>
  <si>
    <t xml:space="preserve">December </t>
  </si>
  <si>
    <t>Beaufort West</t>
  </si>
  <si>
    <t>Bela-Bela</t>
  </si>
  <si>
    <t>Belfast</t>
  </si>
  <si>
    <t>Bethal</t>
  </si>
  <si>
    <t>Bethlehem</t>
  </si>
  <si>
    <t>Bloemfontein</t>
  </si>
  <si>
    <t>Calvinia</t>
  </si>
  <si>
    <t>Cape Town</t>
  </si>
  <si>
    <t>De Aar</t>
  </si>
  <si>
    <t>Durban</t>
  </si>
  <si>
    <t>East London</t>
  </si>
  <si>
    <t>George</t>
  </si>
  <si>
    <t>Johannesburg</t>
  </si>
  <si>
    <t>Kimberley</t>
  </si>
  <si>
    <t>Ladysmith</t>
  </si>
  <si>
    <t>Langebaan</t>
  </si>
  <si>
    <t>Musina</t>
  </si>
  <si>
    <t>Nelspruit</t>
  </si>
  <si>
    <t>Nmmabatho</t>
  </si>
  <si>
    <t>Pietermaritzburg</t>
  </si>
  <si>
    <t>Pilansberg</t>
  </si>
  <si>
    <t>Polokwane</t>
  </si>
  <si>
    <t>Port Elizabeth</t>
  </si>
  <si>
    <t>Pretoria</t>
  </si>
  <si>
    <t>Richards Bay</t>
  </si>
  <si>
    <t>Skukuza</t>
  </si>
  <si>
    <t>Thohoyandou</t>
  </si>
  <si>
    <t>Tstsikama</t>
  </si>
  <si>
    <t>Umtata</t>
  </si>
  <si>
    <t>Upington</t>
  </si>
  <si>
    <t xml:space="preserve">To encourage and recognise designs that prolong the useful life of existing products and materials and encourage uptake of products with recycling content.
</t>
  </si>
  <si>
    <t>To encourage and recognise pioneering initiatives in sustainable design, process or advocacy.</t>
  </si>
  <si>
    <t>Mat - 1</t>
  </si>
  <si>
    <t>Mat - 2</t>
  </si>
  <si>
    <t>Mat - 3</t>
  </si>
  <si>
    <t>Mat - 5</t>
  </si>
  <si>
    <t>To encourage and recognise the adoption of a formal environmental management system in line with established guidelines during construction.</t>
  </si>
  <si>
    <t>Category</t>
  </si>
  <si>
    <t>Weighting</t>
  </si>
  <si>
    <t>Max Score per category</t>
  </si>
  <si>
    <t>To encourage and recognise developments that minimise discharge to the municipal sewerage system.</t>
  </si>
  <si>
    <t>To encourage and recognise developments that minimise light pollution into the night sky.</t>
  </si>
  <si>
    <t>Benchmark</t>
  </si>
  <si>
    <t xml:space="preserve">Subtropical Dune Thicket </t>
  </si>
  <si>
    <t>Fynbos Strandveld</t>
  </si>
  <si>
    <t xml:space="preserve">Subtropical Seashore Vegetation </t>
  </si>
  <si>
    <t>Grassland Alluvial Vegetation</t>
  </si>
  <si>
    <t xml:space="preserve">North Sonderend Sandstone Fynbos </t>
  </si>
  <si>
    <t xml:space="preserve">Overberg Sandstone Fynbos </t>
  </si>
  <si>
    <t xml:space="preserve">Peninsula Granite Fynbos </t>
  </si>
  <si>
    <t xml:space="preserve">Peninsula Sandstone Fynbos </t>
  </si>
  <si>
    <t xml:space="preserve">Potberg Ferricrete Fynbos </t>
  </si>
  <si>
    <t xml:space="preserve">Potberg Sandstone Fynbos </t>
  </si>
  <si>
    <t xml:space="preserve">Robertson Granite Fynbos </t>
  </si>
  <si>
    <t xml:space="preserve">South Langeberg Sandstone Fynbos </t>
  </si>
  <si>
    <t xml:space="preserve">South Sonderend Sandstone Fynbos </t>
  </si>
  <si>
    <t xml:space="preserve">The predicted rating is shown in the Summary worksheet.  More detail on point scores (both achieved and those to be confirmed) are shown in the Credit Summary and Graphical Summary worksheets at the end of the tool.  </t>
  </si>
  <si>
    <t>Limitations</t>
  </si>
  <si>
    <t>Disclaimer</t>
  </si>
  <si>
    <t>Authorisation, Acknowledgement and Disclaimer</t>
  </si>
  <si>
    <t xml:space="preserve">Saldanha Flats Strandveld </t>
  </si>
  <si>
    <t xml:space="preserve">Saldanha Granite Strandveld </t>
  </si>
  <si>
    <t xml:space="preserve">Saldanha Limestone Strandveld </t>
  </si>
  <si>
    <t xml:space="preserve">Train </t>
  </si>
  <si>
    <t xml:space="preserve">Ithala Quartzite Sourveld </t>
  </si>
  <si>
    <t xml:space="preserve">Lesotho Highland Basalt Grassland </t>
  </si>
  <si>
    <t xml:space="preserve">Northern Drakensberg Highland Grassland </t>
  </si>
  <si>
    <t xml:space="preserve">Northern Escarpment Afromontane Fynbos </t>
  </si>
  <si>
    <t xml:space="preserve">Northern Escarpment Dolomite Grassland </t>
  </si>
  <si>
    <t xml:space="preserve">Northern Escarpment Quartzite Sourveld </t>
  </si>
  <si>
    <t xml:space="preserve">Southern Drakensberg Highland Grassland </t>
  </si>
  <si>
    <t xml:space="preserve">Stormberg Plateau Grassland </t>
  </si>
  <si>
    <t xml:space="preserve">uKhahlamba Basalt Grassland </t>
  </si>
  <si>
    <t xml:space="preserve">Wolkberg Dolomite Grassland </t>
  </si>
  <si>
    <t>Brownfield Site</t>
  </si>
  <si>
    <t>March</t>
  </si>
  <si>
    <t>April</t>
  </si>
  <si>
    <t>June</t>
  </si>
  <si>
    <t>July</t>
  </si>
  <si>
    <t>August</t>
  </si>
  <si>
    <t xml:space="preserve">Schweizer-Reineke Bushveld </t>
  </si>
  <si>
    <t xml:space="preserve">Stella Bushveld </t>
  </si>
  <si>
    <t xml:space="preserve">Vaalbos Rocky Shrubland </t>
  </si>
  <si>
    <t xml:space="preserve">Lowveld </t>
  </si>
  <si>
    <t xml:space="preserve">Basalt Sweet Arid Lowveld </t>
  </si>
  <si>
    <t xml:space="preserve">Lamberts Bay Strandveld </t>
  </si>
  <si>
    <t xml:space="preserve">Southern Richtersveld Sandveld </t>
  </si>
  <si>
    <t xml:space="preserve">Southern Richtersveld Yellow Duneveld </t>
  </si>
  <si>
    <t xml:space="preserve">Western Lowland Karoo </t>
  </si>
  <si>
    <t>CHANGE IN ECOLOGICAL DIVERSITY INDEX</t>
  </si>
  <si>
    <t>* = affected by Bioregion Reservation Importance Factor</t>
  </si>
  <si>
    <t>THESE ROWS BELOW ARE HIDDEN</t>
  </si>
  <si>
    <t>Bioregion code</t>
  </si>
  <si>
    <t>Bio-Region ID Number</t>
  </si>
  <si>
    <t>Ecological Significance Category</t>
  </si>
  <si>
    <t>&lt;Don't know&gt;</t>
  </si>
  <si>
    <t>none</t>
  </si>
  <si>
    <t>Default to highest significance</t>
  </si>
  <si>
    <t>Indigenous Endemic Habitat (&gt; 10 years old)*</t>
  </si>
  <si>
    <t>Indigenous Endemic Habitat (&gt; 20 years old)*</t>
  </si>
  <si>
    <t>Bioregion</t>
  </si>
  <si>
    <t>1.</t>
  </si>
  <si>
    <t>2.</t>
  </si>
  <si>
    <t>3% Occupants shower</t>
  </si>
  <si>
    <t>Shower</t>
  </si>
  <si>
    <t>Calc (3%)</t>
  </si>
  <si>
    <t>Eco - 0</t>
  </si>
  <si>
    <t>To encourage and recognise projects that achieve environmental benefits in excess of the current Green Star SA benchmarks.</t>
  </si>
  <si>
    <t>Fire System Water Consumption</t>
  </si>
  <si>
    <t xml:space="preserve">Blouputs Karroid Thornveld </t>
  </si>
  <si>
    <t>well protected</t>
  </si>
  <si>
    <t xml:space="preserve">Bushmanland Arid Grassland </t>
  </si>
  <si>
    <t>hardly protected</t>
  </si>
  <si>
    <t xml:space="preserve">Bushmanland Basin Shrubland </t>
  </si>
  <si>
    <t>not protected</t>
  </si>
  <si>
    <t xml:space="preserve">Bushmanland Sandy Grassland </t>
  </si>
  <si>
    <t xml:space="preserve">Kalahari Karroid Shrubland </t>
  </si>
  <si>
    <t xml:space="preserve">Lower Gariep Broken Veld </t>
  </si>
  <si>
    <t xml:space="preserve">Albany Broken Veld </t>
  </si>
  <si>
    <t xml:space="preserve">Eastern Lower Karoo </t>
  </si>
  <si>
    <t xml:space="preserve">Gamka Karoo </t>
  </si>
  <si>
    <t xml:space="preserve">Lower Karoo Gwarrieveld </t>
  </si>
  <si>
    <t xml:space="preserve">Upper Karoo </t>
  </si>
  <si>
    <t xml:space="preserve">Nieuwoudtville Shale Renosterveld </t>
  </si>
  <si>
    <t xml:space="preserve">Nieuwoudtville-Roggeveld Dolerite Bulb Veld </t>
  </si>
  <si>
    <t xml:space="preserve">Robertson Granite Renosterveld </t>
  </si>
  <si>
    <t xml:space="preserve">Vanrhynsdorp Shale Renosterveld </t>
  </si>
  <si>
    <t xml:space="preserve">Marikana Thornveld </t>
  </si>
  <si>
    <t xml:space="preserve">Moot Plains Bushveld </t>
  </si>
  <si>
    <t xml:space="preserve">Polokwane Plateau Bushveld </t>
  </si>
  <si>
    <t xml:space="preserve">Roodeberg Bushveld </t>
  </si>
  <si>
    <t xml:space="preserve">Doringrivier Succulent Karoo </t>
  </si>
  <si>
    <t xml:space="preserve">Koedoesberge-Moordenaars Succulent Karoo </t>
  </si>
  <si>
    <t xml:space="preserve">Woodbush Granite Grassland </t>
  </si>
  <si>
    <t xml:space="preserve">Besemkaree Koppies Shrubland </t>
  </si>
  <si>
    <t xml:space="preserve">Bloemfontein Karroid Shrubland </t>
  </si>
  <si>
    <t xml:space="preserve">Drakensberg Montane Shrubland </t>
  </si>
  <si>
    <t xml:space="preserve">Northern Free State Shrubland </t>
  </si>
  <si>
    <t xml:space="preserve">Koranna-Langeberg Mountain Bushveld </t>
  </si>
  <si>
    <t xml:space="preserve">Kuruman Mountain Bushveld </t>
  </si>
  <si>
    <t xml:space="preserve">Kuruman Thornveld </t>
  </si>
  <si>
    <t xml:space="preserve">Kuruman Vaalbosveld </t>
  </si>
  <si>
    <t xml:space="preserve">Mafikeng Bushveld </t>
  </si>
  <si>
    <t xml:space="preserve">Molopo Bushveld </t>
  </si>
  <si>
    <t xml:space="preserve">Molopo River Duneveld </t>
  </si>
  <si>
    <t xml:space="preserve">Nossob Bushveld </t>
  </si>
  <si>
    <t xml:space="preserve">Olifantshoek Plains Thornveld </t>
  </si>
  <si>
    <t xml:space="preserve">Postmasburg Thornveld </t>
  </si>
  <si>
    <t xml:space="preserve">Schmidtsdrif Thornveld </t>
  </si>
  <si>
    <t xml:space="preserve">Namaqualand Granite Renosterveld </t>
  </si>
  <si>
    <t xml:space="preserve">To reduce 'urban' heat islands to subsequently minimise impacts on microclimates and human and wildlife habitats. </t>
  </si>
  <si>
    <t xml:space="preserve">Tsende Mopaneveld </t>
  </si>
  <si>
    <t xml:space="preserve">Tzaneen Sour Lowveld </t>
  </si>
  <si>
    <t xml:space="preserve">Western Maputaland Sandy Bushveld </t>
  </si>
  <si>
    <t>Select a Schedule or are results modelled?</t>
  </si>
  <si>
    <t>Electrical use kWh/year 
(calculated using schedules herein)</t>
  </si>
  <si>
    <t>Electrical use kWh/year 
(modelled numbers)</t>
  </si>
  <si>
    <t>Electrical use kWh/year 
(overall)</t>
  </si>
  <si>
    <t xml:space="preserve">Man-10 </t>
  </si>
  <si>
    <t xml:space="preserve">Fynbos Karoo Mountain Centre </t>
  </si>
  <si>
    <t xml:space="preserve">Cango Conglomerate Fynbos </t>
  </si>
  <si>
    <t xml:space="preserve">Eastern Shale Band Vegetation </t>
  </si>
  <si>
    <t xml:space="preserve">Matjiesfontein Quartzite Fynbos </t>
  </si>
  <si>
    <t xml:space="preserve">Matjiesfontein Shale Fynbos </t>
  </si>
  <si>
    <t xml:space="preserve">Senqu Montane Shrubland </t>
  </si>
  <si>
    <t xml:space="preserve">Tarkastad Montane Shrubland </t>
  </si>
  <si>
    <t>Tra-1</t>
  </si>
  <si>
    <t>Tra-2</t>
  </si>
  <si>
    <t>Tra-3</t>
  </si>
  <si>
    <t>Tra-4</t>
  </si>
  <si>
    <t>Tra-5</t>
  </si>
  <si>
    <t>Tra-6</t>
  </si>
  <si>
    <t>Reminder Note for TCs &amp; CIRs</t>
  </si>
  <si>
    <t>Energy Calculator</t>
  </si>
  <si>
    <t>Points Achieved:</t>
  </si>
  <si>
    <t>LPG</t>
  </si>
  <si>
    <t>m²</t>
  </si>
  <si>
    <t>modelling data for nom. area (notional &amp; actual buildings)</t>
  </si>
  <si>
    <t>Existing Natural Wetland*</t>
  </si>
  <si>
    <t xml:space="preserve">Wakkerstroom Montane Grassland </t>
  </si>
  <si>
    <t xml:space="preserve">Waterberg-Magaliesberg Summit Sourveld </t>
  </si>
  <si>
    <t xml:space="preserve">Western Free State Clay Grassland </t>
  </si>
  <si>
    <t xml:space="preserve">Western Highveld Sandy Grassland </t>
  </si>
  <si>
    <t xml:space="preserve">Knersvlakte Quartz Vygieveld </t>
  </si>
  <si>
    <t xml:space="preserve">Knersvlakte Shale Vygieveld </t>
  </si>
  <si>
    <t xml:space="preserve">Namaqualand Heuweltjieveld </t>
  </si>
  <si>
    <t xml:space="preserve">Karoo Escarpment Grassland </t>
  </si>
  <si>
    <t>The Green Star SA environmental rating system is based upon the Australian Green Star system and has been customised for the South African environment by the GBCSA, under licence from the Green Building Council of Australia.</t>
  </si>
  <si>
    <r>
      <t xml:space="preserve">100 </t>
    </r>
    <r>
      <rPr>
        <sz val="10"/>
        <color indexed="9"/>
        <rFont val="Arial"/>
        <family val="2"/>
      </rPr>
      <t>≤</t>
    </r>
    <r>
      <rPr>
        <sz val="8"/>
        <color indexed="9"/>
        <rFont val="Verdana"/>
        <family val="2"/>
      </rPr>
      <t xml:space="preserve"> R</t>
    </r>
  </si>
  <si>
    <r>
      <t xml:space="preserve">95 </t>
    </r>
    <r>
      <rPr>
        <sz val="10"/>
        <color indexed="9"/>
        <rFont val="Arial"/>
        <family val="2"/>
      </rPr>
      <t>≤</t>
    </r>
    <r>
      <rPr>
        <sz val="8"/>
        <color indexed="9"/>
        <rFont val="Verdana"/>
        <family val="2"/>
      </rPr>
      <t xml:space="preserve"> R &lt; 100</t>
    </r>
  </si>
  <si>
    <r>
      <t xml:space="preserve">90 </t>
    </r>
    <r>
      <rPr>
        <sz val="10"/>
        <color indexed="9"/>
        <rFont val="Arial"/>
        <family val="2"/>
      </rPr>
      <t>≤</t>
    </r>
    <r>
      <rPr>
        <sz val="8"/>
        <color indexed="9"/>
        <rFont val="Verdana"/>
        <family val="2"/>
      </rPr>
      <t xml:space="preserve"> R &lt; 95</t>
    </r>
  </si>
  <si>
    <t>Green Star SA has built on existing systems and tools in overseas markets, primarily the Australian Green Star system, but also including the British Building Research Establishment Environmental Assessment Method (BREEAM) system and the North American Leadership in Energy and Environmental Design (LEED) system.  Environmental measurement criteria relevant to the South African marketplace and environmental context have been created.</t>
  </si>
  <si>
    <t>The Green Star rating system was created to:</t>
  </si>
  <si>
    <t xml:space="preserve">•  establish a common language and standard of measurement for green buildings; </t>
  </si>
  <si>
    <t xml:space="preserve">•  promote integrated, whole-building design; </t>
  </si>
  <si>
    <t>•  raise awareness of green building benefits;</t>
  </si>
  <si>
    <t xml:space="preserve">Complete the Building Input worksheet as the building's type and location may affect the predicted rating. </t>
  </si>
  <si>
    <t>Complete the remaining worksheets by reviewing each credit in each category and entering the number of points you predict the building will achieve in the 'No. of Points Achieved' column.  Calculators are provided for a number of the tool's credits.</t>
  </si>
  <si>
    <t>Existing Natural Waterway/Riparian Zone*</t>
  </si>
  <si>
    <t xml:space="preserve">Eastern Upper Karoo </t>
  </si>
  <si>
    <t xml:space="preserve">Northern Upper Karoo </t>
  </si>
  <si>
    <t xml:space="preserve">Upper Karoo Hardeveld </t>
  </si>
  <si>
    <t xml:space="preserve">Western Upper Karoo </t>
  </si>
  <si>
    <t xml:space="preserve">Savanna Alluvial Vegetation </t>
  </si>
  <si>
    <t xml:space="preserve">Subtropical Alluvial Vegetation </t>
  </si>
  <si>
    <t xml:space="preserve">Central Bushveld </t>
  </si>
  <si>
    <t xml:space="preserve">Central Sandy Bushveld </t>
  </si>
  <si>
    <t xml:space="preserve">Dwaalboom Thornveld </t>
  </si>
  <si>
    <t xml:space="preserve">Limpopo Sweet Bushveld </t>
  </si>
  <si>
    <t xml:space="preserve">Loskopdam Thornveld </t>
  </si>
  <si>
    <t xml:space="preserve">Madikwe Dolomite Bushveld </t>
  </si>
  <si>
    <t xml:space="preserve">Makhado Sweet Bushveld </t>
  </si>
  <si>
    <t>Grassland Biome Shrublands</t>
  </si>
  <si>
    <t xml:space="preserve">Lower Gariep Alluvial Vegetation </t>
  </si>
  <si>
    <t>Man - 2</t>
  </si>
  <si>
    <t>Man - 3</t>
  </si>
  <si>
    <t>Man - 4</t>
  </si>
  <si>
    <t>Man - 5</t>
  </si>
  <si>
    <t>Man - 6</t>
  </si>
  <si>
    <t>Man - 7</t>
  </si>
  <si>
    <t>Man - 10</t>
  </si>
  <si>
    <t>Trip Reduction - Mixed-Use</t>
  </si>
  <si>
    <t>Vehicle Operating Emissions</t>
  </si>
  <si>
    <t xml:space="preserve">Western Maputuland Clay Bushveld </t>
  </si>
  <si>
    <t xml:space="preserve">Zululand Coastal Thornveld </t>
  </si>
  <si>
    <t xml:space="preserve">Zululand Lowveld </t>
  </si>
  <si>
    <t>Design for Disassembly</t>
  </si>
  <si>
    <t>Emi - 9</t>
  </si>
  <si>
    <t>Boiler and Generator Emissions</t>
  </si>
  <si>
    <t>Total Points:</t>
  </si>
  <si>
    <t>Concrete</t>
  </si>
  <si>
    <t>Credit Summary for:</t>
  </si>
  <si>
    <t>Transport</t>
  </si>
  <si>
    <t>Ref No.</t>
  </si>
  <si>
    <t>Title</t>
  </si>
  <si>
    <t>Aim of Credit</t>
  </si>
  <si>
    <t xml:space="preserve">Agter-Sederberg Succulent Shrubland </t>
  </si>
  <si>
    <t xml:space="preserve">Namaqualand Blomveld </t>
  </si>
  <si>
    <t xml:space="preserve">Namaqualand Klipkoppe Shrubland </t>
  </si>
  <si>
    <t xml:space="preserve">Platbakkies Succulent Shrubland </t>
  </si>
  <si>
    <t xml:space="preserve">Gabbro Grassy Bushveld </t>
  </si>
  <si>
    <t xml:space="preserve">Granite Lowveld Bushveld </t>
  </si>
  <si>
    <t xml:space="preserve">Gravelotte Rocky Bushveld </t>
  </si>
  <si>
    <t xml:space="preserve">Legogote Sour Bushveld </t>
  </si>
  <si>
    <t xml:space="preserve">Limpopo Ridge Bushveld </t>
  </si>
  <si>
    <t xml:space="preserve">Lowveld Rugged Mopaneveld </t>
  </si>
  <si>
    <t xml:space="preserve">Makatini Clay Thicket </t>
  </si>
  <si>
    <t xml:space="preserve">Makuleke Sandy Bushveld </t>
  </si>
  <si>
    <t xml:space="preserve">Mopane Shrubveld </t>
  </si>
  <si>
    <t xml:space="preserve">Musina Mopane Bushveld </t>
  </si>
  <si>
    <t xml:space="preserve">Northern Zululand Sourveld </t>
  </si>
  <si>
    <t xml:space="preserve">Nwambyia-Pumbe Sandy Bushveld </t>
  </si>
  <si>
    <t xml:space="preserve">Phalaborwa Sandy Mopaneveld </t>
  </si>
  <si>
    <t xml:space="preserve">Pretoriuskop Sour Bushveld </t>
  </si>
  <si>
    <t xml:space="preserve">Swaziland Sour Bushveld </t>
  </si>
  <si>
    <t xml:space="preserve">Renosterveld South Coast Centre </t>
  </si>
  <si>
    <t>Ene-0  Conditional Requirement Result:</t>
  </si>
  <si>
    <t>Number modelling points achieved within performance band</t>
  </si>
  <si>
    <t>Biogas</t>
  </si>
  <si>
    <t>Coal</t>
  </si>
  <si>
    <t>Diesel</t>
  </si>
  <si>
    <t>Mains electricity</t>
  </si>
  <si>
    <t>Natural gas</t>
  </si>
  <si>
    <t xml:space="preserve">Town gas (coal) </t>
  </si>
  <si>
    <t>Green Star SA Accredited Professional(s):</t>
  </si>
  <si>
    <t>Renewable Electricity generated on site including photovoltaics, wind turbines etc.</t>
  </si>
  <si>
    <t xml:space="preserve">Kango Renosterveld </t>
  </si>
  <si>
    <t xml:space="preserve">Langkloof Shale Renosterveld </t>
  </si>
  <si>
    <t xml:space="preserve">Swartberg Shale Renosterveld </t>
  </si>
  <si>
    <t xml:space="preserve">Uniondale Shale Renosterveld </t>
  </si>
  <si>
    <t xml:space="preserve">Renosterveld Karoo Centre </t>
  </si>
  <si>
    <t xml:space="preserve">Central Mountain Shale Renosterveld </t>
  </si>
  <si>
    <t>Renosterveld Karoo Centre</t>
  </si>
  <si>
    <t xml:space="preserve">Springbokvlakte Mountain Desert </t>
  </si>
  <si>
    <t>Enter any points that may be achieved but need to be confirmed in the 'Points to be Confirmed' column.</t>
  </si>
  <si>
    <t>Lighting Zoning</t>
  </si>
  <si>
    <t>Ene - 5</t>
  </si>
  <si>
    <t>Onsite Electricity Generation (e.g. electricity from a co-generation system)</t>
  </si>
  <si>
    <t xml:space="preserve">Type of fuel used </t>
  </si>
  <si>
    <t>Amount of fuel used (calorific value in kWh)</t>
  </si>
  <si>
    <t>TOTALS</t>
  </si>
  <si>
    <t>kWh/m²/year</t>
  </si>
  <si>
    <t xml:space="preserve">Carbon emissions (notional building) </t>
  </si>
  <si>
    <t>Carbon emissions (actual building)</t>
  </si>
  <si>
    <t>PERCENTAGE IMPROVEMENT OVER NOTIONAL BUILDING</t>
  </si>
  <si>
    <t>Shell and Core or Integrated Fitout</t>
  </si>
  <si>
    <t>Albany Thickets Alluvial Vegetation</t>
  </si>
  <si>
    <t xml:space="preserve">Buffels Thicket </t>
  </si>
  <si>
    <t xml:space="preserve">hardly protected </t>
  </si>
  <si>
    <t>Albany Thickets Strandveld</t>
  </si>
  <si>
    <t xml:space="preserve">Camdebo Escarpment Thicket </t>
  </si>
  <si>
    <t>Bushmanland and West Griqualand</t>
  </si>
  <si>
    <t xml:space="preserve">Coega Bontveld </t>
  </si>
  <si>
    <t>Central Bushveld</t>
  </si>
  <si>
    <t xml:space="preserve">Eastern Cape Escarpment Thicket </t>
  </si>
  <si>
    <t>Central Succulent Karoo</t>
  </si>
  <si>
    <t xml:space="preserve">Gamka Thicket </t>
  </si>
  <si>
    <t>Coastal Grassland</t>
  </si>
  <si>
    <t xml:space="preserve">Gamtoos Thicket </t>
  </si>
  <si>
    <t>Desert Alluvial Vegetation</t>
  </si>
  <si>
    <t xml:space="preserve">Great Fish Noorsveld </t>
  </si>
  <si>
    <t>Drakensburg Grassland</t>
  </si>
  <si>
    <t xml:space="preserve">Great Fish Thicket </t>
  </si>
  <si>
    <t>Eastern Gariep</t>
  </si>
  <si>
    <t xml:space="preserve">Groot Thicket </t>
  </si>
  <si>
    <t xml:space="preserve">moderately protected </t>
  </si>
  <si>
    <t>Estuarine Salt Marshes</t>
  </si>
  <si>
    <t xml:space="preserve">Kowie Thicket </t>
  </si>
  <si>
    <t>Freshwater Wetlands</t>
  </si>
  <si>
    <t xml:space="preserve">Sundays Noorsveld </t>
  </si>
  <si>
    <t>Fynbos Alluvial Vegetation</t>
  </si>
  <si>
    <t xml:space="preserve">Sundays Thicket </t>
  </si>
  <si>
    <t>Fynbos Kamiesberg Centre</t>
  </si>
  <si>
    <t xml:space="preserve">Northern KwaZulu-Natal Shrubland </t>
  </si>
  <si>
    <t xml:space="preserve">Northern Zululand Mistbelt Grassland </t>
  </si>
  <si>
    <t xml:space="preserve">Queenstown Thornveld </t>
  </si>
  <si>
    <t xml:space="preserve">Southern KwaZulu-Natal Moist Grassland </t>
  </si>
  <si>
    <t xml:space="preserve">Tsomo Grassland </t>
  </si>
  <si>
    <t xml:space="preserve">Umtata Moist Grassland </t>
  </si>
  <si>
    <t>Walking Distance from Building Entrance to Public Transport</t>
  </si>
  <si>
    <t>Frequency of Service During Peak Periods</t>
  </si>
  <si>
    <t>In which bio-region is the site located?</t>
  </si>
  <si>
    <t>Hidden</t>
  </si>
  <si>
    <t>BEFORE</t>
  </si>
  <si>
    <t>AFTER</t>
  </si>
  <si>
    <t>Land Type</t>
  </si>
  <si>
    <t>Ecological Value</t>
  </si>
  <si>
    <t>Ecological Score</t>
  </si>
  <si>
    <t>Bioregion Category</t>
  </si>
  <si>
    <t>Importance Factor</t>
  </si>
  <si>
    <t>Change in ecological diversity index</t>
  </si>
  <si>
    <t>Credit calculation limits</t>
  </si>
  <si>
    <t>Building</t>
  </si>
  <si>
    <t>Impermeable/concreted Area</t>
  </si>
  <si>
    <t>Bare Ground</t>
  </si>
  <si>
    <t>Weed Infestations</t>
  </si>
  <si>
    <t>15 to 25</t>
  </si>
  <si>
    <t>Exotic Garden</t>
  </si>
  <si>
    <t>above 25</t>
  </si>
  <si>
    <t>Exotic Grazing</t>
  </si>
  <si>
    <t xml:space="preserve">Bioregion ID = </t>
  </si>
  <si>
    <t xml:space="preserve">Category = </t>
  </si>
  <si>
    <t xml:space="preserve">Base credits = </t>
  </si>
  <si>
    <t>Crop Farming</t>
  </si>
  <si>
    <t xml:space="preserve">Threatened species = </t>
  </si>
  <si>
    <t>if threatened species then no credits awarded</t>
  </si>
  <si>
    <t xml:space="preserve">Cathedral Mopane Bushveld </t>
  </si>
  <si>
    <t>IEQ - 13</t>
  </si>
  <si>
    <t xml:space="preserve">KwaZulu-Natal Sandstone Inland Sourveld </t>
  </si>
  <si>
    <t xml:space="preserve">Ngongoni Veld </t>
  </si>
  <si>
    <t>% sewer reduction</t>
  </si>
  <si>
    <t>L/day/m2 benchmark ((L/day/person)/(m2/person))</t>
  </si>
  <si>
    <t xml:space="preserve">East Griqualand Dry Grassland </t>
  </si>
  <si>
    <t xml:space="preserve">Mabela Sandy Grassland </t>
  </si>
  <si>
    <t xml:space="preserve">Income Sandy Grassland </t>
  </si>
  <si>
    <t xml:space="preserve">KwaZulu-Natal Dry Highland Grassland </t>
  </si>
  <si>
    <t xml:space="preserve">KwaZulu-Natal Sandstone Coastal Sourveld </t>
  </si>
  <si>
    <t xml:space="preserve">Low Escarpment Moist Grassland </t>
  </si>
  <si>
    <t xml:space="preserve">Midlands Mistbelt Grassland </t>
  </si>
  <si>
    <t xml:space="preserve">Mooirivier Highland Dry Grassland </t>
  </si>
  <si>
    <t xml:space="preserve">Upper Gariep Alluvial Vegetation </t>
  </si>
  <si>
    <t>poorly protected</t>
  </si>
  <si>
    <t>Credit Criteria Summary</t>
  </si>
  <si>
    <t>No. of Points Available</t>
  </si>
  <si>
    <t>Commissioning  Clauses</t>
  </si>
  <si>
    <t>Building Tuning</t>
  </si>
  <si>
    <t>needs to read yes ONLY if they have been met.</t>
  </si>
  <si>
    <t xml:space="preserve">Tsitsikamma Sandstone Fynbos </t>
  </si>
  <si>
    <t xml:space="preserve">Fynbos Southwest Centre </t>
  </si>
  <si>
    <t xml:space="preserve">Renosterveld Eastern Centre </t>
  </si>
  <si>
    <t xml:space="preserve">Baviaanskloof Shale Renosterveld </t>
  </si>
  <si>
    <t xml:space="preserve">Eastern Temperate Freshwater Wetlands </t>
  </si>
  <si>
    <t>Steel</t>
  </si>
  <si>
    <t>Weighted Score (achieved)</t>
  </si>
  <si>
    <t>Credits tbc</t>
  </si>
  <si>
    <t>% of credits tbc</t>
  </si>
  <si>
    <t>IEQ - 14</t>
  </si>
  <si>
    <t>IEQ - 15</t>
  </si>
  <si>
    <t>IEQ-16</t>
  </si>
  <si>
    <t xml:space="preserve">Swartruggens Quartzite Fynbos </t>
  </si>
  <si>
    <t xml:space="preserve">Winterhoek Sandstone Fynbos </t>
  </si>
  <si>
    <t xml:space="preserve">Fynbos South Coast Centre </t>
  </si>
  <si>
    <t xml:space="preserve">Agulhas Limestone Fynbos </t>
  </si>
  <si>
    <t xml:space="preserve">Agulhas Sand Fynbos </t>
  </si>
  <si>
    <t xml:space="preserve">Albertinia Sand Fynbos </t>
  </si>
  <si>
    <t xml:space="preserve">Canca Limestone Fynbos </t>
  </si>
  <si>
    <t xml:space="preserve">Fynbos Southeast Centre </t>
  </si>
  <si>
    <t xml:space="preserve">Algoa Sandstone Fynbos </t>
  </si>
  <si>
    <t xml:space="preserve">Garden Route Granite Fynbos </t>
  </si>
  <si>
    <t xml:space="preserve">Garden Route Shale Fynbos </t>
  </si>
  <si>
    <t xml:space="preserve">Grootrivier Quartzite Fynbos </t>
  </si>
  <si>
    <t xml:space="preserve">Knysna Sand Fynbos </t>
  </si>
  <si>
    <t xml:space="preserve">Kouga Sandstone Fynbos </t>
  </si>
  <si>
    <t xml:space="preserve">Kouebokkeveld Shale Fynbos </t>
  </si>
  <si>
    <t xml:space="preserve">Leipoldtville Sand Fynbos </t>
  </si>
  <si>
    <t>Brownfields</t>
  </si>
  <si>
    <t>ID</t>
  </si>
  <si>
    <t>Albany Thickets</t>
  </si>
  <si>
    <t>THESE COLUMNS HIDDEN</t>
  </si>
  <si>
    <t>Change In Ecology Calculator</t>
  </si>
  <si>
    <t>THESE COLUMNS ARE HIDDEN</t>
  </si>
  <si>
    <t>Month</t>
  </si>
  <si>
    <t>Jan</t>
  </si>
  <si>
    <t>Feb</t>
  </si>
  <si>
    <t>Mar</t>
  </si>
  <si>
    <t>Apr</t>
  </si>
  <si>
    <t>May</t>
  </si>
  <si>
    <t>Jun</t>
  </si>
  <si>
    <t>Jul</t>
  </si>
  <si>
    <t>Aug</t>
  </si>
  <si>
    <t>Sep</t>
  </si>
  <si>
    <t>Oct</t>
  </si>
  <si>
    <t>Nov</t>
  </si>
  <si>
    <t>Dec</t>
  </si>
  <si>
    <t>Ene-11</t>
  </si>
  <si>
    <t>Stairs</t>
  </si>
  <si>
    <t>Unoccupied spaces</t>
  </si>
  <si>
    <t>To encourage and recognise lighting design practices that offer greater flexibility for light switching, making it easier to light only occupied areas.</t>
  </si>
  <si>
    <t>To encourage and recognise buildings that are designed to reduce the discomfort of glare from natural light.</t>
  </si>
  <si>
    <t>To encourage and recognise designs that provide occupants with a visual connection to the external environment.</t>
  </si>
  <si>
    <t>IEQ-17</t>
  </si>
  <si>
    <t>Environmental Tobacco Smoke (ETS) Avoidance</t>
  </si>
  <si>
    <t>Dedicated Exhaust Riser</t>
  </si>
  <si>
    <t>To encourage and recognise designs that promote the wellbeing of occupants by encouraging the use of stairs as an alternative to vertical transportation by lift.</t>
  </si>
  <si>
    <t>To encourage and recognise designs that provide ample amounts of good quality outside air to counteract build-up of indoor pollutants.</t>
  </si>
  <si>
    <t>Type of Building</t>
  </si>
  <si>
    <t>A1: Casino</t>
  </si>
  <si>
    <t>A1: Community/ day centre</t>
  </si>
  <si>
    <t>A1: Restaurant/ public house</t>
  </si>
  <si>
    <t>A2: Sports centre/ leisure centre</t>
  </si>
  <si>
    <t>A2: Theatres/ cinemas/ and music halls</t>
  </si>
  <si>
    <t>A3: Primary school</t>
  </si>
  <si>
    <t>A3: Secondary school</t>
  </si>
  <si>
    <t>A4: Worship</t>
  </si>
  <si>
    <t>Airport terminals</t>
  </si>
  <si>
    <t>C1: Convention Centre and Exhibition Hall</t>
  </si>
  <si>
    <t>C2: Libraries/ museums/ and galleries</t>
  </si>
  <si>
    <t>Courts</t>
  </si>
  <si>
    <t xml:space="preserve">Fire station/Police station </t>
  </si>
  <si>
    <t>W/m²</t>
  </si>
  <si>
    <t>Hrs/an</t>
  </si>
  <si>
    <t>Building Type List</t>
  </si>
  <si>
    <t>Modeling Type List</t>
  </si>
  <si>
    <t>row</t>
  </si>
  <si>
    <t>Occ sens %</t>
  </si>
  <si>
    <t>Lighting</t>
  </si>
  <si>
    <t>Public transport terminals</t>
  </si>
  <si>
    <t>% Space supporting the primary function (equal to (ii)/(i)):</t>
  </si>
  <si>
    <t>Drop Down Lists</t>
  </si>
  <si>
    <t>Compliance Routes</t>
  </si>
  <si>
    <t>Compliance Route 3</t>
  </si>
  <si>
    <t>Natural Ventilation</t>
  </si>
  <si>
    <t>Total Area of the building supporting the primary function</t>
  </si>
  <si>
    <t>Maximum GFA for compliance route 2</t>
  </si>
  <si>
    <t>Calculations</t>
  </si>
  <si>
    <t>Subtotal HVAC (nominated area)</t>
  </si>
  <si>
    <t>HVAC energy Benchmarks</t>
  </si>
  <si>
    <t>kWh/m²/an</t>
  </si>
  <si>
    <t>Database Info</t>
  </si>
  <si>
    <t>Space Conditioning Type</t>
  </si>
  <si>
    <t>Mechanically Ventilated</t>
  </si>
  <si>
    <t>Naturally Ventilated</t>
  </si>
  <si>
    <t>Air Conditioned</t>
  </si>
  <si>
    <t>Air conditioned space area</t>
  </si>
  <si>
    <t>Mechanically ventilated space area</t>
  </si>
  <si>
    <t>Naturally ventilated space area</t>
  </si>
  <si>
    <t>Breakdowb of areas supporting the primary function</t>
  </si>
  <si>
    <t>Compliance Route 2 Savings</t>
  </si>
  <si>
    <t>Air Conditioned Areas</t>
  </si>
  <si>
    <t>Mechanically Ventilated areas</t>
  </si>
  <si>
    <t>Hot water consumption by space type</t>
  </si>
  <si>
    <t>l/m²/day</t>
  </si>
  <si>
    <t>Hot water consumption</t>
  </si>
  <si>
    <t>l/an</t>
  </si>
  <si>
    <t>kWh/an</t>
  </si>
  <si>
    <t>Cold water supply</t>
  </si>
  <si>
    <t>Hot water supply</t>
  </si>
  <si>
    <t>°C</t>
  </si>
  <si>
    <t>Hot water temperatures and efficiency</t>
  </si>
  <si>
    <t>Efficiency factor</t>
  </si>
  <si>
    <t>Specific heat capacity of water</t>
  </si>
  <si>
    <t>KJ/kg°C</t>
  </si>
  <si>
    <t>Fuel CO2 Conversion Factors</t>
  </si>
  <si>
    <t>kg CO2/kWh</t>
  </si>
  <si>
    <t>Energy usage (notional building) - (Spaces supporting primary function)</t>
  </si>
  <si>
    <t>Energy usage (actual building) - (Spaces supporting primary function)</t>
  </si>
  <si>
    <t>Energy Calculator Results:</t>
  </si>
  <si>
    <t>Modelling points awarded</t>
  </si>
  <si>
    <t>SUB TOTALS (kWh/year)</t>
  </si>
  <si>
    <t xml:space="preserve">    Guide for detailed information and assistance in using this calculator.</t>
  </si>
  <si>
    <t>HVAC operating Hrs / an</t>
  </si>
  <si>
    <t>Base HVAC indice is 80kWh/m²/an for 12hrs/day, 5days/week, 52 weeks/an.</t>
  </si>
  <si>
    <t>Base mech vent indice is based on 1.1W/l/s, 8l/s/m², 12hrs/day, 5days/week, 52 weeks/an = 27.5 kWh/m²/an</t>
  </si>
  <si>
    <t>Actual HVAC indice is then correct for operating hours of the building</t>
  </si>
  <si>
    <t>Actual mech vent indice is then correct for operating hours of the building</t>
  </si>
  <si>
    <t>A3: Higher Education</t>
  </si>
  <si>
    <t>Building Specific Major Water Usage</t>
  </si>
  <si>
    <t>Mat-13</t>
  </si>
  <si>
    <t>IEQ - 16</t>
  </si>
  <si>
    <t>To encourage and recognise developments that facilitate the use of bicycles by staff and visitors/students.</t>
  </si>
  <si>
    <t>The Eco-Conditional Requirement is met where the project development footprint
• Is not located on prime agricultural land. Refurbishments/redevelopments that remain within the existing development footprint and where the existing hardscape footprint is not exceeded are exempt from this criterion;
• Is not located on vegetation of high ecological value or within a 100 metre buffer of vegetation of high ecological value. Refurbishments/redevelopments that remain within the existing development footprint and where the existing hardscape footprint is not exceeded are exempt from this criterion;
• Is not located on land with confirmed presence or high probability of threatened red listed species, or within a defined buffer relevant to the specific threatened red listed species or habitat found. Refurbishments/redevelopments that remain within the existing development footprint and where the existing hardscape footprint is not exceeded are exempt from this criterion; and</t>
  </si>
  <si>
    <t>Community Facilities</t>
    <phoneticPr fontId="0"/>
  </si>
  <si>
    <t>x</t>
  </si>
  <si>
    <t>Man 12</t>
  </si>
  <si>
    <t>Common Property Management Rules Clauses</t>
  </si>
  <si>
    <t>Learning Resources</t>
    <phoneticPr fontId="12" type="noConversion"/>
  </si>
  <si>
    <t>Life cycle costing</t>
  </si>
  <si>
    <t>Man 13</t>
  </si>
  <si>
    <t>Man 14</t>
  </si>
  <si>
    <t>Learning Resources</t>
  </si>
  <si>
    <t>Life Cycle Costing</t>
  </si>
  <si>
    <t>Man - 13</t>
  </si>
  <si>
    <t>Man - 14</t>
  </si>
  <si>
    <t>IEQ - 5</t>
  </si>
  <si>
    <t>IEQ - 7</t>
  </si>
  <si>
    <t>IEQ - 8</t>
  </si>
  <si>
    <t>Ene - 4</t>
  </si>
  <si>
    <t>Ene - 11</t>
  </si>
  <si>
    <t>WEEKEND &amp; EVENING SERVICES</t>
  </si>
  <si>
    <t>Weekend&amp;evening Score</t>
  </si>
  <si>
    <t>1 point available for Weekend/evening service</t>
  </si>
  <si>
    <t>Tra - 5</t>
  </si>
  <si>
    <t>Mat - 13</t>
  </si>
  <si>
    <t>Eco - 8</t>
  </si>
  <si>
    <t>Comments to appear in energy tab for compliance / non-compliance</t>
  </si>
  <si>
    <t>If compliance achieved:</t>
  </si>
  <si>
    <t>If compliance NOT achieved</t>
  </si>
  <si>
    <t>If Compliance Route 2 is not applicable due to building exceeding size limits</t>
  </si>
  <si>
    <t>Total Building GFA</t>
  </si>
  <si>
    <t>Eco-8</t>
  </si>
  <si>
    <t>Mat-11</t>
  </si>
  <si>
    <t>Local Sourcing</t>
  </si>
  <si>
    <t>To encourage and recognise the environmental advantages gained, in the form of reduced transportation emissions, by using materials and products that are sourced within close proximity to the site.</t>
  </si>
  <si>
    <t>Mat - 11</t>
  </si>
  <si>
    <t>Wat-9</t>
  </si>
  <si>
    <t>IEQ-23</t>
  </si>
  <si>
    <t>IEQ - 23</t>
  </si>
  <si>
    <t>IEQ-10</t>
  </si>
  <si>
    <t>Individual Comfort Control</t>
  </si>
  <si>
    <t>IEQ-18</t>
  </si>
  <si>
    <t>IEQ-19</t>
  </si>
  <si>
    <t>IEQ-20</t>
  </si>
  <si>
    <t>IEQ-21</t>
  </si>
  <si>
    <t>IEQ-22</t>
  </si>
  <si>
    <t>Places of Respite and Connection to Nature</t>
  </si>
  <si>
    <t>Private Outdoor Space</t>
  </si>
  <si>
    <t>Kitchen Extract</t>
  </si>
  <si>
    <t>Carbon Monoxide Monitoring &amp; Control</t>
  </si>
  <si>
    <t>Universal Access</t>
  </si>
  <si>
    <t>Ene-3</t>
  </si>
  <si>
    <t>Lighting Power Density</t>
  </si>
  <si>
    <t>Ene-7</t>
  </si>
  <si>
    <t>Ene-8</t>
  </si>
  <si>
    <t>Ene-9</t>
  </si>
  <si>
    <t>Ene-10</t>
  </si>
  <si>
    <t>Hot Water Energy Usage</t>
  </si>
  <si>
    <t>Common Property Services Energy Use</t>
  </si>
  <si>
    <t>Renewable Energy Generation</t>
  </si>
  <si>
    <t>Energy Efficient Aplliances</t>
  </si>
  <si>
    <t>Wat-6</t>
  </si>
  <si>
    <t>Wat-7</t>
  </si>
  <si>
    <t>Wat-8</t>
  </si>
  <si>
    <t>Car Wash Facility &amp; Refuse Yard Wash Equipment</t>
  </si>
  <si>
    <t>Potable Water Efficient Appliances</t>
  </si>
  <si>
    <t>Swimming Pool / Spa Water Efficiency</t>
  </si>
  <si>
    <t>Mat-12</t>
  </si>
  <si>
    <t>Efficient Dwelling Size</t>
  </si>
  <si>
    <t>Eco-6</t>
  </si>
  <si>
    <t>Eco-7</t>
  </si>
  <si>
    <t>Outdoor Communal Facilities</t>
  </si>
  <si>
    <t>Non-Invasive and Indigenous Plants</t>
  </si>
  <si>
    <t>Kitchen Exhaust Emissions</t>
  </si>
  <si>
    <t>Man 15</t>
  </si>
  <si>
    <t>Maintainability</t>
  </si>
  <si>
    <t>To encourage and recognise building design that facilitates ongoing maintenance, and minimises the need for ongoing building maintenance throughout a building's lifecycle.</t>
  </si>
  <si>
    <t>Man - 15</t>
  </si>
  <si>
    <t xml:space="preserve">    for details.</t>
  </si>
  <si>
    <t>Green Star SA - Public Building Design</t>
  </si>
  <si>
    <t>Green Star SA - Public Building As Built</t>
  </si>
  <si>
    <t>Project Teams are to refer to the Green Star SA Public Building PILOT Technical Manual for explicit credit criteria and documentation requirements.</t>
  </si>
  <si>
    <t>To encourage and recognise commissioning initiatives that ensure optimum occupant comfort as well as energy and water efficient services performance throughout the year.</t>
  </si>
  <si>
    <t>Masonry</t>
  </si>
  <si>
    <t>Weekday points</t>
  </si>
  <si>
    <t>TOTAL POINTS =</t>
  </si>
  <si>
    <t>Common Space Types</t>
  </si>
  <si>
    <t>Uncommon Space Types</t>
  </si>
  <si>
    <t>Cellular office</t>
  </si>
  <si>
    <t>Changing facilities</t>
  </si>
  <si>
    <t>Circulation area (corridors and stairways) - non public</t>
  </si>
  <si>
    <t>Common room/staff room/lounge</t>
  </si>
  <si>
    <t>Eating/drinking</t>
  </si>
  <si>
    <t>Food preparation</t>
  </si>
  <si>
    <t>Hall/lecture theatre/assembly</t>
  </si>
  <si>
    <t>High density IT work space</t>
  </si>
  <si>
    <t>IT equipment</t>
  </si>
  <si>
    <t>Meeting room</t>
  </si>
  <si>
    <t>Open plan office</t>
  </si>
  <si>
    <t>Plant room</t>
  </si>
  <si>
    <t>Public circulation</t>
  </si>
  <si>
    <t>Reception</t>
  </si>
  <si>
    <t>Storage</t>
  </si>
  <si>
    <t>Tea Kitchen</t>
  </si>
  <si>
    <t>Toilet</t>
  </si>
  <si>
    <t>Internal Covered Vehicle Parking Area (B1, ground and above ground)</t>
  </si>
  <si>
    <t>Sub-basement Vehicle Parking Area (B2 and below)</t>
  </si>
  <si>
    <t>Baggage Reclaim</t>
  </si>
  <si>
    <t>Cell (police/prison)</t>
  </si>
  <si>
    <t>Check in</t>
  </si>
  <si>
    <t>Classroom</t>
  </si>
  <si>
    <t>Consulting room</t>
  </si>
  <si>
    <t>Display</t>
  </si>
  <si>
    <t>Dry sports hall</t>
  </si>
  <si>
    <t>Fitness Studio</t>
  </si>
  <si>
    <t>Fitness suite/gym</t>
  </si>
  <si>
    <t>Ice rink</t>
  </si>
  <si>
    <t>Laboratory</t>
  </si>
  <si>
    <t>Laundry</t>
  </si>
  <si>
    <t>Performance area (stage)</t>
  </si>
  <si>
    <t>Sales area - chilled</t>
  </si>
  <si>
    <t>Sales area - general</t>
  </si>
  <si>
    <t>Security check</t>
  </si>
  <si>
    <t>Storage area - chilled</t>
  </si>
  <si>
    <t>Storage area - cold room (&lt;0degC)</t>
  </si>
  <si>
    <t>Swimming pool</t>
  </si>
  <si>
    <t>Workshop - small scale</t>
  </si>
  <si>
    <t>Conditioned Area</t>
  </si>
  <si>
    <t>Mechanically Ventilated Area</t>
  </si>
  <si>
    <t>Naturally Ventilated Area</t>
  </si>
  <si>
    <t>Breakdown of building areas that support the primary function of the building:</t>
  </si>
  <si>
    <t>The breakdown of building areas per space types below must support the primary function of the building and is used in the energy and lighting calculators in this tool</t>
  </si>
  <si>
    <t>Total Building Gross Floor Area (GFA) in m² excluding car parks and external areas: (i)</t>
  </si>
  <si>
    <t>Subtotal of spaces supporting the primary function in m² excluding car parks and external areas(ii)</t>
  </si>
  <si>
    <t>Lighting operating hours and load</t>
  </si>
  <si>
    <r>
      <t xml:space="preserve">Route 2 - ASHRAE </t>
    </r>
    <r>
      <rPr>
        <b/>
        <i/>
        <sz val="13"/>
        <color indexed="9"/>
        <rFont val="Arial"/>
        <family val="2"/>
      </rPr>
      <t>Advanced Energy Design Guide for Small Office Buildings:</t>
    </r>
    <r>
      <rPr>
        <b/>
        <sz val="13"/>
        <color indexed="9"/>
        <rFont val="Arial"/>
        <family val="2"/>
      </rPr>
      <t xml:space="preserve"> 'deemed to satisfy' route has been met?</t>
    </r>
  </si>
  <si>
    <r>
      <t xml:space="preserve">If parts or all of the Building is Naturally Ventilated, is thermal comfort criteria met for those spaces? </t>
    </r>
    <r>
      <rPr>
        <sz val="10"/>
        <color indexed="9"/>
        <rFont val="Arial"/>
        <family val="2"/>
      </rPr>
      <t>(Thermal comfort requirements need to be met to accept this as an option - refer to the Technical Manual for details)</t>
    </r>
  </si>
  <si>
    <t>A - Basic control</t>
  </si>
  <si>
    <t>C - Occupancy sensing</t>
  </si>
  <si>
    <t>D - Modelled</t>
  </si>
  <si>
    <t>B - Local control</t>
  </si>
  <si>
    <t>After hours</t>
  </si>
  <si>
    <t>Hr/an</t>
  </si>
  <si>
    <t>Percentage lighting left on after hours for option A (normal practice type building)</t>
  </si>
  <si>
    <t>Lighting Hours Taken from NCM Schedules</t>
  </si>
  <si>
    <t>Additional lighting hours left on after hours for opt A</t>
  </si>
  <si>
    <t>Results of Loookup formula</t>
  </si>
  <si>
    <t>To encourage and recognise integrated planning and shared land use in developments through the provision of on-site outdoor facilities for use by the local community</t>
  </si>
  <si>
    <t>Building Users' Guide</t>
  </si>
  <si>
    <t>To encourage and recognise sustainability initiatives implemented in the development as learning resources for building users and visitors</t>
  </si>
  <si>
    <t>To encourage and recognise the reduction of embodied energy and resource depletion associated with a reduction of virgin material in masonry units.</t>
  </si>
  <si>
    <t>© 2011 Green Building Council of South Africa.  All rights reserved.</t>
  </si>
  <si>
    <t xml:space="preserve">Up to two points can be awarded for an innovation initiative where:
• The initiative is a technology or process that is considered a ‘first’ in South Africa or in the world; 
OR 
• The project substantially contributes to the broader market transformation towards sustainable development in South Africa or in the world.
Points for this credit are allocated as follows:
• One point is awarded when either of the above is true for the South African market; and
• Two points are awarded when either of the above is true for the global market.
Up to five innovation initiatives can be awarded points under this credit, but no individual initiative can achieve more than two points in this credit. Qualifying initiatives may achieve additional points in other Innovation credits; however, the maximum points available for any one building assessment under Inn-1, Inn-2 and Inn-3 is five (in total). </t>
  </si>
  <si>
    <t xml:space="preserve">Up to two points can be awarded for an innovation initiative where there has been a substantial improvement on an existing Green Star SA credit, as follows:
• One point for a solution that results in the elimination of the specific negative environmental impact of the project targeted by an existing credit; and
• Two points for a solution that results in a substantial (e.g. 5% or greater above ‘neutral’) restorative environmental impact targeted by an existing credit.
Up to five innovation initiatives can be awarded points under this credit, but no individual initiative can achieve more than two points in this credit. Qualifying initiatives may achieve additional points in other Innovation credits; however, the maximum points available for any one building assessment under Inn-1, Inn-2 and Inn-3 is five (in total). </t>
  </si>
  <si>
    <t xml:space="preserve">One point can be awarded where:
• An initiative in the project viably addresses a valid environmental concern outside of the current scope of this Green Star SA tool.
Up to five innovation initiatives can be awarded points under this credit, but no individual initiative can achieve more than one point in this credit. Qualifying initiatives may achieve additional points in other Innovation credits; however, the maximum points available for any one building assessment under Inn-1, Inn-2 and Inn-3 is five (in total). </t>
  </si>
  <si>
    <t>Emi-10</t>
  </si>
  <si>
    <t>• Is not located within the required buffer zones of watercourses:
- The project development footprint must not fall within the 100 year floodplain unless the project is a refurbishment that remains within the existing development footprint..
- Watercourses of ‘high ecological value’: A project’s development footprint can be located on land within a 100 metre buffer of a watercourse of ‘high ecological value’ only if the building is a refurbishment that remains within the existing development footprint, where the existing hardscape footprint is not exceeded and the Watercourse Protection Measures (outlined below) have been completed.; or
 - Watercourses NOT of ‘high ecological value’: A project’s development footprint can be located on land within 100 metres of a watercourse that is NOT of ‘high ecological value’ only if the Watercourse Protection Measures (outlined below) have been completed.</t>
  </si>
  <si>
    <t>Common Space Types - Public &amp; Education Buildings</t>
  </si>
  <si>
    <t>Specialised Space Types - Public &amp; Education Buildings</t>
  </si>
  <si>
    <t xml:space="preserve">2. Refer to Green Star SA - Public &amp; Education Building v1 Energy Calculator Protocol </t>
  </si>
  <si>
    <t>calculate for Public &amp; Education Building GFA (notional &amp; actual building)</t>
  </si>
  <si>
    <t>3. Where the results are not modelled, select a schedule in the drop down menu. Please refer to the Green Star SA - Public &amp; Education Building Energy Calculator Guide</t>
  </si>
  <si>
    <t>The weighting factors and score matrix to be calibrated using assessments of different Public &amp; Education Building locations</t>
  </si>
  <si>
    <t>Green Star SA</t>
  </si>
  <si>
    <t>Calculation result</t>
  </si>
  <si>
    <t>Heading (units)</t>
  </si>
  <si>
    <t>Input</t>
  </si>
  <si>
    <t>unit</t>
  </si>
  <si>
    <t>Links / Constants</t>
  </si>
  <si>
    <t>Heat Rejection</t>
  </si>
  <si>
    <t>Local calculations</t>
  </si>
  <si>
    <t>Main page row heading</t>
  </si>
  <si>
    <t>Number of rainy days</t>
  </si>
  <si>
    <t>Number of days in month</t>
  </si>
  <si>
    <t>Building Information Inputs</t>
  </si>
  <si>
    <t>Interval between rainy days</t>
  </si>
  <si>
    <t>Rain per rainy day</t>
  </si>
  <si>
    <t>GYM PROFILE</t>
  </si>
  <si>
    <t>Occupant Densities</t>
  </si>
  <si>
    <t>Office</t>
  </si>
  <si>
    <t>A1 Community / day centre</t>
  </si>
  <si>
    <t>A1 Restaurant / Public House</t>
  </si>
  <si>
    <t>A2 Sports Centre / Leisure centre</t>
  </si>
  <si>
    <t>A2 Theatres / Cinemas / Music Halls</t>
  </si>
  <si>
    <t>A3 Tertiary Education</t>
  </si>
  <si>
    <t>A3 Primary and Secondary Schools</t>
  </si>
  <si>
    <t>A4 Places of Worship</t>
  </si>
  <si>
    <t>Airport / Public Transport terminal buildings</t>
  </si>
  <si>
    <t>C1 Convention Centre / Exhibition hall</t>
  </si>
  <si>
    <t>C2 Libraries / Museums / Galleries</t>
  </si>
  <si>
    <t>Gym</t>
  </si>
  <si>
    <t>&lt;User Defined&gt;</t>
  </si>
  <si>
    <t>Number of days in week</t>
  </si>
  <si>
    <t>(based on 2010)</t>
  </si>
  <si>
    <t>Total Area</t>
  </si>
  <si>
    <t>&lt;Please select&gt;</t>
  </si>
  <si>
    <t>Total UA accounted for</t>
  </si>
  <si>
    <t># of occupants calculations</t>
  </si>
  <si>
    <t>Person-hours per year calculations</t>
  </si>
  <si>
    <t>Shower usage per year calculations</t>
  </si>
  <si>
    <t>Summary of schedules for calculations</t>
  </si>
  <si>
    <t>Weighted Run-off co-efficient (mm captured per m2 of roof area)</t>
  </si>
  <si>
    <t>Hall / Lecture Theatre</t>
  </si>
  <si>
    <t>Eating / Drinking area</t>
  </si>
  <si>
    <t>School semester</t>
  </si>
  <si>
    <t>Classroom (Tert)</t>
  </si>
  <si>
    <t>Classroom (General)</t>
  </si>
  <si>
    <t>Circulation</t>
  </si>
  <si>
    <t>Fitness suite / Gym</t>
  </si>
  <si>
    <t>&lt;Enter description&gt;</t>
  </si>
  <si>
    <t>Total days in month</t>
  </si>
  <si>
    <t>-</t>
  </si>
  <si>
    <t>Peak days per week</t>
  </si>
  <si>
    <t>Occupancy profile</t>
  </si>
  <si>
    <t>Percentage of occupants with access to showers</t>
  </si>
  <si>
    <t>Maximum design number of occupants</t>
  </si>
  <si>
    <t>Number of days</t>
  </si>
  <si>
    <t>Occupied hours per person per year</t>
  </si>
  <si>
    <t>Total occupied person-hours per year</t>
  </si>
  <si>
    <t>Number of occupants with shower access</t>
  </si>
  <si>
    <t>% of occupants who use shower</t>
  </si>
  <si>
    <t>Shower usage per year</t>
  </si>
  <si>
    <t>Hours per day</t>
  </si>
  <si>
    <t>Max occupancy</t>
  </si>
  <si>
    <t>Collection factor (m3 captured per mm of rain)</t>
  </si>
  <si>
    <t>DEMAND</t>
  </si>
  <si>
    <t># peak days</t>
  </si>
  <si>
    <t>Weekends in month</t>
  </si>
  <si>
    <t>Peak</t>
  </si>
  <si>
    <t>Off-peak</t>
  </si>
  <si>
    <t>Peak day</t>
  </si>
  <si>
    <t>Off-peak day</t>
  </si>
  <si>
    <t>First flush lost per event (m3)</t>
  </si>
  <si>
    <t>Time</t>
  </si>
  <si>
    <t>5 day week</t>
  </si>
  <si>
    <t>Weekdays per year</t>
  </si>
  <si>
    <t>Toilets</t>
  </si>
  <si>
    <t>Indoor taps</t>
  </si>
  <si>
    <t>Showers</t>
  </si>
  <si>
    <t>Swimming Pool</t>
  </si>
  <si>
    <t>Off-Peak</t>
  </si>
  <si>
    <t>6 day week</t>
  </si>
  <si>
    <t>12am - 1am</t>
  </si>
  <si>
    <t>7day week</t>
  </si>
  <si>
    <t>DESIGN YEAR</t>
  </si>
  <si>
    <t>DESIGN RAINFALL YEAR</t>
  </si>
  <si>
    <t>SUPPLY</t>
  </si>
  <si>
    <t>SAVING DUE TO STORAGE</t>
  </si>
  <si>
    <t>STORAGE</t>
  </si>
  <si>
    <t>1am - 2am</t>
  </si>
  <si>
    <t>Nr of weekdays</t>
  </si>
  <si>
    <t>Day</t>
  </si>
  <si>
    <t>Day of week index</t>
  </si>
  <si>
    <t>Weekday</t>
  </si>
  <si>
    <t>Rainy day</t>
  </si>
  <si>
    <t>Actual Design Rainfall (mm)</t>
  </si>
  <si>
    <t>Gross run-off generated (m3)</t>
  </si>
  <si>
    <t>First flush volume lost (m3)</t>
  </si>
  <si>
    <t>Harvested rainwater available (m3)</t>
  </si>
  <si>
    <t>Gross demand</t>
  </si>
  <si>
    <t>Reduction from greywater</t>
  </si>
  <si>
    <t>Net demand</t>
  </si>
  <si>
    <t>Total Supply</t>
  </si>
  <si>
    <t>Total Demand</t>
  </si>
  <si>
    <t>Excess Supply</t>
  </si>
  <si>
    <t>Year 1</t>
  </si>
  <si>
    <t>Year 2</t>
  </si>
  <si>
    <t>Year 3</t>
  </si>
  <si>
    <t>Municipal Water Used</t>
  </si>
  <si>
    <t>2am - 3am</t>
  </si>
  <si>
    <t>3am - 4am</t>
  </si>
  <si>
    <t>4am - 5am</t>
  </si>
  <si>
    <t>5am - 6am</t>
  </si>
  <si>
    <t>6am - 7am</t>
  </si>
  <si>
    <t>7am - 8am</t>
  </si>
  <si>
    <t>8am - 9am</t>
  </si>
  <si>
    <t>9am - 10am</t>
  </si>
  <si>
    <t>10am - 11am</t>
  </si>
  <si>
    <t>11am - 12pm</t>
  </si>
  <si>
    <t>12pm - 1pm</t>
  </si>
  <si>
    <t>1pm - 2pm</t>
  </si>
  <si>
    <t>Zone 2 - Temperate Interior</t>
  </si>
  <si>
    <t>2pm - 3pm</t>
  </si>
  <si>
    <t>3pm - 4pm</t>
  </si>
  <si>
    <t>Average rainfall</t>
  </si>
  <si>
    <t># rainy days</t>
  </si>
  <si>
    <t>vlookup column index</t>
  </si>
  <si>
    <t>4pm - 5pm</t>
  </si>
  <si>
    <t>(mm/month)</t>
  </si>
  <si>
    <t>(days per month)</t>
  </si>
  <si>
    <t>5pm - 6pm</t>
  </si>
  <si>
    <t>6pm - 7pm</t>
  </si>
  <si>
    <t>7pm - 8pm</t>
  </si>
  <si>
    <t>8pm - 9pm</t>
  </si>
  <si>
    <t>9pm - 10pm</t>
  </si>
  <si>
    <t>10pm - 11pm</t>
  </si>
  <si>
    <t>11pm - 12am</t>
  </si>
  <si>
    <t>Daily occupancy (person hours per day)</t>
  </si>
  <si>
    <t>Maximum occupancy</t>
  </si>
  <si>
    <t>December</t>
  </si>
  <si>
    <t>Water Demand</t>
  </si>
  <si>
    <t>WC</t>
  </si>
  <si>
    <t>Person-hours per year</t>
  </si>
  <si>
    <t>Percentage of occupants who use shower</t>
  </si>
  <si>
    <t>% of each type</t>
  </si>
  <si>
    <t>Flow rate (litres/flush)</t>
  </si>
  <si>
    <t>Uses per person-hour</t>
  </si>
  <si>
    <t>Uses per year</t>
  </si>
  <si>
    <t>Duration per use (min)</t>
  </si>
  <si>
    <t>Litres/min</t>
  </si>
  <si>
    <t>Litres per use</t>
  </si>
  <si>
    <t>Demand per year</t>
  </si>
  <si>
    <t>Fitting consumption</t>
  </si>
  <si>
    <t>Uses per day (based on 9.5hr workday)</t>
  </si>
  <si>
    <t>Duration per use (s)</t>
  </si>
  <si>
    <t>Toilet 1</t>
  </si>
  <si>
    <t>n/a</t>
  </si>
  <si>
    <t>Toilet - no urinal (l/flush)</t>
  </si>
  <si>
    <t>Toilet 2</t>
  </si>
  <si>
    <t>Please complete for 100% of fittings</t>
  </si>
  <si>
    <t>Urinal</t>
  </si>
  <si>
    <t>Toilet with urinal (l/flush)</t>
  </si>
  <si>
    <t>No significant gym or cyclist facilities</t>
  </si>
  <si>
    <t>Toilet 3</t>
  </si>
  <si>
    <t>Urinals - autoflush</t>
  </si>
  <si>
    <t>Urinal (l/flush)</t>
  </si>
  <si>
    <t>1 pt for Tra-3</t>
  </si>
  <si>
    <t>Toilet 4</t>
  </si>
  <si>
    <t>Calculated using table below</t>
  </si>
  <si>
    <t>Taps (l/min)</t>
  </si>
  <si>
    <t>2 or 3 pts for Tra-3</t>
  </si>
  <si>
    <t>Toilet usage adjusted accordingly</t>
  </si>
  <si>
    <t>Gym area</t>
  </si>
  <si>
    <t>Manual WHB/Sink tap</t>
  </si>
  <si>
    <t>Timed WHB/Sink tap</t>
  </si>
  <si>
    <t>PIR WHB / Sink tap</t>
  </si>
  <si>
    <t>Are urinals installed in the building?</t>
  </si>
  <si>
    <t>Shower (l/min)</t>
  </si>
  <si>
    <t>0 or 0.03</t>
  </si>
  <si>
    <t>Kitchen</t>
  </si>
  <si>
    <t>Urinal 1</t>
  </si>
  <si>
    <t>Dishwasher</t>
  </si>
  <si>
    <t>Urinal 2</t>
  </si>
  <si>
    <t>Urinal 3</t>
  </si>
  <si>
    <t>Urinal 4</t>
  </si>
  <si>
    <t>Urinals on Auto-timer</t>
  </si>
  <si>
    <t>No. of cisterns</t>
  </si>
  <si>
    <t>Tap input verification - Check that "Controls" were entered, otherwise flowrate is not included in total</t>
  </si>
  <si>
    <t>Flow rate (litres/min)</t>
  </si>
  <si>
    <t>Controls</t>
  </si>
  <si>
    <t>Flow rate entered</t>
  </si>
  <si>
    <t>Controls entered</t>
  </si>
  <si>
    <t>ERROR</t>
  </si>
  <si>
    <t>Indoor tap 1</t>
  </si>
  <si>
    <t>Indoor tap 2</t>
  </si>
  <si>
    <t>Indoor tap 3</t>
  </si>
  <si>
    <t>Indoor tap 4</t>
  </si>
  <si>
    <t>Please specify flow rate and controls for each different indoor tap type</t>
  </si>
  <si>
    <t>Please select expected anticipated shower usage</t>
  </si>
  <si>
    <t>Shower 1</t>
  </si>
  <si>
    <t>Shower 2</t>
  </si>
  <si>
    <t>Shower 3</t>
  </si>
  <si>
    <t>Summary of occupant amenity water consumption</t>
  </si>
  <si>
    <t>(m3 per year)</t>
  </si>
  <si>
    <t>Data Validation</t>
  </si>
  <si>
    <t>Does the building have any non-cooling tower water based heat rejection systems?</t>
  </si>
  <si>
    <t>Drift Co-efficient</t>
  </si>
  <si>
    <t>ASHRAE 2008 HVAC Systems and Equipment S39.11 SI - Cooling Towers (TC 8.6)</t>
  </si>
  <si>
    <t>Air cooled chiller</t>
  </si>
  <si>
    <t>Condenser Water dT</t>
  </si>
  <si>
    <t>Industry standard</t>
  </si>
  <si>
    <t>Please enter cooling tower characteristics.  Refer to the PWC Guide for more details</t>
  </si>
  <si>
    <t>Logical tests</t>
  </si>
  <si>
    <t>Cycles of conentration</t>
  </si>
  <si>
    <t>Eurovent, 9/5, 2nd Edition: 2002, Recommended Code of Practice to Keep Your Cooling System Efficient &amp; Safe</t>
  </si>
  <si>
    <t>Actual cooling towers</t>
  </si>
  <si>
    <t>List of constants</t>
  </si>
  <si>
    <t>Condenser Water dT (oC)</t>
  </si>
  <si>
    <t>Latent heat of vaporisation (kJ/kg)</t>
  </si>
  <si>
    <t>Cycles of concentration</t>
  </si>
  <si>
    <t>Density of water (kg/L)</t>
  </si>
  <si>
    <t>Specific heat of water (kJ/LoC)</t>
  </si>
  <si>
    <t>Evaporation (litres)</t>
  </si>
  <si>
    <t>Drift</t>
  </si>
  <si>
    <t>Bleed (litres)</t>
  </si>
  <si>
    <t>Monthly Make-up water (m3)</t>
  </si>
  <si>
    <t>Monthly make-up water (m3)</t>
  </si>
  <si>
    <t>Non Cooling tower heat rejection water demand (m3/month)</t>
  </si>
  <si>
    <t>Base case water cooled</t>
  </si>
  <si>
    <t>Condenser water flow</t>
  </si>
  <si>
    <t>Drift (litres)</t>
  </si>
  <si>
    <t>Total bleed (m3)</t>
  </si>
  <si>
    <t>Total annual (m3)</t>
  </si>
  <si>
    <t>Summary of Heat rejection water demand</t>
  </si>
  <si>
    <t>(m3)</t>
  </si>
  <si>
    <t>Irrigation Water Demand</t>
  </si>
  <si>
    <t>Landscape Area description</t>
  </si>
  <si>
    <t>Area (m2)</t>
  </si>
  <si>
    <t>Irrigation requirements</t>
  </si>
  <si>
    <t>Irrigation system</t>
  </si>
  <si>
    <t>Microclimate</t>
  </si>
  <si>
    <t>Irrigation System Controls</t>
  </si>
  <si>
    <t>Actual building</t>
  </si>
  <si>
    <t>Notional building</t>
  </si>
  <si>
    <t>Average irrigation application efficiency</t>
  </si>
  <si>
    <t>Landscape 1</t>
  </si>
  <si>
    <t>High</t>
  </si>
  <si>
    <t>Sprinklers - Night</t>
  </si>
  <si>
    <t>Normal</t>
  </si>
  <si>
    <t>Rainwater sensing</t>
  </si>
  <si>
    <t>Landscape area</t>
  </si>
  <si>
    <t>Area</t>
  </si>
  <si>
    <t>Plant water demand (mm/m2/day)</t>
  </si>
  <si>
    <t>Microclimate factor</t>
  </si>
  <si>
    <t>Density factor</t>
  </si>
  <si>
    <t>Irrigation water demand (mm/m2/day)</t>
  </si>
  <si>
    <t>Irrigation application efficiency</t>
  </si>
  <si>
    <t>No controls</t>
  </si>
  <si>
    <t>Seasonal Programmable Timer</t>
  </si>
  <si>
    <t>Irrigation (mm/m2/day)</t>
  </si>
  <si>
    <t>Daily water demand (mm/m2/day)</t>
  </si>
  <si>
    <t>Plant density factor</t>
  </si>
  <si>
    <t>Irrigation requirement</t>
  </si>
  <si>
    <t>Peak established demand</t>
  </si>
  <si>
    <t>Rainfall</t>
  </si>
  <si>
    <t>Landscape 2</t>
  </si>
  <si>
    <t>Medium</t>
  </si>
  <si>
    <t>Subsurface drip (SDI)</t>
  </si>
  <si>
    <t>&lt;please select&gt;</t>
  </si>
  <si>
    <t xml:space="preserve"> </t>
  </si>
  <si>
    <t>Monthly rainfall</t>
  </si>
  <si>
    <t>As actual</t>
  </si>
  <si>
    <t>Landscape 3</t>
  </si>
  <si>
    <t>Dense</t>
  </si>
  <si>
    <t>Xeriscaping</t>
  </si>
  <si>
    <t>Sprinklers - Day</t>
  </si>
  <si>
    <t>Total landscaped areas</t>
  </si>
  <si>
    <t>Exposed - no shade during the day, high temperatures, full wind exposure on all sides</t>
  </si>
  <si>
    <t>Landscape 4</t>
  </si>
  <si>
    <t>Percentage of zone undercover</t>
  </si>
  <si>
    <t>Landscape 5</t>
  </si>
  <si>
    <t>Sparse</t>
  </si>
  <si>
    <t>Low</t>
  </si>
  <si>
    <t>Sprays - Day</t>
  </si>
  <si>
    <t>Peak daily water demand</t>
  </si>
  <si>
    <t>4mm/m2/day</t>
  </si>
  <si>
    <t>Protected - full shade, no direct sun during the day.  High wind protection, shelter on 3 or 4 sides</t>
  </si>
  <si>
    <t>m2</t>
  </si>
  <si>
    <t>Sprays - Night</t>
  </si>
  <si>
    <t>Monthly irrigation schedule</t>
  </si>
  <si>
    <t>Microsprays - Day</t>
  </si>
  <si>
    <t>Summary of Irrigation Water Demand</t>
  </si>
  <si>
    <t>Microsprays - Night</t>
  </si>
  <si>
    <t>Density of vegetation</t>
  </si>
  <si>
    <t>Drip - Bare soil</t>
  </si>
  <si>
    <t>Application efficiency of sprinklers</t>
  </si>
  <si>
    <t>Irrigation Schedule</t>
  </si>
  <si>
    <t>Rainfall (mm/m2/month)</t>
  </si>
  <si>
    <t>Diversity Factor</t>
  </si>
  <si>
    <t>Plant water demand (mm/m2/month)</t>
  </si>
  <si>
    <t>Irrigation requirement (mm/m2/month)</t>
  </si>
  <si>
    <t>Total zone water requirement (m3/month)</t>
  </si>
  <si>
    <t>Plant water demand (m3/month)</t>
  </si>
  <si>
    <t>Drip - Under mulch</t>
  </si>
  <si>
    <t>Hand watering</t>
  </si>
  <si>
    <t>Is there a swimming pool installed at the building?</t>
  </si>
  <si>
    <t>Duration per backwash (min)</t>
  </si>
  <si>
    <t>Net evaporation co-efficient</t>
  </si>
  <si>
    <t>Net Evaporation co-efficient</t>
  </si>
  <si>
    <t>BACKWASH</t>
  </si>
  <si>
    <t>MAIN POOL</t>
  </si>
  <si>
    <t>FILTRATION POOL</t>
  </si>
  <si>
    <t>TOTAL Evaporation Make-up required (m3/month)</t>
  </si>
  <si>
    <t>Pool volume (m3)</t>
  </si>
  <si>
    <t>Backwashes per month</t>
  </si>
  <si>
    <t>Water per backwash (litres)</t>
  </si>
  <si>
    <t>Backwash water per month (m3)</t>
  </si>
  <si>
    <t>Cartridge filter water per month (m3)</t>
  </si>
  <si>
    <t>Total filter water consumption</t>
  </si>
  <si>
    <t>Total Evaporation per month (m3)</t>
  </si>
  <si>
    <t>Available Rain make-up (m3)</t>
  </si>
  <si>
    <t>Evaporation make-up required (m3)</t>
  </si>
  <si>
    <t>Available rainwater make-up (m3)</t>
  </si>
  <si>
    <t>Backwash schedule</t>
  </si>
  <si>
    <t>(Assuming one backwash for every 70hrs of pool operation)</t>
  </si>
  <si>
    <t>Basic controls</t>
  </si>
  <si>
    <t>Filter</t>
  </si>
  <si>
    <t>Sand filter</t>
  </si>
  <si>
    <t>Pump hrs/day</t>
  </si>
  <si>
    <t>Days/year</t>
  </si>
  <si>
    <t>Pump operation Hrs/year</t>
  </si>
  <si>
    <t>Backwash/Cartridge cycles per year</t>
  </si>
  <si>
    <t>Filtration system</t>
  </si>
  <si>
    <t>Evaporation</t>
  </si>
  <si>
    <t>Summer</t>
  </si>
  <si>
    <t>Pump size (l/min)</t>
  </si>
  <si>
    <t>(assume pump can cycle pool volume in 5 hrs)</t>
  </si>
  <si>
    <t>Please select pool filtration system</t>
  </si>
  <si>
    <t>Sand / Sorptive media filter</t>
  </si>
  <si>
    <t>Number of cartridge filters</t>
  </si>
  <si>
    <t>Indoor/outdoor</t>
  </si>
  <si>
    <t>Outdoor</t>
  </si>
  <si>
    <t>Filtration pool area (m2)</t>
  </si>
  <si>
    <t>Spring/Autumn</t>
  </si>
  <si>
    <t>Backwash duration (min)</t>
  </si>
  <si>
    <t>Please enter pool pump flow rate (litres/min)</t>
  </si>
  <si>
    <t>heated/non heated</t>
  </si>
  <si>
    <t>Non-heated</t>
  </si>
  <si>
    <t>Winter</t>
  </si>
  <si>
    <t>Backwashes per year</t>
  </si>
  <si>
    <t>Please select pool filtration controls</t>
  </si>
  <si>
    <t>Advanced Controls</t>
  </si>
  <si>
    <t>Pool  cover</t>
  </si>
  <si>
    <t>Evaporation co-efficients</t>
  </si>
  <si>
    <t>Reference</t>
  </si>
  <si>
    <t>Hrs/year</t>
  </si>
  <si>
    <t>Indoor</t>
  </si>
  <si>
    <t>Reference required</t>
  </si>
  <si>
    <t>Actual Building (m3/year)</t>
  </si>
  <si>
    <t>Notional Building (m3/year)</t>
  </si>
  <si>
    <t>Total filtration consumption (m3/year)</t>
  </si>
  <si>
    <t>Total evaporation consumption (m3/year)</t>
  </si>
  <si>
    <t>Heated</t>
  </si>
  <si>
    <t>Total swimming pool make-up (m3)</t>
  </si>
  <si>
    <t>Pool Cover</t>
  </si>
  <si>
    <t>Daisy Pool Covers, Fact sheet 1 Evaporation, 2005</t>
  </si>
  <si>
    <t>Backwash duration</t>
  </si>
  <si>
    <t>min</t>
  </si>
  <si>
    <t>Main pool input</t>
  </si>
  <si>
    <t>Filtration pool input</t>
  </si>
  <si>
    <t xml:space="preserve">Manual </t>
  </si>
  <si>
    <t>Automatic</t>
  </si>
  <si>
    <t>Cartridge filtration</t>
  </si>
  <si>
    <t>litres</t>
  </si>
  <si>
    <t>Swimmingpool</t>
  </si>
  <si>
    <t>Water consumption per clean</t>
  </si>
  <si>
    <t>Pool blanket</t>
  </si>
  <si>
    <t>Cartridge filter</t>
  </si>
  <si>
    <t>Natural filtration</t>
  </si>
  <si>
    <t>Basic Controls</t>
  </si>
  <si>
    <t>Summary of Water Demands</t>
  </si>
  <si>
    <t>Monthly Breakdown of demand</t>
  </si>
  <si>
    <t>Evaporation &amp; Drift</t>
  </si>
  <si>
    <t>Bleed</t>
  </si>
  <si>
    <t>Sustainable Water</t>
  </si>
  <si>
    <t>Are any building demands being met by non-potable water?</t>
  </si>
  <si>
    <t>Water recycling</t>
  </si>
  <si>
    <t>Indoor Taps</t>
  </si>
  <si>
    <t>Swimming Pool Bachwash</t>
  </si>
  <si>
    <t>Total Greywater Supply (m3/month)</t>
  </si>
  <si>
    <t>Swimming pool make up</t>
  </si>
  <si>
    <t>Total Greywater Demand (m3/month)</t>
  </si>
  <si>
    <t>Total greywater demand reduction (m3/month)</t>
  </si>
  <si>
    <t>Toilet demand reduction by greywater</t>
  </si>
  <si>
    <t>Urinal Demand reduction by greywater</t>
  </si>
  <si>
    <t>Tap demand reduction by greywater</t>
  </si>
  <si>
    <t>Shower demand reduction by greywater</t>
  </si>
  <si>
    <t>HR demand reduction by greywater</t>
  </si>
  <si>
    <t>Irrigation demand reducion by greywater</t>
  </si>
  <si>
    <t>Pool water demand reduction by greywater</t>
  </si>
  <si>
    <t>Greywater harvesting</t>
  </si>
  <si>
    <t>Total consumption (m3/year)</t>
  </si>
  <si>
    <t>Recycled/Not?</t>
  </si>
  <si>
    <t>Recycled water available</t>
  </si>
  <si>
    <t>Rainwater harvesting areas</t>
  </si>
  <si>
    <t>Area [m2]</t>
  </si>
  <si>
    <t>Run-off co-efficient</t>
  </si>
  <si>
    <t>Recycled</t>
  </si>
  <si>
    <t>Flat non-absorbent roof &lt; 30o Pitch</t>
  </si>
  <si>
    <t>Rainwater collection</t>
  </si>
  <si>
    <t>Discharged to sewer</t>
  </si>
  <si>
    <t>Rain day minimimum</t>
  </si>
  <si>
    <t>1mm</t>
  </si>
  <si>
    <t>Run-off co-efficients</t>
  </si>
  <si>
    <t>Heat Rejection Bleed</t>
  </si>
  <si>
    <t>Weighted average co-efficient</t>
  </si>
  <si>
    <t>Rainwater harvesting</t>
  </si>
  <si>
    <t>Steel roof &gt;30o Pitch</t>
  </si>
  <si>
    <t>Swimming Pool backwash</t>
  </si>
  <si>
    <t>Non-absorbent roof&gt;30o Pitch</t>
  </si>
  <si>
    <t>Off-site non potable</t>
  </si>
  <si>
    <t>Flat gravel or turf roof &lt; 30o pitch</t>
  </si>
  <si>
    <t>Supply 1 (m3/month)</t>
  </si>
  <si>
    <t>Supply 2 (m3/month)</t>
  </si>
  <si>
    <t>Total supply (m3/month)</t>
  </si>
  <si>
    <t>Off-site water supply</t>
  </si>
  <si>
    <t>Off-site demand per month</t>
  </si>
  <si>
    <t>Off-site potential for potable demand reduction (m3/year)</t>
  </si>
  <si>
    <t>savings per month</t>
  </si>
  <si>
    <t>Total demand (m3/year)</t>
  </si>
  <si>
    <t>Greywater &amp; Blackwater</t>
  </si>
  <si>
    <t>Actual demand reduction by greywater (m3/year)</t>
  </si>
  <si>
    <t>Maximum demand</t>
  </si>
  <si>
    <t>Actual demand reduction by rainwater (m3/year)</t>
  </si>
  <si>
    <t>Potential savings per year</t>
  </si>
  <si>
    <t>Reduction</t>
  </si>
  <si>
    <t>Points claimed</t>
  </si>
  <si>
    <t>Reduction in discharge to sewer</t>
  </si>
  <si>
    <t>Total Water Demand</t>
  </si>
  <si>
    <t>Discharge to sewer</t>
  </si>
  <si>
    <t>Water reductions from non-potable sources</t>
  </si>
  <si>
    <t>Captured Rainfall</t>
  </si>
  <si>
    <t>Off-site Supply</t>
  </si>
  <si>
    <t>WHB</t>
  </si>
  <si>
    <t>Potable Water demand</t>
  </si>
  <si>
    <t>Reduction vs. Notional Building</t>
  </si>
  <si>
    <t>Swimming Pool Backwash</t>
  </si>
  <si>
    <t>Points Claimed</t>
  </si>
  <si>
    <t>Total Municipal Water Used</t>
  </si>
  <si>
    <t>Potential Saving</t>
  </si>
  <si>
    <t>Diversity Factor for irrigation</t>
  </si>
  <si>
    <t>Precip (mm)</t>
  </si>
  <si>
    <t>Climatic Zone</t>
  </si>
  <si>
    <t>Zone 1 - Cold Interior</t>
  </si>
  <si>
    <t>Zone 3 - Hot Interior</t>
  </si>
  <si>
    <t>Zone 4 - Temperate Coastal</t>
  </si>
  <si>
    <t>Zone 5 - Sub-tropical Coastal</t>
  </si>
  <si>
    <t>Zone 6 - Arid Interior</t>
  </si>
  <si>
    <t>Evapo-Transpiration</t>
  </si>
  <si>
    <t>(mm/m2/day)</t>
  </si>
  <si>
    <t>A-pan Evaporation data</t>
  </si>
  <si>
    <t>For graph</t>
  </si>
  <si>
    <t>Select city</t>
  </si>
  <si>
    <t>Select SANS 204 Climatic Zone</t>
  </si>
  <si>
    <t>Calculations or Links</t>
  </si>
  <si>
    <t>Rainy days per month</t>
  </si>
  <si>
    <t>Not applicable</t>
  </si>
  <si>
    <t>Natural filtration pool</t>
  </si>
  <si>
    <t>Error Checking and quality control</t>
  </si>
  <si>
    <t>Actl other water hr</t>
  </si>
  <si>
    <t>ET0 (mm/m2/day)</t>
  </si>
  <si>
    <t>SANS 204 REGION</t>
  </si>
  <si>
    <t>SANS 204 climatic region</t>
  </si>
  <si>
    <t>Type 1</t>
  </si>
  <si>
    <t>Type 2</t>
  </si>
  <si>
    <t>Type - Manually flushed urinals</t>
  </si>
  <si>
    <t>Notional Building chiller type</t>
  </si>
  <si>
    <t>TOTAL (m2)</t>
  </si>
  <si>
    <t>Pool surface area (excluding filtration pools) (m2)</t>
  </si>
  <si>
    <t>Supply 3 (m3/month)</t>
  </si>
  <si>
    <t>Run-off surface</t>
  </si>
  <si>
    <t>% recaptured for reuse</t>
  </si>
  <si>
    <t>Total recycled water supply (m3 per year)</t>
  </si>
  <si>
    <t>Recycled water - Greywater, blackwater, swimming pool backwash water</t>
  </si>
  <si>
    <t>Percentage of fittings connected to recycled water</t>
  </si>
  <si>
    <r>
      <t xml:space="preserve">Recycled water </t>
    </r>
    <r>
      <rPr>
        <b/>
        <sz val="10"/>
        <color theme="0"/>
        <rFont val="Arial"/>
        <family val="2"/>
      </rPr>
      <t>SUPPLY</t>
    </r>
  </si>
  <si>
    <r>
      <t xml:space="preserve">Recycled water </t>
    </r>
    <r>
      <rPr>
        <b/>
        <sz val="10"/>
        <color theme="0"/>
        <rFont val="Arial"/>
        <family val="2"/>
      </rPr>
      <t>DEMAND</t>
    </r>
  </si>
  <si>
    <r>
      <t xml:space="preserve">Rain water </t>
    </r>
    <r>
      <rPr>
        <b/>
        <sz val="10"/>
        <color theme="0"/>
        <rFont val="Arial"/>
        <family val="2"/>
      </rPr>
      <t>SUPPLY</t>
    </r>
  </si>
  <si>
    <t>Total rainwater supply (m3 per year)</t>
  </si>
  <si>
    <t>Percentage of fittings connected to rainwater</t>
  </si>
  <si>
    <t>Demand reduction due to water recycling (m3/year)</t>
  </si>
  <si>
    <t>Grey</t>
  </si>
  <si>
    <t>Rain</t>
  </si>
  <si>
    <r>
      <t xml:space="preserve">Rain water </t>
    </r>
    <r>
      <rPr>
        <b/>
        <sz val="10"/>
        <color theme="0"/>
        <rFont val="Arial"/>
        <family val="2"/>
      </rPr>
      <t>DEMAND</t>
    </r>
  </si>
  <si>
    <t>Other sustainable water sources</t>
  </si>
  <si>
    <r>
      <t xml:space="preserve">Other sustainable water </t>
    </r>
    <r>
      <rPr>
        <b/>
        <sz val="10"/>
        <color theme="0"/>
        <rFont val="Arial"/>
        <family val="2"/>
      </rPr>
      <t>SUPPLY</t>
    </r>
  </si>
  <si>
    <r>
      <t xml:space="preserve">Other sustainable water </t>
    </r>
    <r>
      <rPr>
        <b/>
        <sz val="10"/>
        <color theme="0"/>
        <rFont val="Arial"/>
        <family val="2"/>
      </rPr>
      <t>DEMAND</t>
    </r>
  </si>
  <si>
    <t>Percentage of fittings connected to other sources</t>
  </si>
  <si>
    <t>Demand reduction due to other sources (m3/year)</t>
  </si>
  <si>
    <t>Select building location</t>
  </si>
  <si>
    <t>SUMMARY</t>
  </si>
  <si>
    <t>Actual Building Predicted Consumtion (m3 / year)</t>
  </si>
  <si>
    <t>Notional Building Predicted Consumption (m3 / year)</t>
  </si>
  <si>
    <t>m3/year</t>
  </si>
  <si>
    <t>Predicted Discharge to Sewer</t>
  </si>
  <si>
    <t>Estimated reduction %</t>
  </si>
  <si>
    <t># of days</t>
  </si>
  <si>
    <t>Recycled water supply</t>
  </si>
  <si>
    <t>Monthly Recycled Water Supply (m3)</t>
  </si>
  <si>
    <t>Elligible Monthly Recycled Water Demand (m3)</t>
  </si>
  <si>
    <t>Actual recycled water demand reductions (m3/month)</t>
  </si>
  <si>
    <t>Off-site supply</t>
  </si>
  <si>
    <t>Stepped sustainable water demand</t>
  </si>
  <si>
    <t>Total area</t>
  </si>
  <si>
    <t>First flush volume (L/m2)</t>
  </si>
  <si>
    <t>Assumptions and Notional Buildinng Benchmarks</t>
  </si>
  <si>
    <t>Medium low</t>
  </si>
  <si>
    <t>Medium high</t>
  </si>
  <si>
    <t>0mm/m2/week</t>
  </si>
  <si>
    <t>7.5mm/m2/week</t>
  </si>
  <si>
    <t>12.5mm/m2/week</t>
  </si>
  <si>
    <t>20mm/m2/week</t>
  </si>
  <si>
    <t>30mm/m2/week</t>
  </si>
  <si>
    <t>40mm/m2/week</t>
  </si>
  <si>
    <t>Consumption (mm/m2/day) (7 day week)</t>
  </si>
  <si>
    <t>DISCHARGE TO SEWER DUE TO WATER CONSUMPTION</t>
  </si>
  <si>
    <t>SEWAGE REDUCTION DUE TO RECYCLING</t>
  </si>
  <si>
    <t>Sewage reduction due to treatment</t>
  </si>
  <si>
    <t>&lt;--From Potable Water Calculator</t>
  </si>
  <si>
    <t>Recycled water (m3/year)</t>
  </si>
  <si>
    <t>To encourage and recognise public building lighting that is not over designed.</t>
  </si>
  <si>
    <t>To encourage and recognise designs that minimise or eliminate energy use for spaces when unoccupied</t>
  </si>
  <si>
    <t>Potable Water</t>
  </si>
  <si>
    <t xml:space="preserve">The following estimated water consumption is based on the data entered in the calculator. The water consumption of the fittings per m2 is based on assumptions of typical building specific usage and does not represent actual water consumption in the building. </t>
  </si>
  <si>
    <t xml:space="preserve">To encourage and recognise the appointment of an Independent Commissioning Agent from project design through to handover.
</t>
  </si>
  <si>
    <t xml:space="preserve">One point is awarded where :
• A suitably qualified or experienced person, not directly involved in the day-to-day project design or implementation, is appointed as ‘Independent Commissioning Agent’ (ICA) by the Building Owner to:
– Provide independent advice on commissioning issues to the Building Owner and the Design Team; 
– Produce input within the design phase covering commissioning of building services; 
– Produce an appropriate guide to commissioning at detailed design stage;
– Introduce commissioning standards and strategies, and monitor and verify the commissioning of all building systems;
– Produce a Commissioning Report summarising the commissioning, major findings and recommendations of the commissioning process; and,
– Where applicable, be involved in the building tuning program.
</t>
  </si>
  <si>
    <t xml:space="preserve">Two points are awarded where:
• A member of the design team is a Green Star SA Accredited Professional and has; 
– Been engaged by the Building Owner to provide green building advice from the schematic design phase through to construction completion; 
AND
– Provided guidance to the project team regarding, or was responsible for, the Green Star SA documentation submission compilation.
</t>
  </si>
  <si>
    <t>To encourage and recognise commissioning and handover initiatives that ensure that all building services can operate to optimal design potential.</t>
  </si>
  <si>
    <t>Up to two points are awarded as follows:
One point is awarded where it is demonstrated that:
• Comprehensive pre-commissioning, commissioning, and quality monitoring are contractually required to be performed for all applicable building services as defined in Table Man 2.1; AND
• The works outlined above are done in exact accordance with CIBSE Commissioning Codes. Alternatively, ASHRAE Commissioning Guideline 1-1996  - The HVAC Commissioning Process can be used for the mechanical services (only).</t>
  </si>
  <si>
    <t xml:space="preserve">An additional point is awarded where it is demonstrated that:
• The point above is achieved; AND
• The Design Team and Contractor transfer ‘Project Knowledge’ to the building Owner/Manager through the provision of the following:
– Documented design intent;
– As Built drawings (complete set);
– Operations and Maintenance (O&amp;M) Manual;
– Commissioning Report(s), in accordance with the Additional Guidance; and
– Training of building management staff, in accordance with the Additional Guidance.
</t>
  </si>
  <si>
    <t xml:space="preserve">One point is awarded where:
• A simple and easy-to-read ‘Building Users’ Guide’, which includes information relevant for the building users, occupants and tenants’ representatives, is developed;
AND
• The Building Users’ Guide, at a minimum, contains the sections and information in accordance with the Additional Guidance. 
</t>
  </si>
  <si>
    <t xml:space="preserve">One point is awarded where:
• The Contractor has valid ISO14001 Environmental Management System (EMS) accreditation throughout the construction phase of the project (i.e. from construction commencement to practical completion); 
AND
• All Sub-Contractors relevant to the project and engaged by the Contractor, adhere to all applicable ISO14001 requirements.
</t>
  </si>
  <si>
    <t>To encourage and recognise management practices that minimise the amount of demolition and construction waste going to disposal.</t>
  </si>
  <si>
    <t xml:space="preserve">Up to three points are awarded where:
• The Contractor develops and implements a Waste Management Plan (WMP) throughout the construction phase of the project (i.e. from construction commencement to practical completion);
AND
• The Contractor retains waste records and issues quarterly reports to the Building Owner; 
AND
• The Contractor diverts a minimum percentage (by mass) of all demolition and construction waste for reuse or recycling, awarded as follows:  
– 30% for one point; 
– 50% for two points; 
– 70% for three points.
</t>
  </si>
  <si>
    <t xml:space="preserve">One point is awarded where:
• A Building Management System (BMS) is integrated into the building with functionality to:
– Monitor and report on energy and water consumption; and
– Monitor and control building services systems.
</t>
  </si>
  <si>
    <t xml:space="preserve">One point is awarded where:
• Within the building or the broader site , the following ‘Learning Resources’ are provided for building occupants and visitors:
– A minimum of one sustainability initiative related to a Green Star SA Public Building Energy Credit is described and displayed, and the resulting energy use and greenhouse gas emissions are continuously presented;
AND
– A minimum of one sustainability initiative related to a Green Star SA Public Building Water Credit is described and displayed, and the resulting potable water savings are continuously presented;
AND
– A minimum of one sustainability initiative, related to a Green Star SA Public &amp; Education Building Credit and not related to energy and water, and the resulting benefit(s) are described and displayed.
Further guidance, definitions and examples are provided in the Additional Guidance section.
</t>
  </si>
  <si>
    <t>To recognise and encourage the development of a Life Cycle Cost (LCC) analysis to consider environmentally sustainable attributes in assessing improved design, specification and through-life maintenance and operation.</t>
  </si>
  <si>
    <t xml:space="preserve">One point is awarded where:
• A life cycle cost (LCC) analysis has been carried out during the concept design/design development stages covering construction, operations, maintenance, and end of life; 
AND 
• The LCC analysis is in accordance with the Additional Guidance and covers at least one of the following building elements;
– Building structure; 
– Envelope;
– Services; and/or,
– Finishes.  
AND
• The LCC analysis considers environmentally preferable alternative options for the building element(s) examined;
AND
• It is demonstrated that the lowest discounted LCC option was considered in the selection criteria, if not incorporated in the design. Where not incorporated, the reasons for the decision to not incorporate the lowest LCC option must be justified.
</t>
  </si>
  <si>
    <t xml:space="preserve">One point is awarded where:
• At both preliminary and final design stages, a design review is completed that:
– Is undertaken by the person responsible for the facility’s maintenance, or a suitably qualified maintenance staff member, or an independent qualified facilities/maintenance manager;
AND
– Each review considers the design with respect to plant access, on-going maintenance and cleaning of building services, internal building surfaces and external building features.
AND 
• A Building Maintenance Guide, providing detailed guidance on accessing and maintaining both the building’s services and fabric, is developed by the Design Team and made available to the Building Owner or Manager.
</t>
  </si>
  <si>
    <r>
      <t xml:space="preserve">One point is awarded where:
</t>
    </r>
    <r>
      <rPr>
        <b/>
        <sz val="10"/>
        <rFont val="Arial"/>
        <family val="2"/>
      </rPr>
      <t>During construction</t>
    </r>
    <r>
      <rPr>
        <sz val="10"/>
        <rFont val="Arial"/>
        <family val="2"/>
      </rPr>
      <t xml:space="preserve"> -
• All topsoil impacted is separated and protected from degradation, erosion or mixing with fill or waste;
AND
</t>
    </r>
    <r>
      <rPr>
        <b/>
        <sz val="10"/>
        <rFont val="Arial"/>
        <family val="2"/>
      </rPr>
      <t>At project completion</t>
    </r>
    <r>
      <rPr>
        <sz val="10"/>
        <rFont val="Arial"/>
        <family val="2"/>
      </rPr>
      <t xml:space="preserve"> -
• At least 75% (by volume after excavation) of all protected topsoil remains on site;
AND
• Protected topsoil retained is spread over impacted areas to a minimum depth of 200mm and a maximum depth of 600mm; 
AND
• Any remaining protected topsoil is transported to the nearest land holding of the same soil classification that requires rehabilitation and is deposited under the supervision of an ecologist; 
Where no topsoil existed on the site at the time of site purchase, or no topsoil was impacted by the construction works, this credit is ‘Not Applicable’ and is excluded from the points available, used calculate the Land Use &amp; Ecology Category score
</t>
    </r>
  </si>
  <si>
    <t xml:space="preserve">Two points are available as follows:
One point is awarded where: 
• The project is a refurbishment, redevelopment or a building extension (within the same site); 
An additional point is awarded where: 
• The point above is achieved;
AND
• The project site is located within a municipally approved urban edge.
</t>
  </si>
  <si>
    <t xml:space="preserve">Two points are awarded where:
• The site was contaminated at the time of purchase;
AND
• The developer has undertaken full remedial steps to decontaminate the site prior to construction, in accordance with the National and Provincial legislation and standards.
This credit is ‘Not Applicable’ for projects that are refurbishments or building extensions, and is excluded from the points available, used to calculate the Land Use &amp; Ecology category score
</t>
  </si>
  <si>
    <t xml:space="preserve">One point is awarded where:
• A comprehensive hazardous material survey has been carried out on the project site, as defined by the South African Occupational Health and Safety Act (OH&amp;S); 
AND
• Wherever asbestos, lead or polychlorinated biphenyls (PCBs) were found, they have been removed in accordance with the standards listed under Table IEQ-11.1.
Where no buildings or structures existed at the time of site purchase, or for refurbishments or redevelopments where none of the above hazardous materials were found, this credit is ‘Not Applicable’ and is excluded from the points available, used to calculate the Indoor Environment Quality Category score. 
</t>
  </si>
  <si>
    <r>
      <t xml:space="preserve">Adhesives and Sealants
</t>
    </r>
    <r>
      <rPr>
        <sz val="10"/>
        <rFont val="Arial"/>
        <family val="2"/>
      </rPr>
      <t>One point is awarded where:
• At least 95% of all adhesives and sealants within the Nominated Area meet the TVOC Content Limits outlined in Table IEQ-13.2;
OR
• No adhesives or sealants are used within the Nominated Area.</t>
    </r>
  </si>
  <si>
    <r>
      <t xml:space="preserve">Carpets &amp; Floor Coverings
</t>
    </r>
    <r>
      <rPr>
        <sz val="10"/>
        <rFont val="Arial"/>
        <family val="2"/>
      </rPr>
      <t>One point is awarded where:
• At least 95% of all carpets and floor coverings within the Nominated Area meet the TVOC emissions limits outlined in Table IEQ-13.3.
Where no carpet or floor covering is installed in the Nominated Area, the carpet and floor coverings point is ‘Not Applicable’ and is excluded from the Points Available, used to calculate the IEQ category score.
For the purpose of this credit, 'nominated areas' are all internal areas. Refer to Additional Guidance for further guidance.</t>
    </r>
  </si>
  <si>
    <t>One point is awarded where: 
• All composite wood products used within the Nominated Area, either:
– Comply with the formaldehyde emission limits in Table IEQ-14.1;
OR
– Contain zero formaldehyde. 
Where no composite wood products are used within the Nominated Area, this credit is ‘Not Applicable’ and is excluded from the points available, used to calculate the Indoor Environment Quality category score.
For the purpose of this credit, 'nominated areas' are all internal areas. Refer to Additional Guidance for further guidance.</t>
  </si>
  <si>
    <t xml:space="preserve">Up to twelve points are awarded for building water efficiency, assessed using the Green Star SA - Public &amp; Education Building Potable Water Calculator
</t>
  </si>
  <si>
    <r>
      <t>Three points are awarded as follows:
One point is awarded where it is demonstrated that: 
•  Water meters are installed for all major water uses in the development.</t>
    </r>
    <r>
      <rPr>
        <sz val="10"/>
        <color indexed="8"/>
        <rFont val="Arial"/>
        <family val="2"/>
      </rPr>
      <t xml:space="preserve">
</t>
    </r>
  </si>
  <si>
    <t xml:space="preserve">Two additional points are awarded where it is demonstrated that:
•  The first point is achieved;
•  There is an effective automated mechanism for monitoring water consumption data, which is able to perform as a leak detection system; AND
 •  A automated metering strategy is developed for the project. 
OR
</t>
  </si>
  <si>
    <t xml:space="preserve">One additional point is awareded where it is demonstrated that:
• The first point is achieved;
• For each toilet/amenity area in the building, the water supply  is provided with;
– Solenoid control valve(s) for automatic shut-off; AND
– Supply to the toilet/amenity area is automatically controlled by occupancy sensors within each toilet/amenity area. 
</t>
  </si>
  <si>
    <r>
      <rPr>
        <sz val="10"/>
        <rFont val="Arial"/>
        <family val="2"/>
      </rPr>
      <t xml:space="preserve">Up to three points are awarded where:
</t>
    </r>
    <r>
      <rPr>
        <b/>
        <sz val="10"/>
        <rFont val="Arial"/>
        <family val="2"/>
      </rPr>
      <t>Waste and Recycling Management Plan</t>
    </r>
    <r>
      <rPr>
        <sz val="10"/>
        <rFont val="Arial"/>
        <family val="2"/>
      </rPr>
      <t xml:space="preserve">
• One point is awarded where a comprehensive Waste &amp; Recycling Management Plan is developed for the building to reduce operational waste and increase recycling.</t>
    </r>
    <r>
      <rPr>
        <sz val="10"/>
        <color rgb="FFFF0000"/>
        <rFont val="Arial"/>
        <family val="2"/>
      </rPr>
      <t xml:space="preserve">
</t>
    </r>
  </si>
  <si>
    <r>
      <rPr>
        <b/>
        <sz val="10"/>
        <rFont val="Arial"/>
        <family val="2"/>
      </rPr>
      <t xml:space="preserve">Recycling Storage Space
</t>
    </r>
    <r>
      <rPr>
        <sz val="10"/>
        <rFont val="Arial"/>
        <family val="2"/>
      </rPr>
      <t xml:space="preserve">• Additional 2 points are awarded where a dedicated storage area for the separation and collection of recyclables is provided; 
AND 
• Is sufficiently sized to handle the collection and sorting of all waste streams for the following recyclables as a minimum:
- Cardboard;  
- Paper Products;
- Glass;  
- Plastics;
- Metals; and 
- Where kitchens are present, grease, used cooking oil, and organic compost material.  </t>
    </r>
  </si>
  <si>
    <t>Five points are available as follows:
Two points are awarded where: 
• It is demonstrated that at least 50% (by area) of the total façade of the final building(s), comprises building façade reused from the existing building(s) and/or structure(s).
Up to three points are awarded where:
• The minimum proportion of the existing major structure, by gross building volume, is reused within the final building(s), awarded as follows:
– 30% reuse for one point; 
OR
– 60% reuse for two points; 
OR
– 90% reuse for three points.
Where the site contained no building(s) or structure(s) at the time of purchase, or the total GFA of the existing building(s) or structure(s) is less than 20% of the final building GFA, this credit is ‘Not Applicable’ and is excluded from the points available, used to calculate the Materials category score.</t>
  </si>
  <si>
    <t xml:space="preserve">Up to three points are awarded as follows:
One point is awarded where: 
• For a predominantly structural steel building:
– The average post-consumer recycled content of the structural steel is at least 24% (by mass);
OR 
– At least 60% (by mass) of the structural steel, is reused.
OR
• For a predominantly reinforced concrete or structural masonry building;
– The average post-consumer recycled content of the steel reinforcing is at least 54% (by mass)
</t>
  </si>
  <si>
    <t>An additional two points are awarded where:
• The point above is achieved;
AND
• The total of all applicable steel uses in the development (total of structural steel, steel reinforcing and applicable steel products) consists of;
– At least 54% (by mass) post-consumer recycled content;
OR
– At least 90% (by mass) reused steel.
If the material cost of new steel represents less than 1% of the project’s contract value, this credit is ‘Not Applicable’ and is excluded from the points available, used to calculate the Materials category score.</t>
  </si>
  <si>
    <t>Timber</t>
  </si>
  <si>
    <t>One point is awarded where:
• 50% (by area) of the structural framing, roofing, and façade cladding systems are designed for disassembly. 
OR 
• 95% of the total façade is designed for disassembly.
If the material cost of the structural framing, roofing, and façade cladding systems represent less than 1% of the project’s contract value, this credit is ‘Not Applicable’ and is excluded from the Points Available, used to calculate the Materials category score.</t>
  </si>
  <si>
    <t>One point is awarded where;
• The building’s structural requirements and integrity have been achieved, without changing the load path to other structural components, using;
– 20% less structural steel (by mass) than in a structure with conventional steel framing;
OR 
– 20% less concrete and reinforcing/stressing steel (by mass) than in a structure with conventional reinforced concrete framing;
OR 
– 20% less timber (by volume) than in a structure with conventional timber framing, 
OR</t>
  </si>
  <si>
    <r>
      <t xml:space="preserve">• Where any two of the dematerialisation initiatives below are demonstrated:
</t>
    </r>
    <r>
      <rPr>
        <b/>
        <sz val="10"/>
        <rFont val="Arial"/>
        <family val="2"/>
      </rPr>
      <t xml:space="preserve">Structure  </t>
    </r>
    <r>
      <rPr>
        <sz val="10"/>
        <rFont val="Arial"/>
        <family val="2"/>
      </rPr>
      <t xml:space="preserve">
Where it is demonstrated that, without changing the load path to other structural components, the building’s structural requirements and integrity have been achieved using;
– 10% less structural steel (by mass); OR
– 10% less concrete and reinforcing/stressing steel (by mass);OR 
– 10% less timber (by volume) than in a structure with conventional steel, concrete or timber framing. </t>
    </r>
  </si>
  <si>
    <r>
      <rPr>
        <b/>
        <sz val="10"/>
        <rFont val="Arial"/>
        <family val="2"/>
      </rPr>
      <t>Ductwork</t>
    </r>
    <r>
      <rPr>
        <sz val="10"/>
        <rFont val="Arial"/>
        <family val="2"/>
      </rPr>
      <t xml:space="preserve">
- The building is fully naturally ventilated; OR
- The requirement for ductwork has been reduced by 95%.</t>
    </r>
  </si>
  <si>
    <r>
      <rPr>
        <b/>
        <sz val="10"/>
        <rFont val="Arial"/>
        <family val="2"/>
      </rPr>
      <t>Finishes</t>
    </r>
    <r>
      <rPr>
        <sz val="10"/>
        <rFont val="Arial"/>
        <family val="2"/>
      </rPr>
      <t xml:space="preserve">
- 95% of all base building floor material is exposed structure with no covering (e.g. exposed sealed concrete floor); OR
- 95% of all base building ceiling is exposed structure (and services, where relevant) with no cladding (e.g. exposed concrete ceiling). </t>
    </r>
  </si>
  <si>
    <r>
      <rPr>
        <b/>
        <sz val="10"/>
        <rFont val="Arial"/>
        <family val="2"/>
      </rPr>
      <t>Cladding</t>
    </r>
    <r>
      <rPr>
        <sz val="10"/>
        <rFont val="Arial"/>
        <family val="2"/>
      </rPr>
      <t xml:space="preserve">
- 25% of the roof cladding area has a dual function (e.g. roof garden substrate or photovoltaic shingles serve as cladding); OR
- 25% of the façade cladding area has a dual function (e.g. photovoltaic panels serve as cladding).</t>
    </r>
  </si>
  <si>
    <r>
      <rPr>
        <b/>
        <sz val="10"/>
        <rFont val="Arial"/>
        <family val="2"/>
      </rPr>
      <t>Piping</t>
    </r>
    <r>
      <rPr>
        <sz val="10"/>
        <rFont val="Arial"/>
        <family val="2"/>
      </rPr>
      <t xml:space="preserve">
- No supply piping is used for urinals (i.e. all urinals are waterfree); OR 
- No supply piping is used for toilets (i.e. all toilets are waterfree); OR
- Mass of underground piping is reduced by 25% for the same functional requirement and material.</t>
    </r>
  </si>
  <si>
    <t>Up to two points are awarded independently as follows:
One point is awarded where:  
• 20% of the project’s total contract value is represented by materials or products that have been sourced from within 400km of the site; AND
• Are fully compliant with the material and product requirements below. 
One point is awarded where:  
• 10% of the project’s total contract value is represented by materials or products that have been sourced from within 50km of the site;AND
• Are fully compliant with the material and product requirements below.
Eligible materials and/or products must satisfy the following requirements:
• Are permanently installed on the project site; AND
• Be extracted, harvested, processed and manufactured within the applicable radii.</t>
  </si>
  <si>
    <r>
      <t xml:space="preserve">Up to two points are awarded where: 
• The minimum percentage (by area) of all applicable masonry units where any combination of the following strategies are used, is awarded as follows;
– 50% (by area) for one point; OR
– 80% (by area) for two points.
</t>
    </r>
    <r>
      <rPr>
        <b/>
        <sz val="10"/>
        <rFont val="Arial"/>
        <family val="2"/>
      </rPr>
      <t xml:space="preserve">
Clay bricks</t>
    </r>
    <r>
      <rPr>
        <sz val="10"/>
        <rFont val="Arial"/>
        <family val="2"/>
      </rPr>
      <t xml:space="preserve">
• Perforated masonry units are used and the minimum percentage of perforations is 20%; 
OR
• Reused masonry units are used.
</t>
    </r>
    <r>
      <rPr>
        <b/>
        <sz val="10"/>
        <rFont val="Arial"/>
        <family val="2"/>
      </rPr>
      <t>Concrete bricks</t>
    </r>
    <r>
      <rPr>
        <sz val="10"/>
        <rFont val="Arial"/>
        <family val="2"/>
      </rPr>
      <t xml:space="preserve">
• Perforated masonry units are used and the minimum percentage of perforations is 20%; OR
• Concrete masonry bricks have the following recycled content requirement:
– Minimum 30% recycled aggregate content; AND
– Minimum 10% Portland cement replacement with industrial waste product.
</t>
    </r>
    <r>
      <rPr>
        <b/>
        <sz val="10"/>
        <rFont val="Arial"/>
        <family val="2"/>
      </rPr>
      <t xml:space="preserve">
Concrete blocks</t>
    </r>
    <r>
      <rPr>
        <sz val="10"/>
        <rFont val="Arial"/>
        <family val="2"/>
      </rPr>
      <t xml:space="preserve">
• Concrete masonry blocks have the following recycled content requirement:
– Minimum 30% recycled aggregate content; AND
– Minimum 10% Portland cement replacement with industrial waste product.
If the material cost of applicable masonry units represents less than 1% of the project’s contract value, this credit is ‘Not Applicable’ and is excluded from the Points Available, used to calculate the Materials category score.</t>
    </r>
  </si>
  <si>
    <t>Up to five points are available as follows:
Up to four points are awarded where:
• The development’s outflow to the municipal sewerage system has been reduced against an average-practice benchmark, by a minimum percentage, as determined by the Green Star SA Sewerage Calculator, awarded as follows:
– 30% for one point;
– 50% for two points;
– 70% for three points;
– 90% for four points.</t>
  </si>
  <si>
    <t xml:space="preserve">An additional point is awarded where:
• At least one point above is achieved; AND
• Where blackwater treatment system(s) installed: 
    – A Blackwater Treatment Maintenance Plan has been prepared; AND
    – A maintenance contract has been entered into for a minimum of five years to ensure that the blackwater treatment system(s) operate as intended by the design. 
Where no blackwater treatment system(s) installed, the additional point is ‘Not Applicable’ and is excluded from the points available, used to calculate the Emissions Category score. </t>
  </si>
  <si>
    <t>To encourage and recognise designs that minimise the greenhouse gas emissions associated with operational energy consumption.</t>
  </si>
  <si>
    <t>Energy Sub-metering</t>
  </si>
  <si>
    <t>To encourage and recognise the installation of energy sub-metering to facilitate on-going management of energy consumption.</t>
  </si>
  <si>
    <t xml:space="preserve">Up to three points are awarded as follows:
One point is awarded where:
• Electrical sub-metering is provided for:
– All substantive electrical energy uses within the building ; 
AND
• An effective monitoring system is installed to monitor all sub-meters and an automated metering strategy is prepared ; 
</t>
  </si>
  <si>
    <t xml:space="preserve">Up to two points are awarded as follows:
• One point is awarded where it is demonstrated that:
- All individual or enclosed spaces are individually switched; 
AND
- Individually switched lighting zones do not exceed 100m²  for 95% of the nominated area; 
AND
- Switching is clearly labelled and easily accessible by building occupants.
• An additional point is awarded where:
- The point above is achieved; 
AND
- An individually addressable lighting system is provided for 90% of the nominated area.
For the purpose of this credit, 'nominated area' is defined as Occupied Space
</t>
  </si>
  <si>
    <t>To encourage and recognise designs that reduce the maximum demand on the electrical supply infrastructure.</t>
  </si>
  <si>
    <t xml:space="preserve">Up to three points are awarded where it is demonstrated that the building has reduced its peak electrical demand load on electricity infrastructure as follows:
• One point where:
- Peak electrical demand is actively reduced by 10%; 
OR 
- The difference between the peak and average demand does not exceed 40%
• Two points where:
- Peak electrical demand is actively reduced by 20%; 
OR 
- The difference between the peak and average demand does not exceed 30%
• Three points where:
- Peak electrical demand is actively reduced by 30%; 
OR 
- The difference between the peak and average demand does not exceed 20%
</t>
  </si>
  <si>
    <t xml:space="preserve">Up to two points are awarded as follows:
One point is awarded where:
• A minimum of 60% of the Nominated Area achieves the Unoccupied Space criteria detailed below.
OR
Two points are awarded where:
• A minimum of 90% of the Nominated Area achieves the Unoccupied Space criteria detailed below.
The Unoccupied Space criteria for Credit Criteria compliance are:
• The space is naturally ventilated in accordance with SANS 10400-O:2011;
OR
• The air-conditioning system in each separate enclosed space is:
– Designed for automatic shut down after a set unoccupied period; 
OR
– Designed with a “set-back” control band (i.e. wider temperature control band) which commences after a set unoccupied period. 
For the purpose of this credit, the 'nominated area is defined as Occupied Space..
</t>
  </si>
  <si>
    <t>Ventilation</t>
  </si>
  <si>
    <t xml:space="preserve">One point is awarded where:
• It is demonstrated that glare from daylight is reduced through either, or any combination, of the following:
– Fixed shading devices that shade the working plane at desk height (720mm AFFL), 1.5m in from the centre of glazing, from direct sun for 80% of standard working hours ;
OR 
– Blinds or screens, fitted as a base building provision, which meet the following criteria:
i. Eliminate 95% of all direct sun penetration; 
AND
ii. Have a visual light transmittance (VLT) of &lt;10%;
AND
iii. Can be controlled by occupants.
For the purpose of this credit ‘Nominated Area’ is Occupied Space.
</t>
  </si>
  <si>
    <t>To encourage and recognise buildings that are designed to maintain internal noise levels at an appropriate level.</t>
  </si>
  <si>
    <r>
      <t xml:space="preserve">Up to three points are awarded as follows:
</t>
    </r>
    <r>
      <rPr>
        <b/>
        <sz val="10"/>
        <rFont val="Arial"/>
        <family val="2"/>
      </rPr>
      <t>Building Services Design</t>
    </r>
    <r>
      <rPr>
        <sz val="10"/>
        <rFont val="Arial"/>
        <family val="2"/>
      </rPr>
      <t xml:space="preserve">
- One point is awarded where:
• For a minimum of 95% of the Nominated Area, noise from the building services does not exceed the design equivalent continuous rating levels as set out in SANS 10103:2008.
</t>
    </r>
    <r>
      <rPr>
        <b/>
        <sz val="10"/>
        <rFont val="Arial"/>
        <family val="2"/>
      </rPr>
      <t>Overall Building</t>
    </r>
    <r>
      <rPr>
        <sz val="10"/>
        <rFont val="Arial"/>
        <family val="2"/>
      </rPr>
      <t xml:space="preserve">
One point is awarded where: 
• For a minimum of 95% of the Nominated Area, the ambient sound level does not exceed the design equivalent continuous rating levels as set out in SANS 10103:2008.
Note: For spaces where a maximum ambient sound level is not provided in SANS 10103:2008, a maximum sound level of 45 dB(a)eq shall apply.
</t>
    </r>
  </si>
  <si>
    <t xml:space="preserve">One point is awarded where:
• It is demonstrated that for no less than 95% of the Nominated Area, the HVAC  system maintains humidity levels at;
– No more than 60% RH (Relative Humidity) in the space;
AND
– No more than 80% RH in the supply ductwork;
OR
• It is demonstrated that for no less than 95% of the Nominated Area, the spaces are naturally ventilated. 
For the purposes of this credit, ‘nominated area’ is defined as Occupied Space. 
</t>
  </si>
  <si>
    <t xml:space="preserve">To encourage and recognise the design of buildings with a dedicated exhaust riser that is used to remove indoor pollutants from printing and photocopy rooms. </t>
  </si>
  <si>
    <t xml:space="preserve">One point is awarded where:
•  Dedicated print/photocopy room(s) are provided;
AND
• All print/photocopy room(s) are exhausted to a dedicated exhaust riser which meets the following requirements:
– Provides at least 3 air changes per hour for each print/photocopy room(s);
AND
– The exhaust system is not recycled  and is discharged outside of the building .
Where no dedicated print/photocopy area(s) (whether separate enclosed rooms or not) are provided in the building, this credit is ‘Not Applicable’ and is excluded from the points available used to calculate the IEQ category score. 
</t>
  </si>
  <si>
    <t xml:space="preserve">One point is awarded where:
• There are no water based heat rejection system(s) serving the building; 
OR
• Water-based heat rejection system(s) serving the building meet all of the following: 
– Do not contain water that is kept at a temperature between 20ºC and 50ºC;
AND 
– Do not release an aerosol spray during operation; 
AND
– Are designed and built to maintain constant movement of the water in the system, when in operation, to prevent stagnation; 
AND
– Are designed and built for routine and periodic flushing to remove bio-film buildup and stagnant water from the system(s) whenever it is not in operation; 
AND
– Are designed, located and built in accordance with AS/NZS 3666.1:2002; 
AND
– A Legionella Risk Management plan has been prepared in accordance with AS/NZS 3666.2:2002 or AS/NZS 3666.3:2000 and has been included in the O&amp;M manual provided to the Building Owner.
AND
– All water storage system(s) serving the building must be designed in accordance with SANS 10252-1:2004.
</t>
  </si>
  <si>
    <t xml:space="preserve">One point is awarded where: 
• All gas boiler(s) greater than 15kW capacity have NOx emissions of less than 100 mg/kWh (at 0% excess O2);
AND
• All generator(s) comply with one of the following applicable emission standards:
– Tier 3 Emissions Standards (United States EPA); 
OR 
– Stage IIIA Emissions Standards (European Standard); 
OR
– TA Luft 2002 (German Standard).
Where no boilers or generators are installed, this credit is 'Not Applicable' and is excluded from the points available, used to calculate the Emissions Category score. 
</t>
  </si>
  <si>
    <t>Two points are awarded where:
• For every 20 car parking spaces provided, a minimum of 1 parking space (or 5 parking spaces, whichever is the greater) is provided for mopeds/scooters/motorbikes; 
AND 
• A minimum of 5% of all parking spaces (or 5 parking spaces, whichever is greater) are dediccated soley for use by hybrid or other alternative fuel vehicles; 
AND
• A minimum of 3% (or 1 parking space, whichever is greater) of staff parking spaces are dedicated soley for use by car-pool and car-share vehicles, with appropriate supporting programs as per Additional Guidance;
AND
• All parking spaces required above must be in preferred parking locations and be designed and labelled for the intended vehicles.
Where staff car parking is less than 30% of all car parking spaces, the third criterion is void. Where no parking spaces are to be provided, this credit is ‘Not Applicable’ and is excluded from the points available, used to calculate the Transport category score. Type 'na' in the No. of Points Achieved column.</t>
  </si>
  <si>
    <r>
      <rPr>
        <b/>
        <sz val="10"/>
        <rFont val="Arial"/>
        <family val="2"/>
      </rPr>
      <t xml:space="preserve">Basic Education Buildings (Primary and Secondary Only):
</t>
    </r>
    <r>
      <rPr>
        <sz val="10"/>
        <rFont val="Arial"/>
        <family val="2"/>
      </rPr>
      <t xml:space="preserve">Up to three points are awarded where:
• Safe and unimpeded cycling routes are provided between the development and the adjacent street network;
AND
• Cyclist facilities (in accordance with Additional Guidance) are provided for a nominated percentage of staff, awarded as follows:
  - 3% for one point; OR
  - 6% for two points; OR
  - 6% for three points;
AND
• Bicycle storage (inaccordance with Additional Guidance) is provided for a nominated ratio of students (over Grade 4), awarded as follows:
  - One per seven students (over Grade 4), fo+D8r one point; OR
  - Two per seven students (over Grade 4), for two points; OR
  - Three per seven students  (over Grade 4), for thee points.
</t>
    </r>
  </si>
  <si>
    <t>To encourage and recognise public or education buildings that reduce vehicular emissions resulting from traffic congestion by upgrading road infrastructure around the building.</t>
  </si>
  <si>
    <t>One point is awarded where:
• Thermal sub-metering is provided for:
– All substantive thermal energy uses within the building;
AND
– An effective monitoring system is installed to monitor all sub-meters and an automated metering strategy is prepared.
If centralised space heating or cooling reticulation systems are not included within the base-built, this point is ‘Not Applicable’ and is excluded from the points available used to calculate the Energy Category Score. Type ‘na’ in the No. of Points Achieved column in the rating tool.</t>
  </si>
  <si>
    <t xml:space="preserve">One point is awarded where:
• At least one of the following ‘Community Facility’ is provided within the project for at least 5% (or 50m² whichever is the greater) of the site area:
– Playground area;
– Open landscaped area for active play (minimum area 200m²);
– Outdoor gym / exercise;
– Community market;
– Recycling depot;
– Open piazza; or,
– Community food garden.
AND
• The Community Facility can be freely accessed by members of the general public;
AND
• In the design/development of the Community Facility, potential users of the facilities (e.g. community groups or associations etc.) have been consulted and their criteria have informed the brief.
AND
• They met formally to consider feedback according to the consultation plan.
Where the project is a refurbishment and the building footprint (excluding hardscaping and external car-parking) is greater than 95% of the site area, or where the total site area less the existing building footprint is less than 50m2, this credit is ‘Not Applicable’ and is excluded from the points available, used to calculate the Land Use and Ecology category score.
</t>
  </si>
  <si>
    <t>An additional point is awarded where:
• The first point above is achieved; 
AND
• Electrical sub-metering is provided separately for lighting and separately for power for 95% of the building;
AND
• An effective monitoring system is installed to monitor all sub-meters and an automated metering strategy is prepared.</t>
  </si>
  <si>
    <r>
      <rPr>
        <sz val="10"/>
        <rFont val="Arial"/>
        <family val="2"/>
      </rPr>
      <t xml:space="preserve">To meet the Ene-0 Conditional Requirement, the Project must demonstrate compliance using one of the three compliance routes described below:
</t>
    </r>
    <r>
      <rPr>
        <b/>
        <sz val="10"/>
        <rFont val="Arial"/>
        <family val="2"/>
      </rPr>
      <t>NOTE:</t>
    </r>
    <r>
      <rPr>
        <sz val="10"/>
        <rFont val="Arial"/>
        <family val="2"/>
      </rPr>
      <t xml:space="preserve"> </t>
    </r>
    <r>
      <rPr>
        <i/>
        <sz val="10"/>
        <rFont val="Arial"/>
        <family val="2"/>
      </rPr>
      <t>Projects are required to select Compliance Route 1, Compliance Route 2 OR Compliance Route 3. Projects are NOT required to demonstrate compliance to all routes.</t>
    </r>
    <r>
      <rPr>
        <sz val="10"/>
        <rFont val="Arial"/>
        <family val="2"/>
      </rPr>
      <t xml:space="preserve">
</t>
    </r>
    <r>
      <rPr>
        <b/>
        <sz val="10"/>
        <rFont val="Arial"/>
        <family val="2"/>
      </rPr>
      <t>Compliance Route 1 - Energy Modelling</t>
    </r>
    <r>
      <rPr>
        <sz val="10"/>
        <rFont val="Arial"/>
        <family val="2"/>
      </rPr>
      <t xml:space="preserve">
The predicted greenhouse gas emissions of the ‘Actual Building’ are less than or equal to the predicted greenhouse gas emissions of the ‘Notional Building’ in the same location, when modelled in accordance with the Green Star SA - Public &amp; Education Building - Energy Calculator &amp; Modelling Protocol Guide v1 Guide.
</t>
    </r>
    <r>
      <rPr>
        <b/>
        <sz val="10"/>
        <rFont val="Arial"/>
        <family val="2"/>
      </rPr>
      <t>Compliance Route 2 - ASHRAE Deemed-to-Satisfy (DTS)</t>
    </r>
    <r>
      <rPr>
        <sz val="10"/>
        <rFont val="Arial"/>
        <family val="2"/>
      </rPr>
      <t xml:space="preserve">
The building fabric and building services design fully comply with the ASHRAE Advanced Energy Design Guide for Small Office Buildings. Refer to Green Star SA - Public &amp; Education Building - Energy Calculator &amp; Modelling Protocol Guide v1 for additional guidance.
</t>
    </r>
    <r>
      <rPr>
        <b/>
        <sz val="10"/>
        <rFont val="Arial"/>
        <family val="2"/>
      </rPr>
      <t>Compliance Route 3 - SANS 204:2011 Deemed-to-Comply</t>
    </r>
    <r>
      <rPr>
        <sz val="10"/>
        <rFont val="Arial"/>
        <family val="2"/>
      </rPr>
      <t xml:space="preserve">
The design complies with all of the SANS 204:2011 Energy Efficiency in Buildings 'Deemed-toComply' clauses regarding building fabric and building services. Refer to Green Star SA - Public &amp; Education Building - Energy Calculator &amp; Modelling Protocol Guide v1 for additional guidance.</t>
    </r>
  </si>
  <si>
    <r>
      <t xml:space="preserve">Up to 20 points are awarded where it is demonstrated that the building’s predicted greenhouse gas emissions have been reduced.
</t>
    </r>
    <r>
      <rPr>
        <b/>
        <sz val="10"/>
        <rFont val="Arial"/>
        <family val="2"/>
      </rPr>
      <t>NOTE</t>
    </r>
    <r>
      <rPr>
        <sz val="10"/>
        <rFont val="Arial"/>
        <family val="2"/>
      </rPr>
      <t xml:space="preserve">: </t>
    </r>
    <r>
      <rPr>
        <i/>
        <sz val="10"/>
        <rFont val="Arial"/>
        <family val="2"/>
      </rPr>
      <t>Projects are required to select Compliance Route 1, Compliance Route 2 OR Compliance Route 3. Projects are NOT required to demonstrate compliance to all routes.</t>
    </r>
    <r>
      <rPr>
        <sz val="10"/>
        <rFont val="Arial"/>
        <family val="2"/>
      </rPr>
      <t xml:space="preserve"> 
</t>
    </r>
    <r>
      <rPr>
        <b/>
        <sz val="10"/>
        <rFont val="Arial"/>
        <family val="2"/>
      </rPr>
      <t>Compliance Route 1 - Energy Modelling (up to 20 points)</t>
    </r>
    <r>
      <rPr>
        <sz val="10"/>
        <rFont val="Arial"/>
        <family val="2"/>
      </rPr>
      <t xml:space="preserve">
The building is to be modelled in accordance with the Green Star SA - Public &amp; Education Building v1 Energy Modelling Protocol Guide. The predicted greenhouse gas emissions determined for the ‘Actual Building’ must be compared with those determined for the ‘Notional Building’ at the same location. Whilst the ‘Actual Building’ represents the intended building design, the ‘Notional Building’, however, is modelled based on fabric and services performance characteristics as per the Green Star SA - Public &amp; Education Building - Energy Calculator &amp; Modelling Protocol Guide v1. 
</t>
    </r>
  </si>
  <si>
    <r>
      <rPr>
        <b/>
        <sz val="10"/>
        <rFont val="Arial"/>
        <family val="2"/>
      </rPr>
      <t>Compliance Route 2 - ASHRAE Deemed-to-Satisfy (DTS)</t>
    </r>
    <r>
      <rPr>
        <sz val="10"/>
        <rFont val="Arial"/>
        <family val="2"/>
      </rPr>
      <t xml:space="preserve">  
As an alternative to the energy modelling route the building fabric and building services need to comply with the relevant clauses in ASHRAE Advanced Energy Design Guide for Small Office Buildings. The reduction in HVAC energy consumption of the building is assumed to be 20% and no energy modelling is required. Refer to Green Star SA - Public &amp; Education Building - Energy Calculator &amp; Modelling Protocol Guide v1 for additional guidance. 
</t>
    </r>
    <r>
      <rPr>
        <b/>
        <sz val="10"/>
        <rFont val="Arial"/>
        <family val="2"/>
      </rPr>
      <t xml:space="preserve">Compliance Route 3 – SANS 204:2011  Deemed-to-Comply (DTC) </t>
    </r>
    <r>
      <rPr>
        <sz val="10"/>
        <rFont val="Arial"/>
        <family val="2"/>
      </rPr>
      <t xml:space="preserve">
The design complies with all of the SANS 204:2011 Energy Efficiency in Buildings  ‘Deemed-to-Comply’ clauses regarding building fabric and building services. The notional and actual buildings are assumed to be air conditioned and the HVAC energy consumption of both buildings is assumed to be the same. Refer to Green Star SA - Public &amp; Education Building - Energy Calculator &amp; Modelling Protocol Guide v1 for additional guidance. 
For all Compliance Routes points are determined by the Green Star SA - Public &amp; Education Building Energy Calculator and awarded on a linear scale with 0 points for the notional building and 20 points for a net zero operating emissions building. One point is awarded for every 5% saving below the notional building level. </t>
    </r>
  </si>
  <si>
    <t>Emi-11</t>
  </si>
  <si>
    <t>Atmospheric Deterioration Avoidance</t>
  </si>
  <si>
    <t>To encourage and recognise the avoidance of substances that contribute to the deterioration and long-term alteration of the Earth's atmosphere</t>
  </si>
  <si>
    <r>
      <t xml:space="preserve">Up to six points are awarded independently as follows:
</t>
    </r>
    <r>
      <rPr>
        <b/>
        <sz val="10"/>
        <rFont val="Arial"/>
        <family val="2"/>
      </rPr>
      <t xml:space="preserve">Ozone Depleting Potential (ODP)
</t>
    </r>
    <r>
      <rPr>
        <sz val="10"/>
        <rFont val="Arial"/>
        <family val="2"/>
      </rPr>
      <t>Two points are awarded where:
• All refrigerants within qualifying HVAC equipment and gases within applicable fire suppression systems used have an Ozone Depleting Potential (ODP) of zero;
AND
• All applicable insulation materials used within the project avoid, both the manufacture and composition, ozone depleting substances.</t>
    </r>
  </si>
  <si>
    <r>
      <t>Global Warming Potential (GWP)</t>
    </r>
    <r>
      <rPr>
        <sz val="10"/>
        <rFont val="Arial"/>
        <family val="2"/>
      </rPr>
      <t xml:space="preserve">
Up to two points are awarded where:
• The minimum percentage (by mass) of the total refrigerant charge of qualifying equipment that have a Global Warming Potential (GWP100) of 10 or less, is awarded as follows;
- 50% (by mass) for one point;
OR
- 100% (by mass) for two points</t>
    </r>
  </si>
  <si>
    <t>Emi - 11</t>
  </si>
  <si>
    <t>Occupied Space</t>
  </si>
  <si>
    <t>Not an occupied space</t>
  </si>
  <si>
    <t>IEQ-2</t>
  </si>
  <si>
    <t xml:space="preserve">One point is awarded where for 95% of the Nominated Area:
• The lighting design achieves a maximum maintained illuminance level at any point of no more than 80% of the illuminance levels prescribed in SANS 10114-1:2005.
For the purpose of this credit ‘Nominated Area’ is defined as Occupied Space with the exception of performance area (stage).  
</t>
  </si>
  <si>
    <r>
      <rPr>
        <b/>
        <sz val="10"/>
        <rFont val="Arial"/>
        <family val="2"/>
      </rPr>
      <t xml:space="preserve">Educational Spaces (only)
</t>
    </r>
    <r>
      <rPr>
        <sz val="10"/>
        <rFont val="Arial"/>
        <family val="2"/>
      </rPr>
      <t>An additional point is awarded where:
• Two points (above) are achieved ;  
AND
• For all classrooms and lecture theatres provided within the building:
–  The total surface area finished with a material with a Noise Reduction Coefficient (NRC) of 0.70 or higher, equals or exceeds the total ceiling area (excluding lights, diffusers and grilles); 
OR
– The reverberation time in each space, measured in accordance with (BS EN) ISO 140-4:1998 does not exceed the following values:.
         - Classrooms: 0.8 seconds
         - Small lecture theatres (&lt; 50 people): 0.8 seconds
         - Large lecture theatres (≥ 50 people): 1.0 seconds</t>
    </r>
    <r>
      <rPr>
        <b/>
        <sz val="10"/>
        <rFont val="Arial"/>
        <family val="2"/>
      </rPr>
      <t xml:space="preserve">
</t>
    </r>
    <r>
      <rPr>
        <sz val="10"/>
        <rFont val="Arial"/>
        <family val="2"/>
      </rPr>
      <t xml:space="preserve">
Where no classrooms or lecture theatres are provided within in the building, the additional point is ‘Not Applicable’ and is excluded from the points available used to calculate the Indoor Environment Quality Category score.
For the purpose of this credit ‘Nominated Area’ is defined as Occupied Space.</t>
    </r>
  </si>
  <si>
    <t xml:space="preserve">Up to two points are awarded where:
• A minimum percentage of the Nominated Area has a direct line of sight to the outdoors or into an adequately sized and day-lit atrium, awarded as follows:
– 60% for one point;
OR
– 80% for two points.
For the purpose of this credit Nominated Area is defined as Occupied Space with the exception of theatres, cinemas, performance areas (stages), galleries and other spaces that for functional reasons do not allow daylight.
</t>
  </si>
  <si>
    <r>
      <t xml:space="preserve">Up to three points are awarded independently as follows: 
</t>
    </r>
    <r>
      <rPr>
        <b/>
        <sz val="10"/>
        <rFont val="Arial"/>
        <family val="2"/>
      </rPr>
      <t>Paints</t>
    </r>
    <r>
      <rPr>
        <sz val="10"/>
        <rFont val="Arial"/>
        <family val="2"/>
      </rPr>
      <t xml:space="preserve">
One point is awarded where:
• At least 95% of all painted surfaces within the Nominated Area meet the TVOC Content Limits outlined in Table IEQ-13.1 and must not contain any added lead in the form of driers or pigments; OR 
• No paint is used within the Nominated Area</t>
    </r>
  </si>
  <si>
    <t>Water Sub-Metering</t>
  </si>
  <si>
    <t>Reused and Recycled Materials</t>
  </si>
  <si>
    <t>Up to two points are available where it is demonstrated that materials selected for base building construction and/or integrated fitout works have a recycled content or are re-used items as follows:
• One point where the recycled content of materials and/or reused materials represent at least 0.5% of the project's total contract value; OR
• Two points where recycled content of materials and/or reused materials represent at least 1.0% of the project's total contract value.
This credit excludes steel, timber and concrete (i.e. aggregates and industrial waste product) and masonry units, which are addressed by other credits, and it does not address the reuse of façade or major structural elements of existing building(s) or structure(s) on the site.</t>
  </si>
  <si>
    <t xml:space="preserve">Up to two points are available:
Up to two points are awarded where:
• The project has reduced the absolute quantity of Portland cement by a minimum percentage, as an average across all concrete mixes, by substituting it with industrial waste product(s) or oversized aggregate, awarded as follows:
– 30% reduction for one point;
OR
– 40% reduction for two points.
</t>
  </si>
  <si>
    <t xml:space="preserve">An additional point is awarded where:
• At least one point above is achieved; 
AND
• 10% of all aggregate used for structural purposes is either, or a combination of, the following;
– Recycled aggregate (equivalent to Class 1 RCA as per Australian standard HB155-2002)
OR 
– Slag aggregate; 
AND
• No virgin aggregates are used in non-structural concrete applications.
If the material cost of new concrete represents less than 1% of the project's contract value, this credit is 'Not Applicable' and is excluded from the Points Available, used to calculate the Materials category score.
</t>
  </si>
  <si>
    <t>Up to two points are awarded where:
• The project achieves a minimum percentage (by cost) of all timber and timber composite products used in the building and construction works compliant with the sourcing requirements, awarded as follows:
– 50% (by cost) for one point;
OR
– 95% (by cost) for two points.
Compliant timber and timber composite products must be:
- Reused timber;
- Post-consumer recycled timber; or
- Forest Stewardship Council (FSC) certified timber.
If the material cost of timber represents less than 0.1% of the project’s total contract value then this credit is ‘Not Applicable’ and is excluded from the points available, used to calculate the Materials Category score.</t>
  </si>
  <si>
    <t>To encourage and recognise designs that reduce potable water consumption.</t>
  </si>
  <si>
    <t>To encourage and recognise the installation of sub-metering to facilitate on-going management of water consumption.</t>
  </si>
  <si>
    <t>To encourage and recognise the inclusion of storage space that facilitates the recovery and recycling of resources used within buildings to reduce waste going to disposal.</t>
  </si>
  <si>
    <t>To encourage and recognise developments that minimise stormwater run-off to, and the pollution of, the natural watercourses and wetlands.</t>
  </si>
  <si>
    <t>One point is awarded where:
• No light beam, generated from within the building or outside of the building boundary, is directed at any point in the sky hemisphere without falling directly onto a non-transparent surface; 
AND
• Facade lighting produces an average building Luminance of no more than 10 candelas/m²; 
AND
• 95% of the outdoor spaces do not exceed the minimum requirements of CIBSE Lighting Guide: 1992, The Outdoor Environment for maintained illuminance levels.
AND
• The lighting design complies with the additional guidance given in the Green Star SA – PEB v1 Technical Manual (Figure Emi-7.1 to Emi-7.4).</t>
  </si>
  <si>
    <t>To encourage and recognise developments that facilitate the use of alternative modes of transport for staff and visitors/students travelling to public or education buildings</t>
  </si>
  <si>
    <r>
      <rPr>
        <b/>
        <sz val="10"/>
        <rFont val="Arial"/>
        <family val="2"/>
      </rPr>
      <t xml:space="preserve">Higher Education Buildings (University &amp; College Only) </t>
    </r>
    <r>
      <rPr>
        <sz val="10"/>
        <rFont val="Arial"/>
        <family val="2"/>
      </rPr>
      <t xml:space="preserve">
Up to three poinyts are awarded where:
• Safe and unimpeded cycling routes are provided between the development and the adjacent street network;
AND
• Cyclist facilities (in accordance with Additional Guidance) are provided for a nominated percentage of staff, awarded as follows:
  - 3% for one point; OR
  - 6% for two points; OR
  - 6% for three points;
AND
 Bicycle storage (inaccordance with Additional Guidance) is provided for a nominated percentage of the peak number of students (calculated in accordance with the Additional Guidance), awarded as follows:
  - 5% for one point; OR
  - 10% for two points; OR
  - 15% for three points.
For </t>
    </r>
    <r>
      <rPr>
        <b/>
        <sz val="10"/>
        <rFont val="Arial"/>
        <family val="2"/>
      </rPr>
      <t>other Public Buildings</t>
    </r>
    <r>
      <rPr>
        <sz val="10"/>
        <rFont val="Arial"/>
        <family val="2"/>
      </rPr>
      <t xml:space="preserve"> these three points are ‘Not Applicable’ and are excluded from the Points Available, used to calculate the Transport category score. Type 'na' in the appropriate ‘No. of Points Achieved’ column of the rating tool</t>
    </r>
  </si>
  <si>
    <t xml:space="preserve">Up to two points are awarded as follows: 
One point is awarded where the number of car parking spaces provided is:
• At least 25% lower than the maximum local planning allowances applicable to the project; 
OR
• Does not exceed:
- The local planning minimum allowance by more than 10%; 
   OR 
- Where there is no minimum local planning allowance, the minimum DOT guidelines by more than 10%.
OR
Two points are awarded where the number of car parking spaces provided is: 
• At least 50% lower than the maximum local planning allowances applicable to the project; 
OR
• Does not exceed:
- The local planning minimum allowance; 
   OR
- Where there is no minimum local planning allowance, the minimum DOT guidelines.
Where car parking is not permitted in the local planning scheme, this credit is ‘Not Applicable’ and is excluded from the Points Available, used calculate the Transport category score. Type 'na' in the appropriate ‘No. of Points Achieved’ column of the rating tool.
</t>
  </si>
  <si>
    <t>To encourage and recognise developments that facilitate the use of more fuel efficient vehicles for staff and visitors/students travelling to public or education buildings</t>
  </si>
  <si>
    <r>
      <rPr>
        <b/>
        <sz val="10"/>
        <rFont val="Arial"/>
        <family val="2"/>
      </rPr>
      <t>All Public Buildings (Education buidlings excluded)</t>
    </r>
    <r>
      <rPr>
        <sz val="10"/>
        <rFont val="Arial"/>
        <family val="2"/>
      </rPr>
      <t>, up to two points are awarded where:
• Safe and unimpeded cycling routes are provided between the development and the adjacent street network; 
AND
• Cyclist facilities (in accordance with the Additional Guidance) are provided for a nominated percentage of staff, awarded as follows: 
- 3% for one point;
   OR
- 6% for two points;
AND
• Bicycle storage (in accordance with the Additional Guidance) is provided for a nominated percentage of daily visitors, awarded as follows:
- 3% for one point;
   OR
- 6% for two points;
For education buildings these two points are ‘Not Applicable’ and are excluded from the Points Available, used calculate the Transport category score. Type 'na' in the appropriate ‘No. of Points Achieved’ column of the rating tool)</t>
    </r>
  </si>
  <si>
    <t>To encourage and recognise developments that select a site near public transport and facilitate the use of mass transport.</t>
  </si>
  <si>
    <t>Up to five points are awarded for the quality of mass transport options available to building users - 4 points for weekday and 1 point for weekend/evening. 
Scoring points in the calculator is on condition that the project include a public transport information point, with the following requirements:
There is at least one dedicated space for providing information about local public transport, cycling, walking and taxi services/facilities. This information must be displayed using a lockable notice board or electronically.
The dedicated space must:
• be in a location that is accessible to all building users, ideally in a main reception or lobby area;
• be signposted at its location and throughout appropriate areas of the development indicating its existence, purpose and location.
The points are determined using the Green Star Mass Transport Calculator based on:
• The type of mass transport services available within 1,000m of the site;
• The number of routes served;
• The average interval between services during weekday peak hours; and 
• The average interval between services during weekends and in the evening when the facility is open for visitors/students.</t>
  </si>
  <si>
    <t xml:space="preserve">Where the building does not operate on the weekends or evenings, the 1 point associated to weekend or evening operation is Not Applicable and is excluded from the Points Available, used calculate the Transport category score. Tick the box below if this credit is not applicable. </t>
  </si>
  <si>
    <t>To encourage and recognise public or education buildings that are integrated with or built adjacent to amenities and dwellings to encourage effective car-based trip reduction initiatives.</t>
  </si>
  <si>
    <r>
      <t>Two points are awarded where:
• Traffic infrastructure is improved over and above the minimum peak hour traffic flow service levels compared to pre-development baseline traffic flows, awarded as follows;
- One point where a 15% reduction in peak hour average CO</t>
    </r>
    <r>
      <rPr>
        <vertAlign val="subscript"/>
        <sz val="10"/>
        <rFont val="Arial"/>
        <family val="2"/>
      </rPr>
      <t>2</t>
    </r>
    <r>
      <rPr>
        <sz val="10"/>
        <rFont val="Arial"/>
        <family val="2"/>
      </rPr>
      <t xml:space="preserve"> emissions per vehicle is demonstrated as a result of improved infrastructure.
AND
- Two points where a 30% reduction in peak hour average CO</t>
    </r>
    <r>
      <rPr>
        <vertAlign val="subscript"/>
        <sz val="10"/>
        <rFont val="Arial"/>
        <family val="2"/>
      </rPr>
      <t>2</t>
    </r>
    <r>
      <rPr>
        <sz val="10"/>
        <rFont val="Arial"/>
        <family val="2"/>
      </rPr>
      <t xml:space="preserve"> emissions per vehicle is demonstrated as a result of improved infrastructure.
Compliance must be proved via a Traffic Impact Assessment (TIA) and the software that is used to undertake the TIA.
Where a Traffic Impact Assessment is not recommended by the Department of Transport’s guideline document this credit is ‘Not Applicable’ and is excluded from the Points Available, used calculate the Transport category score. Type 'na' in the appropriate ‘No. of Points Achieved’ column of the rating tool.</t>
    </r>
  </si>
  <si>
    <t>Up to two points are awarded independently as follows:
One point is awarded where:
• At least four of the amenities listed below are, or are planned, within 400m unimpeded walking distance of the development site (from the public entrance), or are within the building (excluding its primary function):
Accepted amenities: Hardware store/Public sports field/Pharmacy/Gym, pool or sports facility/Library/Bank or ATM/School, University or Technikon/Community food garden/Recycling depot/Garden nursery/Neighbourhood park, open landscaped area (minimum 200m2) open piazza, playground, beach or nature reserve/Post office/Retail shop/Supermarket or grocery store/Registered childcare centre/Officially designated ‘Trading Area’/Laundromat/Convenience store/Restaurant or food outlet/Cinema or theatre/Places of worship/Community centre/Hospital, clinic or healthcare centre/Offices
It must be demonstrated that safe, well-lit, dedicated pedestrian facilities are provided between the public or education building development and the adjacent street network. Where this cannot be demonstrated, an amenity cannot be claimed.
One point is awarded where:
• An average gross density of not less than 35 du/ha (dwelling units/hectare) is achieved for the entire area within 400m of the development site.</t>
  </si>
  <si>
    <t>Two points are awarded where:
• At practical completion the Building Owner implements a comprehensive building tuning program that; 
- Continues for a period of no less than 12 months after commencement;
- Involves a relevant member of the Design Team; 
- Includes the monitoring and tuning of all applicable building services as defined in Table Man-3.1; and,
- Requires monthly monitoring and the outcomes are reported to the Building Owner quarterly to allow corrective action to be taken;
AND 
• At 12 months after practical completion;
- A full re-commissioning service is undertaken; and,
- A 'Building Tuning Report' on the outcomes of the tuning program is provided to both the Building Owner and the Design Team.
This credit applies to all building systems (which include, but are not limited to ventilation, heating, cooling, electrical, lighting and hot water systems), not just mechanical systems.  The credit does not include fire and wet services, except that on-site recycled water systems (black, grey and rain water) are included.</t>
  </si>
  <si>
    <t xml:space="preserve">Up to two points are awarded independently as follows:
One point is awarded where:
• The Contractor implements a comprehensive, project-specific Environmental Management Plan (EMP) throughout the construction phase of the project (i.e. from construction commencement to practical completion); 
AND
• The EMP is in strict accordance with the Provincial Government of the Western Cape Environmental Management Plan Guidelines (2005) as evidence by correlation with Table Man-6.1 of the Additional Guidance;
AND
• The Contractor and Sub-Contractors achieve compliance with the EMP.
</t>
  </si>
  <si>
    <t>This credit is not relevant to the Green Star SA Public &amp; Education Building v1 tool</t>
  </si>
  <si>
    <t>Green Star SA - Public &amp; Education Building v1</t>
  </si>
  <si>
    <t>NOTE: Use of Green Star SA - Public &amp; Education Building v1 may predict a rating that differs from that achieved via formal Green Star SA certification.</t>
  </si>
  <si>
    <t xml:space="preserve">Compliance is determined from information entered into the Energy Calculator.  The project team acknowledges that the design meets the minimum energy efficiency requirements as stipulated in the Green Star SA Public &amp; Education Building v1 Technical Manual. Green Star SA projects are only eligible for formal certification by the GBCSA when ALL Eligibility Criteria (and Conditional Requirements) are met. Please refer to the Technical Manual for further information. </t>
  </si>
  <si>
    <t>Compliance is determined from information entered into the Energy Calculator.  The project team acknowledges that the design does NOT meet the minimum energy efficiency requirements as stipulated in the Green Star SA Public &amp; Education Building v1 Technical Manual. This Green Star SA project is therefore NOT eligible for formal certification by the GBCSA. Please refer to the Technical Manual for further information.</t>
  </si>
  <si>
    <t xml:space="preserve">The project team acknowledges that the design meets the conditional requirements as stipulated in the Green Star SA Public &amp; Education Building v1 Technical Manual. Green Star SA projects are only eligible for formal certification by the GBCSA when ALL Eligibility Criterion (and Conditional Requirements) are met. Please refer to the Technical Manual for further information. </t>
  </si>
  <si>
    <t>The project team acknowledges that the design does NOT meet the conditional requirements as stipulated in the Green Star SA Public &amp; Education Building v1 Technical Manual. This Green Star SA project is therefore NOT eligible for formal certification by the GBCSA. Please refer to the Technical Manual for further information.</t>
  </si>
  <si>
    <t>The GBCSA does not endorse any self-assessed rating achieved by the use of Green Star SA - Public &amp; Education Building v1. The GBCSA offers a formal certification process for ratings of Four Stars and above; this service provides for independent third party review of points claimed to ensure all points can be demonstrated to be achieved by the provision of the necessary documentary evidence.  The use of Green Star SA - Public &amp; Education Building v1 without formal certification by the GBCSA does not entitle the user or any other party to promote the Green Star SA rating achieved.</t>
  </si>
  <si>
    <t xml:space="preserve">Green Star SA - Public &amp; Education Building v1 validates the environmental initiatives of new Public &amp; Education Buildings or public base building refurbishments.  </t>
  </si>
  <si>
    <t xml:space="preserve">You are invited to use Green Star SA - Public &amp; Education Building v1 to predict a Green Star SA rating.  The Green Building Council of South Africa (GBCSA) does not endorse any self-assessed rating and you are prohibited from presenting self-assessment results in the public domain.  The GBCSA offers a formal certification process for ratings of Four Stars and above.  This service provides for independent third party review of points claimed to ensure all points can be demonstrated to be achieved by the provision of the necessary documentary evidence.  The use of Green Star SA - Public &amp; Education Building v1 without formal certification by the GBCSA does not entitle the user or any other party to promote a Green Star SA rating publicly.  </t>
  </si>
  <si>
    <t>Introduction to Green Star SA - Public &amp; Education Building v1</t>
  </si>
  <si>
    <t>What does Green Star SA - Public &amp; Education Building v1 do?</t>
  </si>
  <si>
    <t>Who can use Green Star SA - Public &amp; Education Building v1?</t>
  </si>
  <si>
    <t xml:space="preserve">The GBCSA encourages all interested parties to use Green Star SA - Public &amp; Education Building v1 to validate the environmental initiatives of new Public &amp; Education Buildings or public base building refurbishments. The use of Green Star SA - Public &amp; Education Building v1 is encouraged on all such projects to assess and improve their environmental design attributes.  </t>
  </si>
  <si>
    <t>The use of Green Star SA - Public &amp; Education Building v1 without formal certification by the GBCSA does not entitle the user or any other party to promote the Green Star rating achieved.  No fee is payable to the GBCSA for such use, however formal recognition of the Green Star SA rating - and the right to promote the same - requires undertaking the formal certification process offered by the GBCSA.</t>
  </si>
  <si>
    <t>The Green Star SA – Public &amp; Education Building v1 provides for both Green Star SA – Public &amp; Education Building Design and Green Star SA – Public &amp; Education Building As Built certification criteria.  All credits are the same for both ratings; only the documentation differs.</t>
  </si>
  <si>
    <t>Again, the use of Green Star SA - Public &amp; Education Building v1 without formal certification by the GBCSA does not entitle the user or any other party to promote a Green Star SA rating publicly.</t>
  </si>
  <si>
    <t xml:space="preserve">The Green Building Council would like to acknowledge all parties that worked on and supported the development of the Green Star SA – Public &amp; Education Building v1 rating tool. </t>
  </si>
  <si>
    <t>The GBCSA thanks all those individuals and organisations who provided feedback and expertise to the technical development of the Green Star SA – Public &amp; Education Building v1 rating tool.  In particular, the GBCSA would like to thank all Technical Steering Committee and Technical Working Group members, as well as technical consultants AGAMA Energy, Spoormaker &amp; Partners, Shared Energy Management, Solid Green Consulting and Viridis E3.  The GBCSA also acknowledges the tremendous support of the Green Building Council of Australia.</t>
  </si>
  <si>
    <t xml:space="preserve">The GBCSA’s founding members, along with Green Star SA - Public &amp; Education Building v1 tool sponsor, the Construction Industry Development Board (CIDB) provided much-needed financial support to develop the rating tool.  </t>
  </si>
  <si>
    <t>Green Star SA – Public &amp; Education Building v1 is based on national and international guidelines, including primarily the Australian Green Star system, as well as the US LEED Green Building Rating System and UK's BREEAM Environmental Assessment Method.</t>
  </si>
  <si>
    <t>Green Star SA - Public &amp; Education Building v1 Tool Sponsor:</t>
  </si>
  <si>
    <t>The GBCSA does not endorse any self-assessed rating achieved by the use of Green Star SA - Public &amp; Education Building v1.  The GBCSA offers a formal certification process for ratings of Four Stars and above; this service provides for independent third party review of points claimed to ensure all points can be demonstrated to be achieved by the provision of the necessary documentary evidence.  The use of Green Star SA - Public &amp; Education Building v1 without formal certification does not entitle the user or any other party to promote the Green Star SA rating achieved.</t>
  </si>
  <si>
    <t>The application of Green Star SA - Public &amp; Education Building v1 to all Public &amp; Education Building projects is encouraged to assess and improve their environmental design attributes.  No fee is payable to the GBCSA for such use, however formal recognition of the Green Star SA rating - and the right to promote the same - requires undertaking the formal certification process offered by the GBCSA.</t>
  </si>
  <si>
    <t>The Green Star SA environmental rating system for buildings (“Green Star SA”) and the Green Star SA – Public &amp; Education Building v1 rating tool (“Green Star SA – Public &amp; Education Building v1”) have been developed by the Green Building Council of South Africa (“GBCSA”).  Green Star SA – Public &amp; Education Buildings v1 is intended for use by project teams, contractors and other interested parties to validate the environmental initiatives of the design phase of new Public &amp; Education Building construction or base building refurbishment; construction and procurement phase of a Public &amp; Education Building; and/or to validate that environmental initiatives proposed in the design phase have been implemented by the building contractor.  As with all Green Star SA rating tools, Green Star SA - Public &amp; Education Building v1 may be subject to further development in the future.</t>
  </si>
  <si>
    <t>Green Star SA and Green Star SA - Public &amp; Education Building v1 have been developed with the assistance and participation of representatives from many organisations. The views and opinions expressed have been determined upon by the GBCSA and its Committees.</t>
  </si>
  <si>
    <t>The GBCSA authorises you to view and use Green Star SA - Public &amp; Education Building v1 for information purposes only.  In exchange for this authorisation, you agree that the GBCSA retains all copyright and other proprietary rights contained in and in relation to Green Star SA - Public &amp; Education Building v1 and agree not to sell, let, distribute, modify, or use for another purpose the tool or to reproduce, display or distribute the tool in any way for any public or commercial purpose, including display on a website or in a networked environment. Unauthorised use of Green Star SA and/or Green Star SA - Public &amp; Education Building v1 will violate copyright and other laws, and is prohibited.  All text, graphics, layout and other elements of content contained in Green Star SA and its rating tools are owned by the GBCSA and are protected by copyright, trade mark and other laws.</t>
  </si>
  <si>
    <t>The GBCSA does not accept responsibility, including for negligence, for any inaccuracy, error or omission within Green Star SA and/or its rating tools and makes no warranty, expressed or implied, including the warranties of merchantability and fitness for a particular purpose, nor assumes any legal liability or responsibility to you or any third parties for the accuracy, completeness, use of or reliance on any information contained in Green Star SA and/or Green Star SA – Public &amp; Education Building v1, or for any injuries, losses or damages (including, without limitation, equitable relief and economic loss) arising out of such use or reliance.</t>
  </si>
  <si>
    <t>Green Star SA and Green Star SA - Public &amp; Education Building v1 are not substitutes for professional advice, nor do they purport to be a professional service.  You should seek your own professional and other appropriate advice on the matters addressed by them.</t>
  </si>
  <si>
    <t>As a condition of use, you undertake not to institute legal proceedings in whatever form against the trade mark and copyright proprietor, and agree to waive and release the GBCSA, its officers, agents, employees and its members from any and all claims, demands and causes of action for any injury, loss, destruction or damage (including, without limitation, equitable relief and economic loss) that you may now or hereafter have a right to assert against such parties as a result of your use of, or reliance on, Green Star SA and/or Green Star SA – Public &amp; Education Building v1.</t>
  </si>
  <si>
    <t xml:space="preserve">The GBCSA does not endorse or otherwise acknowledge the Green Star SA rating achieved by the use of Green Star SA – Public &amp; Education Building v1. The GBCSA offers a formal certification process for ratings of Four Stars and above.  The service provides for independent third party review of points claimed to ensure all credits can be demonstrated to be achieved by the provision of the necessary documentary evidence.  The use of Green Star SA - Public &amp; Education Building v1 without formal certification by the GBCSA does not entitle the user or any other party to promote the achieved Green Star SA rating or make use of the Green Star trade marks in whatever manner or form. </t>
  </si>
  <si>
    <t>The application of Green Star SA - Public &amp; Education Building v1 to all Public &amp; Education Building projects is encouraged to assess and improve their environmental attributes.  No fee is payable to the GBCSA for such use; however, formal recognition of the Green Star SA rating - and the right to promote the same - requires undertaking the formal certification process offered by the GBCSA, and use of this service shall not constitute such a certification process.</t>
  </si>
  <si>
    <t>You are only authorised to proceed to use Green Star SA and Green Star SA – Public &amp; Education Building v1 on this basis.</t>
  </si>
  <si>
    <t>Up to four points are awarded where:
• The outcome of the ecological assessment of the site indicates that;
– For greenfield sites, the site has no threatened or vulnerable species or sensitive ecological units;
OR
– For reused (i.e. brownfield) sites, threatened or vulnerable species or sensitive ecological units are to be adequately protected if present. 
AND
• There is no net reduction of native vegetation (where present); 
AND
• There is no change in sensitivity class through transformation of, or reduction in extent of, threatened vegetation types; 
AND
• The ecological value of the site is either not diminished, or is enhanced beyond its previously existing state
The points are determined by the Green Star SA Public &amp; Education Building v1 Change of Ecological Value Calculator.</t>
  </si>
  <si>
    <r>
      <t xml:space="preserve">Two points are available independently as follows:
One point is awarded where for the site </t>
    </r>
    <r>
      <rPr>
        <b/>
        <sz val="10"/>
        <rFont val="Arial"/>
        <family val="2"/>
      </rPr>
      <t>hardscape</t>
    </r>
    <r>
      <rPr>
        <sz val="10"/>
        <rFont val="Arial"/>
        <family val="2"/>
      </rPr>
      <t xml:space="preserve">:
• Any combination of the following strategies are used for 50% of the site hardscape:
– Provide shade using vegetation; 
– Provide shade using structures with;
o A solar reflectance index (SRI) of ≥ 29. 
OR
o Are covered by solar energy systems.
– Use hardscape materials with an SRI of ≥ 29.
– Use an open-grid pavement system (at least 50% pervious).
OR
• The total site hardscape represents 10% or less of the total landscape area.
Where the total building footprint represents greater than 80% of the total site area, this point is ‘Not Applicable’ and is excluded from the points available, used to calculate the Land Use &amp; Ecology category score.
</t>
    </r>
  </si>
  <si>
    <r>
      <t xml:space="preserve">One point is awarded where for </t>
    </r>
    <r>
      <rPr>
        <b/>
        <sz val="10"/>
        <rFont val="Arial"/>
        <family val="2"/>
      </rPr>
      <t>roofs</t>
    </r>
    <r>
      <rPr>
        <sz val="10"/>
        <rFont val="Arial"/>
        <family val="2"/>
      </rPr>
      <t xml:space="preserve">: 
• For a minimum of 75% of the total roof plan area, all roofing materials have a solar reflectance index (SRI) of:
– ≥ 78 for low-sloped roofs (≤10° pitch) 
OR 
– ≥ 29 for steep-sloped roofs (&gt;10° pitch). 
OR
• For a minimum of 50% of the total roof plan area, a vegetated roof is installed.
OR
• For the building roof plan area, the project installs roofing meeting the SRI requirements and vegetated roof surfaces that, in combination, meet the following criteria: 
</t>
    </r>
  </si>
  <si>
    <t>Total area defined as OCCUPIED SPACE.</t>
  </si>
  <si>
    <r>
      <t xml:space="preserve">One point is awarded where:
</t>
    </r>
    <r>
      <rPr>
        <b/>
        <sz val="10"/>
        <rFont val="Arial"/>
        <family val="2"/>
      </rPr>
      <t>Naturally ventilated spaces</t>
    </r>
    <r>
      <rPr>
        <sz val="10"/>
        <rFont val="Arial"/>
        <family val="2"/>
      </rPr>
      <t xml:space="preserve">
• No less than 95% of the Nominated Area is naturally ventilated in accordance with SANS 10400-O:2011 ; 
AND
• Carbon Dioxide (CO2) monitoring is provided for every room or 100 m2 (whichever is smaller) to provide an audible or visual alarm  if CO2 levels rise above 900ppm; 
AND
• In Nominated Areas, occupants are provided with the ability to control the ventilation rates.
</t>
    </r>
    <r>
      <rPr>
        <b/>
        <sz val="10"/>
        <rFont val="Arial"/>
        <family val="2"/>
      </rPr>
      <t>Mechanically ventilated spaces</t>
    </r>
    <r>
      <rPr>
        <sz val="10"/>
        <rFont val="Arial"/>
        <family val="2"/>
      </rPr>
      <t xml:space="preserve"> 
• A carbon dioxide (CO2) monitoring and control system is installed that meets the following;
– Provides a minimum of one CO2 sensor per zone, to a maximum of 100 m2, in 95% of the Nominated Area; and, 
– Facilitates continuous monitoring and adjustment of outside air ventilation rates at each air-handling unit, to ensure independent control of ventilation rates to achieve outside air requirements;
 OR 
• The HVAC system supply air is 100% outside air with no recirculated component.
</t>
    </r>
    <r>
      <rPr>
        <b/>
        <sz val="10"/>
        <rFont val="Arial"/>
        <family val="2"/>
      </rPr>
      <t>Mixed-mode ventilated spaces</t>
    </r>
    <r>
      <rPr>
        <sz val="10"/>
        <rFont val="Arial"/>
        <family val="2"/>
      </rPr>
      <t xml:space="preserve">
• Both modes of operation must satisfy the relevant mechanical and natural ventilation criteria. 
For the purposes of this credit, ‘Nominated Area’ is Occupied Space.
</t>
    </r>
  </si>
  <si>
    <t xml:space="preserve">One point is awarded where:
Internal stairs are provided and are:
• Available for use by the building users and, where relevant, the public;
AND
• Highly visible (i.e. not visually blocked behind doors or other visual obstructions);
AND
• Located within 5m of the primary set of lifts OR within 20m of a main entrance;
AND
• At least one of the following requirements is met:
– 25% of the stairwell wall area is exterior glazing; 
OR
– Each level within the stairwell has a Daylight Factor of at least 2.0 at finished floor level (FFL); 
OR
– The stair is fully open to the interior on at least one side over the entire span of the stairwell.
Where the building is single storey or does not have a passenger or goods lift (dedicated disabled persons lift can be excluded), then this credit is ‘Not Applicable’ and is excluded from the points available used to calculate the IEQ score.
</t>
  </si>
  <si>
    <t xml:space="preserve">Up to three points are awarded where:
• A minimum percentage of the nominated area meets a Daylight Factor (DF) of at least 2.0% 
OR
• A minimum percentage of the nominal area meets a Daylight Illuminance (DI) of at least 250 lux, as measured at finished floor level (FFL) under a Uniform Design Sky
OR
• A minimum percentage of the nominal area meets a Daylight Illuminance of at least 300 lux based on an annual dynamic simulation model, for 70% of the standard occupied hours (Daylight Autonomy (DA) continuous method).
Points are awarded as follows:
– 30% for one point;
– 60% for two points;
– 90% for three points.
For the purposes of this credit, ‘nominated area’ is defined as Occupied Space with the exception of theatres, cinemas, performance areas (stages), galleries, archives and other spaces that for functional reasons do not allow daylight. 
</t>
  </si>
  <si>
    <r>
      <t xml:space="preserve">Up to two points are awarded where a high level of thermal comfort is achieved for the occupied area on an area-weighted basis:
</t>
    </r>
    <r>
      <rPr>
        <b/>
        <sz val="10"/>
        <rFont val="Arial"/>
        <family val="2"/>
      </rPr>
      <t>Mechanically Ventilated Spaces, Mixed Mode and Naturally Ventilated Spaces</t>
    </r>
    <r>
      <rPr>
        <sz val="10"/>
        <rFont val="Arial"/>
        <family val="2"/>
      </rPr>
      <t xml:space="preserve">
Up to two points are awarded where:
• The Predicted Mean Vote (PMV) levels, calculated in accordance with ISO7730 using standard clothing and metabolic rate values, are within the following limits for at least 98% of occupied hours: 
– One point for PMV levels between -1 and +1 (inclusive);
OR
– Two points for PMV levels between -0.5 and +0.5 (inclusive).
</t>
    </r>
    <r>
      <rPr>
        <b/>
        <sz val="10"/>
        <rFont val="Arial"/>
        <family val="2"/>
      </rPr>
      <t>Naturally Ventilated Spaces</t>
    </r>
    <r>
      <rPr>
        <sz val="10"/>
        <rFont val="Arial"/>
        <family val="2"/>
      </rPr>
      <t xml:space="preserve">
An alternate method to show compliance is available in naturally ventilated spaces.
Up to two points are awarded where:
• Internal operative temperatures are within the ASHRAE Standard 55-2004 Acceptability Limits for at least 98% of occupied hours, awarded as follows: 
– One point for meeting the 80% Acceptability Limits;
OR
– Two points for meeting the 90% Acceptability Limits.
For the purpose of this credit ‘Nominated Area’ is defined as Occupied Space.</t>
    </r>
  </si>
  <si>
    <t>Up to three points are awarded independently as follows: 
One point is awarded where:
• The development does not increase (pre-development) peak stormwater flows for rainfall events of up to a 1-in-2 year storm; 
AND
• The Total Suspended Solids (TSS) are reduced by 80% for the runoff volume resulting from the 1-in-2 year storm;
AND
• Litter, oil and grease are trapped at source.</t>
  </si>
  <si>
    <t>One point is awarded where:
• The development does not increase (pre-development) peak stormwater flows for rainfall events of up to a 1-in-20 year storm;
AND
• Litter, oil and grease are trapped at source.</t>
  </si>
  <si>
    <t>One point is awarded where:
• The runoff volume resulting from the 1 day rainfall, that is equalled or exceeded on average 3 times per year, is either captured and re-used on-site or infiltrated within the site;
AND
• Litter, oil and grease are trapped at source.</t>
  </si>
  <si>
    <r>
      <rPr>
        <b/>
        <sz val="10"/>
        <rFont val="Arial"/>
        <family val="2"/>
      </rPr>
      <t>Refrigerant Leaks</t>
    </r>
    <r>
      <rPr>
        <sz val="10"/>
        <rFont val="Arial"/>
        <family val="2"/>
      </rPr>
      <t xml:space="preserve">
Up to two points are awarded as follows:
One point is awarded where:
• HVAC systems containing refrigerants are:
- Contained in a moderately air tight enclosure;
AND
- Are provided with a leak detection system to cover high-risk parts of the plant;
OR
• An automatic permanent refrigerant leak detection system is specified, which is NOT based on the principle of detecting or measuring the concentration of refrigerant in air.
An additional point is awarded where:
• The point above is achieved;
AND
•  A refrigerant recovery system is installed that is:
- Equipped with an automated pump-down system;
AND
- Sized to effectively and safely capture, isolate, and store 95% (by weight) of the maximum refrigerant charge.
Where no refrigerants are used in the project, OR if all refrigerants have an ODP of zero and a GWP of 10 or less, the two points for refrigerant fugitive emission management are 'Not Applicable' and are excluded from the points available, used to calculate the Emission Category score.</t>
    </r>
  </si>
  <si>
    <t>Round 1 Pre-Submission Checklist</t>
  </si>
  <si>
    <t>Please complete the white cells only below, and submit the completed submission only if all aspects have been addressed.</t>
  </si>
  <si>
    <t>Administration</t>
  </si>
  <si>
    <t>Signed Certification Agreement has been received by the GBCSA</t>
  </si>
  <si>
    <t>Please Confirm</t>
  </si>
  <si>
    <t>The correct and full assessment fee has been received by the GBCSA</t>
  </si>
  <si>
    <t>No Credit Interpretation Requests or Technical Clarifications are outstanding</t>
  </si>
  <si>
    <t>The latest version of the GSSA rating tool has been used</t>
  </si>
  <si>
    <t>Eligibility</t>
  </si>
  <si>
    <t>In the projects opinion, the project meets the following Eligibility Criteria:</t>
  </si>
  <si>
    <t>Eligibility Criteria 1: Spatial differentiation</t>
  </si>
  <si>
    <t>Eligibility Criteria 2: Space use</t>
  </si>
  <si>
    <t>Eligibility Criteria 3: Conditional requirements (project meets Ene-0 and Eco-0 conditional requirements)</t>
  </si>
  <si>
    <t>Eligibility Criteria 4: Timing of Certification (project must be certified within 24 months of practical completion)</t>
  </si>
  <si>
    <t>Submission content and presentation</t>
  </si>
  <si>
    <t>All files are in PDF format only and unlocked, in one layer.</t>
  </si>
  <si>
    <t>Within each category folder, one merged PDF file is provided for each credit targetted</t>
  </si>
  <si>
    <t>Bookmarks have been added for each documentation requirement in the individual credit pdf files</t>
  </si>
  <si>
    <t>Relevant sections of the documentation and drawings have been highlighted to draw the assessors attention to relevant information</t>
  </si>
  <si>
    <t>A general section is included to provide an overview of the project. (It should include architectural drawings, elevations, site plans and complete area summary table for GFA and UA)</t>
  </si>
  <si>
    <t>A completed Green Star SA Excel spreadsheet (for the relevant tool) is included</t>
  </si>
  <si>
    <t>Credit cover sheets (based on the template provided) are included for each credit</t>
  </si>
  <si>
    <t>All reports, letters and drawings referring to the project are on a letterhead and signed where stipulated or where they confirm a commitment</t>
  </si>
  <si>
    <t>Drawings are not in draft form and where applicable carry the "Tender", "For Construction" or “As Built’ stamp/status</t>
  </si>
  <si>
    <t>Specifications are not in draft format</t>
  </si>
  <si>
    <t>All relevant information is included within the credit it supports. (Appendices for each credit can be included, but they must be within the credit itself, clearly referenced within the documentation and have relevant sections highlighted.)</t>
  </si>
  <si>
    <r>
      <t xml:space="preserve">All relevant communication with the GBCSA is included </t>
    </r>
    <r>
      <rPr>
        <sz val="11"/>
        <color indexed="8"/>
        <rFont val="Arial Narrow"/>
        <family val="2"/>
      </rPr>
      <t xml:space="preserve">(including CIR Rulings and Technical Clarifications relevant to this project) </t>
    </r>
  </si>
  <si>
    <t>All drawings are still legible after scaling (especially small stamps, monitors/sensors etc.)</t>
  </si>
  <si>
    <t>All inputs are consistent throughout the submission. (E.g. the fresh air rates claimed in IEQ-1 Ventilation Rates are consistent with Energy modelling in Ene-1. Assessors will not award points and will require conformation where there are inconsistencies.)</t>
  </si>
  <si>
    <t>Submission for each credit includes all documentation stipulated in the Technical Manual and the TC/CIR portal on the GBCSA website</t>
  </si>
  <si>
    <t>All credits claiming “na” have the required supporting documentation</t>
  </si>
  <si>
    <t xml:space="preserve">CD/DVD cover and CD/DVD, communicates the official project name, project reference number, project address, Green Star SA Tool, contact person’s details, submission round and date. </t>
  </si>
  <si>
    <t xml:space="preserve">Folders are included within the digital submission (CD’s) and correspond to the Green Star SA categories and are in the correct order, following the categories and credits. </t>
  </si>
  <si>
    <t>All documents are orientated in the same direction</t>
  </si>
  <si>
    <t>The AP declaration has been signed and submitted with the submission</t>
  </si>
  <si>
    <t>Submission delivery</t>
  </si>
  <si>
    <t>Four digital copies (four CDs) have been prepared for the submission</t>
  </si>
  <si>
    <t xml:space="preserve">Name: ___________________________________      Company: ___________________________________    </t>
  </si>
  <si>
    <t xml:space="preserve">Signature of Applicant: ___________________________________                        </t>
  </si>
  <si>
    <r>
      <rPr>
        <b/>
        <sz val="10"/>
        <rFont val="Arial"/>
        <family val="2"/>
      </rPr>
      <t>Note:</t>
    </r>
    <r>
      <rPr>
        <sz val="10"/>
        <rFont val="Arial"/>
        <family val="2"/>
      </rPr>
      <t xml:space="preserve"> If any of the above have not been complied with, the GBCSA reserves the right to return submission documentation to the project for re-submission and compliance with the above.</t>
    </r>
  </si>
  <si>
    <t>Round 2 Pre-Submission Checklist</t>
  </si>
  <si>
    <t>Eligibility has been established and all conditional requirements have been met OR any eligibility issues raised in Round 1 have been addressed</t>
  </si>
  <si>
    <t xml:space="preserve">All comments from Round 1 have been clearly addressed; new information and/or new credits are highlighted. </t>
  </si>
  <si>
    <t>Green Star SA Project Submission - Applicant Declaration</t>
  </si>
  <si>
    <t>*This page must be printed and signed by the project applicant, and included in the general section of the project submission for Round 1 and Round 2.</t>
  </si>
  <si>
    <t xml:space="preserve">The Green Building Council of South Africa (GBCSA) aims to ensure that every Green Star SA submission is of a good quality and reflects the appropriate correct and true contractual documents on the project (whether they are Design or As Built project contractual documents). In this regard, the GBCSA requires that all Green Star SA project applicants sign this acknowledgement and declaration letter. 
Acknowledgement and declaration by the Green Star SA project applicant:
I/We,___________________________________________________, the person/s responsible for compiling the Green Star SA submission on behalf of ________________________________________________ (the Applicant), confirm that I/we have taken due care, and acknowledge and declare that (to the best of my/our knowledge):
1. I/We have read and understood the relevant technical manual, the conditions of certification and any relevant Technical Clarifications, Errata and Credit Interpretation Requests. 
2. All documentation submitted by me/us on behalf of the Applicant towards this Green Star SA submission has been verified by the appropriate professional/s as being true, correct and accurate.
3. All documentation submitted by me/us on behalf of the Applicant complies with all applicable legislation.
4. All documents and reports submitted to me/us by the Applicant's project team are true and correct and accurately reflect the project’s contractual documentation (whether for a Design or As Built submission).
5. All documents and reports which I/we have prepared for the submission are true and correct and accurately reflect the project’s contractual documentation (whether for a Design or As Built submission).
6. I/We have disclosed all applicable information relevant to the Application and undertake to disclose any further information that may influence the Application.
Where the GBCSA identifies any serious or systematic non-conformances on project documentation in a submission from the Applicant, the GBCSA has the right to query such non-conformance/s with the Applicant, at which point the Applicant is required to investigate this further with its project team, and provide a written response to the GBCSA by no later than 7 (seven) business days from the date on which the query was made to the Applicant by the GBCSA. If the response from the Applicant confirms that the information provided was incorrect, the Applicant's project team can:
a) For a Round 1 submission re-submit the correct information in Round 2 (as per assessor comments) or clarify that the information is not available and concede the point in Round 2
b) For a Round 2 submission, confirm to the GBCSA the incorrect nature of the information submitted, in which event the incorrect information will be excluded from the submission documents counted in the Round 2 results.
If the response from the Applicant confirms that the information provided was correct, the Applicant's project team can, on behalf of the Applicant:
c) In a Round 1 submission re-submit the correct information in Round 2.
d) In a Round 2 submission, notify the GBCSA that such information was in fact correct, in which event the GBCSA will run this by the assessors for a final review before the results are published. 
Where these processes are not followed and the relevant submission documents remain under question, the GBCSA will notify the Applicant, and the credit/s to which this information relates will be unobtainable. Where this incomplete process occurs more than once, with the Applicant, the GBCSA reserves the right not to accept any further submissions from this Applicant in future. At the first instance where this incomplete process occurs, the Applicant will be placed on twelve (12) months’ probation, during which time any similar infringement would allow the GBCSA to exercise its right to not accept any further submissions from the Applicant. Further to this, where the Applicant is a Green Star SA Accredited Professional (GSSA AP), the GBCSA reserves the right to remove the Applicant’s GSSA AP qualification and remove them from the GSSA AP registry on the GBCSA’s website. 
Signature: ___________________________________    Date: ___________________________________     
Name: ___________________________________      Company: ___________________________________    
Signature of Applicant’s line manager warranting that s/he is duly authorised: ___________________________________                        
Name of Applicant’s line manager warranting that s/he is duly authorised: ___________________________________       
</t>
  </si>
  <si>
    <t>STEP 1 Building Information Input</t>
  </si>
  <si>
    <t>STEP 2a Occupant Ammenity Water</t>
  </si>
  <si>
    <t>STEP 2b Heat Rejection</t>
  </si>
  <si>
    <t>STEP 2c Irrigation</t>
  </si>
  <si>
    <t>STEP 2e Laundry Facilities</t>
  </si>
  <si>
    <t>STEP 2f Large Kitchens</t>
  </si>
  <si>
    <t>STEP 2g Other Major Water Uses</t>
  </si>
  <si>
    <t>STEP 3 Sustainable Water Supplies</t>
  </si>
  <si>
    <t>m2 per person</t>
  </si>
  <si>
    <t>Occupant Type</t>
  </si>
  <si>
    <t>Design Number of Occupants</t>
  </si>
  <si>
    <t>Click here to enter a 'User Defined' profile</t>
  </si>
  <si>
    <t>% connected to rain</t>
  </si>
  <si>
    <t>% also connected to grey</t>
  </si>
  <si>
    <t>ERROR:  PLEASE SELECT SHOWER USAGE</t>
  </si>
  <si>
    <t>No shower usage selected, but there are occupants</t>
  </si>
  <si>
    <t>ERROR:  SHOWER FLOW RATES HAVE BEEN ENTERED, BUT NO OCCUPANTS HAVE ACCESS TO SHOWER UNDER BUIDLING INPUTS.  PLEASE CHECK 'BUILDING INFORMATION INPUT'</t>
  </si>
  <si>
    <t>Number of occupants with access to shower defined</t>
  </si>
  <si>
    <t>Heat Rejection Water Demand</t>
  </si>
  <si>
    <t>Please enter the project Nominated Area (HVAC), as defined for ENE-1</t>
  </si>
  <si>
    <t>Water cooled chiller</t>
  </si>
  <si>
    <t>Please select Actual building chiller type</t>
  </si>
  <si>
    <t>Nominated area &gt; 2000</t>
  </si>
  <si>
    <t>Heat rejection load (kWh/month)</t>
  </si>
  <si>
    <t>Consumption per week</t>
  </si>
  <si>
    <t>Actual building irrigation demands (m3/year)</t>
  </si>
  <si>
    <t>Notional building irrigation demands (m3/year)</t>
  </si>
  <si>
    <t>Building Specific Major Water Uses - Swimming Pools</t>
  </si>
  <si>
    <t>Notional Building Assumptions</t>
  </si>
  <si>
    <t>Building Specific Major Water Uses - Laundry Facility Water Demand</t>
  </si>
  <si>
    <t>Are laundry facilities provided in the building?</t>
  </si>
  <si>
    <t>Facility Provided</t>
  </si>
  <si>
    <t>Optional</t>
  </si>
  <si>
    <t>Please enter the estimated laundry load per month</t>
  </si>
  <si>
    <t>Actual Building input is optional.  Would you like to consider laundry water demand?</t>
  </si>
  <si>
    <t>Mandatory</t>
  </si>
  <si>
    <t>Estimated Laundry Load (kg)</t>
  </si>
  <si>
    <t>User select</t>
  </si>
  <si>
    <t>Total Typical Water Demand* (m3)</t>
  </si>
  <si>
    <t>Display Actual input</t>
  </si>
  <si>
    <t>Laundry Water Demand (m3)</t>
  </si>
  <si>
    <t>Please enter laundry equipment efficiency (litres/kg)</t>
  </si>
  <si>
    <t>% Laundry of Total</t>
  </si>
  <si>
    <t>Actual Building (m3 per month)</t>
  </si>
  <si>
    <t>Notional Building (m3/month)</t>
  </si>
  <si>
    <t>Included</t>
  </si>
  <si>
    <t>*Includes Occupant Amenity, Heat Rejection &amp; Irrigation Water</t>
  </si>
  <si>
    <t>Laundry - Notional Building Assumptions</t>
  </si>
  <si>
    <t>Efficiency of Laundry Equipment (litre/load)</t>
  </si>
  <si>
    <t>Threshold for optional compliance</t>
  </si>
  <si>
    <t>Laundry accounts for &lt;3% of total demand, actual building input optional</t>
  </si>
  <si>
    <t>Laundry accounts for &gt;3% of total demand, actual building input mandatory</t>
  </si>
  <si>
    <t>Total Laundry demand</t>
  </si>
  <si>
    <t>Building Specific Major Water Uses - Large Kitchen Water Demand</t>
  </si>
  <si>
    <t>Is there a large kitchen providing meals in the building?</t>
  </si>
  <si>
    <t>Please enter the estimated number of meals served per month</t>
  </si>
  <si>
    <t>Please select kitchen items installed</t>
  </si>
  <si>
    <t>Estimated number of meals served</t>
  </si>
  <si>
    <t>Please enter Actual Building water demand per meal (litres/meal).  Please refer to Addendum D in the calculator guide for details on how to calculate this</t>
  </si>
  <si>
    <t>(litres/meal)</t>
  </si>
  <si>
    <t>Dishwashers</t>
  </si>
  <si>
    <t>Under Counter</t>
  </si>
  <si>
    <t>Pre rinse valves</t>
  </si>
  <si>
    <t>INCLUDED</t>
  </si>
  <si>
    <t>Basin / Sink Taps</t>
  </si>
  <si>
    <t>Steam Cookers</t>
  </si>
  <si>
    <t>Notional Building Consumption</t>
  </si>
  <si>
    <t>Actual Building Consumption</t>
  </si>
  <si>
    <t>Kitchen - Notional Building Assumptions</t>
  </si>
  <si>
    <t>Pre rinse</t>
  </si>
  <si>
    <t>Reference case usage</t>
  </si>
  <si>
    <t>Usage</t>
  </si>
  <si>
    <t>Consumption per meal (ltr/meal)</t>
  </si>
  <si>
    <t>Consumption (ltr/meal)</t>
  </si>
  <si>
    <t>Basin</t>
  </si>
  <si>
    <t>Steam cooker</t>
  </si>
  <si>
    <t>Kitchen Water Demand (m3)</t>
  </si>
  <si>
    <t>ltr/rack</t>
  </si>
  <si>
    <t>1 rack per 10 meals</t>
  </si>
  <si>
    <t>% Kitchen of Total</t>
  </si>
  <si>
    <t>Single Tank Door</t>
  </si>
  <si>
    <t>Tank Conveyor</t>
  </si>
  <si>
    <t>Multiple Tank Conveyor</t>
  </si>
  <si>
    <t>ltr/min</t>
  </si>
  <si>
    <t>1 minute per 5 meals</t>
  </si>
  <si>
    <t>Basin / Sink Tap</t>
  </si>
  <si>
    <t>ltr/hour</t>
  </si>
  <si>
    <t>1 hour per 25 meals</t>
  </si>
  <si>
    <t>Total Kitchen demand</t>
  </si>
  <si>
    <t>Other Major Water Use</t>
  </si>
  <si>
    <t>Other Major Water Uses</t>
  </si>
  <si>
    <t>Threshold for inclusion:</t>
  </si>
  <si>
    <t>For more details on how to include major water uses, please refer to the Potable Water Calculator Guide</t>
  </si>
  <si>
    <t>Other major water use</t>
  </si>
  <si>
    <t>Are there any other major water demands not accounted for in the calculator?</t>
  </si>
  <si>
    <t>Notional Building demand &gt; 3% of total.  Demand included</t>
  </si>
  <si>
    <t>{Other Water Use 1}</t>
  </si>
  <si>
    <t>{Other Water Use 2}</t>
  </si>
  <si>
    <t>{Other Water Use 3}</t>
  </si>
  <si>
    <t>Notional Building demand &lt;3% of total.  Demand not included</t>
  </si>
  <si>
    <t>(m3 per month)</t>
  </si>
  <si>
    <t>Included:</t>
  </si>
  <si>
    <t>Total (m3 per year)</t>
  </si>
  <si>
    <t>Include</t>
  </si>
  <si>
    <t>Laundry Facilities</t>
  </si>
  <si>
    <t>Large Kitchens</t>
  </si>
  <si>
    <t>Laundry demand reduction by greywater</t>
  </si>
  <si>
    <t>Kitchen demand reduction by greywater</t>
  </si>
  <si>
    <t>Max  potential saving</t>
  </si>
  <si>
    <t>Rainwater</t>
  </si>
  <si>
    <t>Offsite water</t>
  </si>
  <si>
    <t>Storage volume (m3)</t>
  </si>
  <si>
    <t>% of these also connected to Grey Water</t>
  </si>
  <si>
    <t>Percentage also connected to rainwater</t>
  </si>
  <si>
    <t>Percentage also connected to grey water</t>
  </si>
  <si>
    <t>Conversion factor</t>
  </si>
  <si>
    <t>Potable Water Calculator</t>
  </si>
  <si>
    <t>YES</t>
  </si>
  <si>
    <t>NO</t>
  </si>
  <si>
    <r>
      <t xml:space="preserve">Please provide input in the </t>
    </r>
    <r>
      <rPr>
        <b/>
        <u/>
        <sz val="14"/>
        <color theme="1"/>
        <rFont val="Arial"/>
        <family val="2"/>
      </rPr>
      <t>white cells only</t>
    </r>
  </si>
  <si>
    <t>Building Info:</t>
  </si>
  <si>
    <t>Water demands:</t>
  </si>
  <si>
    <t>Sustainable Supply:</t>
  </si>
  <si>
    <t>STEP 2d Pools</t>
  </si>
  <si>
    <t>Shortcut navigation links:</t>
  </si>
  <si>
    <r>
      <rPr>
        <b/>
        <sz val="11"/>
        <color theme="0"/>
        <rFont val="Arial"/>
        <family val="2"/>
      </rPr>
      <t xml:space="preserve">STEP 1a - </t>
    </r>
    <r>
      <rPr>
        <sz val="11"/>
        <color theme="0"/>
        <rFont val="Arial"/>
        <family val="2"/>
      </rPr>
      <t xml:space="preserve">Please provide occupant information </t>
    </r>
  </si>
  <si>
    <r>
      <rPr>
        <b/>
        <sz val="11"/>
        <color theme="0"/>
        <rFont val="Arial"/>
        <family val="2"/>
      </rPr>
      <t>STEP 1b -</t>
    </r>
    <r>
      <rPr>
        <sz val="11"/>
        <color theme="0"/>
        <rFont val="Arial"/>
        <family val="2"/>
      </rPr>
      <t xml:space="preserve"> Please provide information regarding the building location</t>
    </r>
  </si>
  <si>
    <r>
      <rPr>
        <b/>
        <sz val="11"/>
        <color theme="0"/>
        <rFont val="Arial"/>
        <family val="2"/>
      </rPr>
      <t>STEP 2a -</t>
    </r>
    <r>
      <rPr>
        <sz val="11"/>
        <color theme="0"/>
        <rFont val="Arial"/>
        <family val="2"/>
      </rPr>
      <t xml:space="preserve"> Please provide information regarding the indoor fittings installed in the building</t>
    </r>
  </si>
  <si>
    <r>
      <rPr>
        <b/>
        <sz val="11"/>
        <color theme="0"/>
        <rFont val="Arial"/>
        <family val="2"/>
      </rPr>
      <t>STEP 2b</t>
    </r>
    <r>
      <rPr>
        <sz val="11"/>
        <color theme="0"/>
        <rFont val="Arial"/>
        <family val="2"/>
      </rPr>
      <t xml:space="preserve"> - Please provide information regarding Heat Rejection water demand in the building. </t>
    </r>
  </si>
  <si>
    <r>
      <rPr>
        <b/>
        <sz val="11"/>
        <color theme="0"/>
        <rFont val="Arial"/>
        <family val="2"/>
      </rPr>
      <t>STEP 2c -</t>
    </r>
    <r>
      <rPr>
        <sz val="11"/>
        <color theme="0"/>
        <rFont val="Arial"/>
        <family val="2"/>
      </rPr>
      <t xml:space="preserve"> Please provide information regarding irrigation water consumption in the building. </t>
    </r>
  </si>
  <si>
    <r>
      <rPr>
        <b/>
        <sz val="11"/>
        <color theme="0"/>
        <rFont val="Arial"/>
        <family val="2"/>
      </rPr>
      <t>STEP 2d -</t>
    </r>
    <r>
      <rPr>
        <sz val="11"/>
        <color theme="0"/>
        <rFont val="Arial"/>
        <family val="2"/>
      </rPr>
      <t xml:space="preserve"> Please provide information regarding swimming pool water consumption in the building.  If there are no swimming pools, please proceed to the next step</t>
    </r>
  </si>
  <si>
    <r>
      <rPr>
        <b/>
        <sz val="11"/>
        <color theme="0"/>
        <rFont val="Arial"/>
        <family val="2"/>
      </rPr>
      <t>STEP 2e</t>
    </r>
    <r>
      <rPr>
        <sz val="11"/>
        <color theme="0"/>
        <rFont val="Arial"/>
        <family val="2"/>
      </rPr>
      <t xml:space="preserve"> - Please provide information regarding laundry facilities provided as part of the base building contract.  If there are no laundry facilities, please proceed to the next step</t>
    </r>
  </si>
  <si>
    <r>
      <rPr>
        <b/>
        <sz val="11"/>
        <color theme="0"/>
        <rFont val="Arial"/>
        <family val="2"/>
      </rPr>
      <t>STEP 2f -</t>
    </r>
    <r>
      <rPr>
        <sz val="11"/>
        <color theme="0"/>
        <rFont val="Arial"/>
        <family val="2"/>
      </rPr>
      <t xml:space="preserve"> Please provide information regarding Large Kitchens provided in the building.  If there are no Large Kitchen facilities, please proceed to the next step</t>
    </r>
  </si>
  <si>
    <r>
      <rPr>
        <b/>
        <sz val="11"/>
        <color theme="0"/>
        <rFont val="Arial"/>
        <family val="2"/>
      </rPr>
      <t>STEP 2g</t>
    </r>
    <r>
      <rPr>
        <sz val="11"/>
        <color theme="0"/>
        <rFont val="Arial"/>
        <family val="2"/>
      </rPr>
      <t xml:space="preserve"> - Please provide information regarding other major water uses in the building.  If there are no other major water uses, please proceed to the next step</t>
    </r>
  </si>
  <si>
    <r>
      <rPr>
        <b/>
        <sz val="11"/>
        <color theme="0"/>
        <rFont val="Arial"/>
        <family val="2"/>
      </rPr>
      <t>STEP 3</t>
    </r>
    <r>
      <rPr>
        <sz val="11"/>
        <color theme="0"/>
        <rFont val="Arial"/>
        <family val="2"/>
      </rPr>
      <t xml:space="preserve"> - Please provide information regarding sustainable water supply and demand in the building.  If no sustainable water is used in the building, proceed to Summary</t>
    </r>
  </si>
  <si>
    <t>Water usage SUMMARY</t>
  </si>
  <si>
    <t xml:space="preserve">Each page of all documents must be marked by use of a label indicating what Documentation Requirement it is supporting </t>
  </si>
  <si>
    <t>A general section is included to provide an overview of the project. (It should include architectural drawings, elevations, site plans, complete area summary table for GFA and UA, and 2 x images/renderings of the project)</t>
  </si>
  <si>
    <t>Todays Date:</t>
  </si>
  <si>
    <t>Fully Registered Date:</t>
  </si>
  <si>
    <t>Site Handover Date:</t>
  </si>
  <si>
    <t>Construction Commencement Date:</t>
  </si>
  <si>
    <t>Practical Completion Date:</t>
  </si>
  <si>
    <r>
      <t xml:space="preserve">Up to two points are awarded as follows:
</t>
    </r>
    <r>
      <rPr>
        <b/>
        <sz val="10"/>
        <rFont val="Arial"/>
        <family val="2"/>
      </rPr>
      <t xml:space="preserve">
Naturally ventilated spaces</t>
    </r>
    <r>
      <rPr>
        <sz val="10"/>
        <rFont val="Arial"/>
        <family val="2"/>
      </rPr>
      <t xml:space="preserve">
Up to two points are awarded where:
•  It is demonstrated that 95% of the Nominated Area is naturally ventilated in accordance with SANS 10400-O:2011;
</t>
    </r>
    <r>
      <rPr>
        <b/>
        <sz val="10"/>
        <rFont val="Arial"/>
        <family val="2"/>
      </rPr>
      <t xml:space="preserve">Mechanically ventilated spaces </t>
    </r>
    <r>
      <rPr>
        <sz val="10"/>
        <rFont val="Arial"/>
        <family val="2"/>
      </rPr>
      <t xml:space="preserve">
Up to two points are awarded where:
• It is demonstrated that for 95% of the Nominated Area, outside air is provided at rates greater than the l/s per person requirements of SANS 10400-O:2011, awarded as follows:
– 33% improvement for one point; 
– 66% improvement for two points; or
</t>
    </r>
    <r>
      <rPr>
        <b/>
        <sz val="10"/>
        <rFont val="Arial"/>
        <family val="2"/>
      </rPr>
      <t>Mixed-mode ventilated spaces</t>
    </r>
    <r>
      <rPr>
        <sz val="10"/>
        <rFont val="Arial"/>
        <family val="2"/>
      </rPr>
      <t xml:space="preserve">
Up to two points are awarded where:
• Both modes of operation individually satisfy the relevant criteria for naturally ventilated spaces and mechanically ventilated spaces. Points awarded are limited to the maximum points awarded under the mechanically ventilated space criteria.
D</t>
    </r>
    <r>
      <rPr>
        <b/>
        <sz val="10"/>
        <rFont val="Arial"/>
        <family val="2"/>
      </rPr>
      <t>isplacement ventilated spaces</t>
    </r>
    <r>
      <rPr>
        <sz val="10"/>
        <rFont val="Arial"/>
        <family val="2"/>
      </rPr>
      <t xml:space="preserve">
Up to two points are awarded where:
• It is demonstrated that for 95% of the Nominated Area, outside air is provided at rates greater than the requirements of SANS 10400-O:2011, awarded as follows:
– 25% improvement for one point; 
– 70% improvement for two points; or
– 110% improvement for three points.
For the purposes of this credit, the ‘Nominated Area’ is Occupied Space.</t>
    </r>
  </si>
  <si>
    <t>Last Modified: 11 September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</si>
</sst>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 #,##0.00_);_(* \(#,##0.00\);_(* &quot;-&quot;??_);_(@_)"/>
    <numFmt numFmtId="165" formatCode="0.000"/>
    <numFmt numFmtId="166" formatCode="0.0"/>
    <numFmt numFmtId="167" formatCode="0.0%"/>
    <numFmt numFmtId="168" formatCode="_(* #,##0_);_(* \(#,##0\);_(* &quot;-&quot;??_);_(@_)"/>
    <numFmt numFmtId="169" formatCode="_-* #,##0_-;\-* #,##0_-;_-* \-??_-;_-@_-"/>
    <numFmt numFmtId="170" formatCode="_(* #,##0.000_);_(* \(#,##0.000\);_(* &quot;-&quot;??_);_(@_)"/>
    <numFmt numFmtId="171" formatCode="[$-1C09]dd\ mmmm\ yyyy;@"/>
    <numFmt numFmtId="172" formatCode="#,##0.0"/>
    <numFmt numFmtId="173" formatCode="0.000%"/>
    <numFmt numFmtId="174" formatCode="#,##0.000"/>
    <numFmt numFmtId="175" formatCode="#,##0&quot; litre/kg&quot;"/>
  </numFmts>
  <fonts count="228">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u/>
      <sz val="7.5"/>
      <color indexed="12"/>
      <name val="Geneva"/>
      <family val="2"/>
    </font>
    <font>
      <sz val="10"/>
      <name val="HelveticaNeue-Roman"/>
      <family val="2"/>
    </font>
    <font>
      <b/>
      <sz val="12"/>
      <name val="Arial"/>
      <family val="2"/>
    </font>
    <font>
      <b/>
      <sz val="10"/>
      <name val="Arial"/>
      <family val="2"/>
    </font>
    <font>
      <b/>
      <sz val="10"/>
      <color indexed="10"/>
      <name val="Arial"/>
      <family val="2"/>
    </font>
    <font>
      <sz val="9"/>
      <name val="Arial"/>
      <family val="2"/>
    </font>
    <font>
      <sz val="10"/>
      <color indexed="8"/>
      <name val="Arial"/>
      <family val="2"/>
    </font>
    <font>
      <b/>
      <sz val="10"/>
      <color indexed="8"/>
      <name val="Arial"/>
      <family val="2"/>
    </font>
    <font>
      <b/>
      <sz val="14"/>
      <color indexed="8"/>
      <name val="Arial"/>
      <family val="2"/>
    </font>
    <font>
      <b/>
      <i/>
      <sz val="18"/>
      <color indexed="17"/>
      <name val="Arial"/>
      <family val="2"/>
    </font>
    <font>
      <i/>
      <sz val="14"/>
      <name val="Arial"/>
      <family val="2"/>
    </font>
    <font>
      <b/>
      <sz val="14"/>
      <color indexed="10"/>
      <name val="Arial"/>
      <family val="2"/>
    </font>
    <font>
      <b/>
      <i/>
      <sz val="12"/>
      <color indexed="10"/>
      <name val="Arial"/>
      <family val="2"/>
    </font>
    <font>
      <sz val="16"/>
      <name val="Arial"/>
      <family val="2"/>
    </font>
    <font>
      <b/>
      <i/>
      <sz val="10"/>
      <name val="Arial"/>
      <family val="2"/>
    </font>
    <font>
      <sz val="10"/>
      <color indexed="10"/>
      <name val="Arial"/>
      <family val="2"/>
    </font>
    <font>
      <b/>
      <sz val="14"/>
      <name val="Arial"/>
      <family val="2"/>
    </font>
    <font>
      <b/>
      <u/>
      <sz val="10"/>
      <name val="Arial"/>
      <family val="2"/>
    </font>
    <font>
      <sz val="10"/>
      <color indexed="9"/>
      <name val="Arial"/>
      <family val="2"/>
    </font>
    <font>
      <sz val="12"/>
      <name val="Arial"/>
      <family val="2"/>
    </font>
    <font>
      <sz val="10"/>
      <name val="Arial"/>
      <family val="2"/>
    </font>
    <font>
      <i/>
      <sz val="10"/>
      <name val="Arial"/>
      <family val="2"/>
    </font>
    <font>
      <b/>
      <u/>
      <sz val="10"/>
      <name val="Arial"/>
      <family val="2"/>
    </font>
    <font>
      <i/>
      <sz val="20"/>
      <name val="Arial"/>
      <family val="2"/>
    </font>
    <font>
      <b/>
      <u/>
      <sz val="12"/>
      <name val="Arial"/>
      <family val="2"/>
    </font>
    <font>
      <i/>
      <sz val="16"/>
      <name val="Arial"/>
      <family val="2"/>
    </font>
    <font>
      <sz val="16"/>
      <color indexed="10"/>
      <name val="Arial"/>
      <family val="2"/>
    </font>
    <font>
      <b/>
      <sz val="11"/>
      <name val="Arial"/>
      <family val="2"/>
    </font>
    <font>
      <b/>
      <sz val="10"/>
      <color indexed="9"/>
      <name val="Arial"/>
      <family val="2"/>
    </font>
    <font>
      <sz val="10"/>
      <color indexed="9"/>
      <name val="Arial"/>
      <family val="2"/>
    </font>
    <font>
      <b/>
      <sz val="10"/>
      <color indexed="9"/>
      <name val="Arial"/>
      <family val="2"/>
    </font>
    <font>
      <b/>
      <sz val="14"/>
      <color indexed="9"/>
      <name val="Arial"/>
      <family val="2"/>
    </font>
    <font>
      <b/>
      <sz val="10"/>
      <color indexed="10"/>
      <name val="Arial"/>
      <family val="2"/>
    </font>
    <font>
      <sz val="10"/>
      <color indexed="14"/>
      <name val="Arial"/>
      <family val="2"/>
    </font>
    <font>
      <sz val="10"/>
      <color indexed="9"/>
      <name val="Verdana"/>
      <family val="2"/>
    </font>
    <font>
      <b/>
      <sz val="18"/>
      <color indexed="9"/>
      <name val="Arial"/>
      <family val="2"/>
    </font>
    <font>
      <b/>
      <sz val="11"/>
      <color indexed="9"/>
      <name val="Arial"/>
      <family val="2"/>
    </font>
    <font>
      <b/>
      <sz val="11"/>
      <name val="HelveticaNeue-Roman"/>
      <family val="2"/>
    </font>
    <font>
      <sz val="8"/>
      <name val="HelveticaNeue-Roman"/>
      <family val="2"/>
    </font>
    <font>
      <b/>
      <sz val="22"/>
      <color indexed="9"/>
      <name val="Arial"/>
      <family val="2"/>
    </font>
    <font>
      <b/>
      <sz val="14"/>
      <color indexed="8"/>
      <name val="Arial"/>
      <family val="2"/>
    </font>
    <font>
      <b/>
      <sz val="14"/>
      <color indexed="9"/>
      <name val="Arial"/>
      <family val="2"/>
    </font>
    <font>
      <sz val="10"/>
      <name val="Arial"/>
      <family val="2"/>
    </font>
    <font>
      <b/>
      <sz val="11"/>
      <color indexed="9"/>
      <name val="Arial"/>
      <family val="2"/>
    </font>
    <font>
      <b/>
      <sz val="10"/>
      <color indexed="9"/>
      <name val="Arial"/>
      <family val="2"/>
    </font>
    <font>
      <sz val="10"/>
      <name val="Verdana"/>
      <family val="2"/>
    </font>
    <font>
      <sz val="11"/>
      <color indexed="9"/>
      <name val="Arial"/>
      <family val="2"/>
    </font>
    <font>
      <sz val="10"/>
      <color indexed="55"/>
      <name val="Arial"/>
      <family val="2"/>
    </font>
    <font>
      <sz val="10"/>
      <color indexed="23"/>
      <name val="Arial"/>
      <family val="2"/>
    </font>
    <font>
      <sz val="14"/>
      <name val="Arial"/>
      <family val="2"/>
    </font>
    <font>
      <sz val="14"/>
      <color indexed="8"/>
      <name val="Arial"/>
      <family val="2"/>
    </font>
    <font>
      <b/>
      <sz val="12"/>
      <color indexed="9"/>
      <name val="Arial"/>
      <family val="2"/>
    </font>
    <font>
      <sz val="12"/>
      <color indexed="9"/>
      <name val="Arial"/>
      <family val="2"/>
    </font>
    <font>
      <sz val="12"/>
      <color indexed="8"/>
      <name val="Arial"/>
      <family val="2"/>
    </font>
    <font>
      <b/>
      <sz val="12"/>
      <color indexed="9"/>
      <name val="Arial"/>
      <family val="2"/>
    </font>
    <font>
      <b/>
      <sz val="12"/>
      <color indexed="8"/>
      <name val="Arial"/>
      <family val="2"/>
    </font>
    <font>
      <sz val="11"/>
      <color indexed="8"/>
      <name val="Calibri"/>
      <family val="2"/>
    </font>
    <font>
      <sz val="11"/>
      <color indexed="9"/>
      <name val="Calibri"/>
      <family val="2"/>
    </font>
    <font>
      <sz val="11"/>
      <color indexed="25"/>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8"/>
      <name val="Arial"/>
      <family val="2"/>
    </font>
    <font>
      <b/>
      <sz val="16.5"/>
      <color indexed="9"/>
      <name val="Arial"/>
      <family val="2"/>
    </font>
    <font>
      <b/>
      <sz val="12"/>
      <color indexed="9"/>
      <name val="HelveticaNeue-Roman"/>
      <family val="2"/>
    </font>
    <font>
      <b/>
      <sz val="13"/>
      <color indexed="9"/>
      <name val="Arial"/>
      <family val="2"/>
    </font>
    <font>
      <b/>
      <sz val="10"/>
      <color indexed="23"/>
      <name val="Arial"/>
      <family val="2"/>
    </font>
    <font>
      <sz val="10"/>
      <color indexed="9"/>
      <name val="HelveticaNeue-Roman"/>
    </font>
    <font>
      <b/>
      <sz val="10"/>
      <color indexed="9"/>
      <name val="HelveticaNeue-Roman"/>
    </font>
    <font>
      <sz val="8"/>
      <color indexed="9"/>
      <name val="Arial"/>
      <family val="2"/>
    </font>
    <font>
      <vertAlign val="subscript"/>
      <sz val="10"/>
      <color indexed="9"/>
      <name val="Arial"/>
      <family val="2"/>
    </font>
    <font>
      <vertAlign val="subscript"/>
      <sz val="8"/>
      <color indexed="9"/>
      <name val="Arial"/>
      <family val="2"/>
    </font>
    <font>
      <sz val="9"/>
      <color indexed="81"/>
      <name val="Tahoma"/>
      <family val="2"/>
    </font>
    <font>
      <sz val="8"/>
      <color indexed="81"/>
      <name val="Tahoma"/>
      <family val="2"/>
    </font>
    <font>
      <b/>
      <sz val="22"/>
      <color indexed="9"/>
      <name val="Arial"/>
      <family val="2"/>
    </font>
    <font>
      <b/>
      <sz val="10"/>
      <color indexed="14"/>
      <name val="Arial"/>
      <family val="2"/>
    </font>
    <font>
      <b/>
      <sz val="12"/>
      <color indexed="8"/>
      <name val="Arial"/>
      <family val="2"/>
    </font>
    <font>
      <b/>
      <sz val="10"/>
      <color indexed="23"/>
      <name val="Verdana"/>
      <family val="2"/>
    </font>
    <font>
      <sz val="10"/>
      <color indexed="9"/>
      <name val="Arial"/>
      <family val="2"/>
    </font>
    <font>
      <sz val="8"/>
      <name val="Verdana"/>
      <family val="2"/>
    </font>
    <font>
      <b/>
      <sz val="10"/>
      <color indexed="9"/>
      <name val="Verdana"/>
      <family val="2"/>
    </font>
    <font>
      <sz val="10"/>
      <name val="Verdana"/>
      <family val="2"/>
    </font>
    <font>
      <sz val="16.5"/>
      <name val="HelveticaNeue-Roman"/>
      <family val="2"/>
    </font>
    <font>
      <sz val="16.5"/>
      <color indexed="9"/>
      <name val="Arial"/>
      <family val="2"/>
    </font>
    <font>
      <b/>
      <sz val="16.5"/>
      <name val="Arial"/>
      <family val="2"/>
    </font>
    <font>
      <b/>
      <sz val="16"/>
      <color indexed="9"/>
      <name val="Arial"/>
      <family val="2"/>
    </font>
    <font>
      <b/>
      <sz val="10"/>
      <name val="HelveticaNeue-Roman"/>
      <family val="2"/>
    </font>
    <font>
      <b/>
      <vertAlign val="superscript"/>
      <sz val="10"/>
      <color indexed="9"/>
      <name val="Arial"/>
      <family val="2"/>
    </font>
    <font>
      <b/>
      <sz val="10"/>
      <color indexed="10"/>
      <name val="HelveticaNeue-Roman"/>
      <family val="2"/>
    </font>
    <font>
      <b/>
      <sz val="16"/>
      <name val="Arial"/>
      <family val="2"/>
    </font>
    <font>
      <b/>
      <sz val="8"/>
      <color indexed="81"/>
      <name val="Tahoma"/>
      <family val="2"/>
    </font>
    <font>
      <b/>
      <sz val="9"/>
      <color indexed="81"/>
      <name val="Tahoma"/>
      <family val="2"/>
    </font>
    <font>
      <b/>
      <sz val="10.5"/>
      <color indexed="9"/>
      <name val="Arial"/>
      <family val="2"/>
    </font>
    <font>
      <sz val="10.5"/>
      <color indexed="9"/>
      <name val="Arial"/>
      <family val="2"/>
    </font>
    <font>
      <b/>
      <sz val="18"/>
      <name val="Arial"/>
      <family val="2"/>
    </font>
    <font>
      <sz val="11"/>
      <name val="HelveticaNeue-Roman"/>
      <family val="2"/>
    </font>
    <font>
      <sz val="14"/>
      <color indexed="9"/>
      <name val="Arial"/>
      <family val="2"/>
    </font>
    <font>
      <sz val="8"/>
      <name val="Arial"/>
      <family val="2"/>
    </font>
    <font>
      <b/>
      <sz val="8"/>
      <name val="Arial"/>
      <family val="2"/>
    </font>
    <font>
      <b/>
      <sz val="16"/>
      <color indexed="10"/>
      <name val="Arial"/>
      <family val="2"/>
    </font>
    <font>
      <sz val="11"/>
      <name val="Arial"/>
      <family val="2"/>
    </font>
    <font>
      <b/>
      <sz val="11"/>
      <color indexed="23"/>
      <name val="Arial"/>
      <family val="2"/>
    </font>
    <font>
      <sz val="36"/>
      <name val="HelveticaNeue-Roman"/>
      <family val="2"/>
    </font>
    <font>
      <sz val="13"/>
      <name val="HelveticaNeue-Roman"/>
      <family val="2"/>
    </font>
    <font>
      <sz val="10"/>
      <name val="Century Gothic"/>
      <family val="2"/>
    </font>
    <font>
      <b/>
      <sz val="10"/>
      <color indexed="23"/>
      <name val="Verdana"/>
      <family val="2"/>
    </font>
    <font>
      <b/>
      <sz val="20"/>
      <color indexed="9"/>
      <name val="Verdana"/>
      <family val="2"/>
    </font>
    <font>
      <b/>
      <sz val="14"/>
      <color indexed="45"/>
      <name val="Arial"/>
      <family val="2"/>
    </font>
    <font>
      <b/>
      <sz val="10"/>
      <color indexed="11"/>
      <name val="Arial"/>
      <family val="2"/>
    </font>
    <font>
      <sz val="24"/>
      <name val="Arial"/>
      <family val="2"/>
    </font>
    <font>
      <b/>
      <sz val="8"/>
      <color indexed="23"/>
      <name val="Arial"/>
      <family val="2"/>
    </font>
    <font>
      <sz val="8"/>
      <color indexed="23"/>
      <name val="Arial"/>
      <family val="2"/>
    </font>
    <font>
      <b/>
      <sz val="8"/>
      <color indexed="53"/>
      <name val="Arial"/>
      <family val="2"/>
    </font>
    <font>
      <b/>
      <sz val="12"/>
      <color indexed="40"/>
      <name val="Arial"/>
      <family val="2"/>
    </font>
    <font>
      <sz val="10"/>
      <color indexed="40"/>
      <name val="Arial"/>
      <family val="2"/>
    </font>
    <font>
      <sz val="10"/>
      <color indexed="9"/>
      <name val="HelveticaNeue-Roman"/>
      <family val="2"/>
    </font>
    <font>
      <sz val="16.5"/>
      <color indexed="9"/>
      <name val="HelveticaNeue-Roman"/>
      <family val="2"/>
    </font>
    <font>
      <b/>
      <sz val="10"/>
      <color indexed="9"/>
      <name val="HelveticaNeue-Roman"/>
      <family val="2"/>
    </font>
    <font>
      <b/>
      <i/>
      <sz val="13"/>
      <color indexed="9"/>
      <name val="Arial"/>
      <family val="2"/>
    </font>
    <font>
      <sz val="11"/>
      <name val="Calibri"/>
      <family val="2"/>
    </font>
    <font>
      <b/>
      <i/>
      <sz val="12"/>
      <color indexed="9"/>
      <name val="Arial"/>
      <family val="2"/>
    </font>
    <font>
      <sz val="10"/>
      <color indexed="23"/>
      <name val="Verdana"/>
      <family val="2"/>
    </font>
    <font>
      <b/>
      <sz val="10"/>
      <color indexed="40"/>
      <name val="Arial"/>
      <family val="2"/>
    </font>
    <font>
      <i/>
      <sz val="10"/>
      <color indexed="40"/>
      <name val="Arial"/>
      <family val="2"/>
    </font>
    <font>
      <sz val="8"/>
      <color indexed="40"/>
      <name val="Arial"/>
      <family val="2"/>
    </font>
    <font>
      <i/>
      <sz val="10"/>
      <color indexed="8"/>
      <name val="Arial"/>
      <family val="2"/>
    </font>
    <font>
      <sz val="8"/>
      <color indexed="10"/>
      <name val="Arial"/>
      <family val="2"/>
    </font>
    <font>
      <i/>
      <sz val="10"/>
      <color indexed="9"/>
      <name val="Arial"/>
      <family val="2"/>
    </font>
    <font>
      <b/>
      <sz val="11"/>
      <color indexed="10"/>
      <name val="Verdana"/>
      <family val="2"/>
    </font>
    <font>
      <sz val="10"/>
      <color indexed="40"/>
      <name val="HelveticaNeue-Roman"/>
      <family val="2"/>
    </font>
    <font>
      <b/>
      <sz val="18"/>
      <color indexed="9"/>
      <name val="Arial"/>
      <family val="2"/>
    </font>
    <font>
      <sz val="11"/>
      <color indexed="9"/>
      <name val="Verdana"/>
      <family val="2"/>
    </font>
    <font>
      <sz val="9"/>
      <color indexed="8"/>
      <name val="Arial"/>
      <family val="2"/>
    </font>
    <font>
      <sz val="8"/>
      <color indexed="8"/>
      <name val="Arial"/>
      <family val="2"/>
    </font>
    <font>
      <sz val="9"/>
      <name val="Verdana"/>
      <family val="2"/>
    </font>
    <font>
      <b/>
      <sz val="9"/>
      <color indexed="9"/>
      <name val="Arial"/>
      <family val="2"/>
    </font>
    <font>
      <sz val="8"/>
      <color indexed="9"/>
      <name val="Verdana"/>
      <family val="2"/>
    </font>
    <font>
      <b/>
      <sz val="10"/>
      <name val="Verdana"/>
      <family val="2"/>
    </font>
    <font>
      <u/>
      <sz val="7.5"/>
      <color indexed="12"/>
      <name val="Geneva"/>
    </font>
    <font>
      <sz val="10"/>
      <color theme="0"/>
      <name val="Verdana"/>
      <family val="2"/>
    </font>
    <font>
      <u/>
      <sz val="10"/>
      <color indexed="9"/>
      <name val="Arial"/>
      <family val="2"/>
    </font>
    <font>
      <u/>
      <sz val="10"/>
      <color theme="0"/>
      <name val="Verdana"/>
      <family val="2"/>
    </font>
    <font>
      <sz val="10"/>
      <color theme="0"/>
      <name val="Arial"/>
      <family val="2"/>
    </font>
    <font>
      <u/>
      <sz val="10"/>
      <color theme="0"/>
      <name val="Arial"/>
      <family val="2"/>
    </font>
    <font>
      <b/>
      <u/>
      <sz val="14"/>
      <color theme="0"/>
      <name val="Arial"/>
      <family val="2"/>
    </font>
    <font>
      <sz val="14"/>
      <color theme="0"/>
      <name val="Arial"/>
      <family val="2"/>
    </font>
    <font>
      <b/>
      <u/>
      <sz val="14"/>
      <color indexed="9"/>
      <name val="Arial"/>
      <family val="2"/>
    </font>
    <font>
      <sz val="10"/>
      <color rgb="FFFF0000"/>
      <name val="Arial"/>
      <family val="2"/>
    </font>
    <font>
      <b/>
      <sz val="10"/>
      <color rgb="FFFF0000"/>
      <name val="Arial"/>
      <family val="2"/>
    </font>
    <font>
      <vertAlign val="subscript"/>
      <sz val="10"/>
      <name val="Arial"/>
      <family val="2"/>
    </font>
    <font>
      <b/>
      <sz val="8"/>
      <color rgb="FF000000"/>
      <name val="Arial"/>
      <family val="2"/>
    </font>
    <font>
      <b/>
      <sz val="11"/>
      <color rgb="FF000000"/>
      <name val="Arial"/>
      <family val="2"/>
    </font>
    <font>
      <b/>
      <sz val="11"/>
      <color rgb="FF000000"/>
      <name val="HelveticaNeue-Roman"/>
    </font>
    <font>
      <sz val="12"/>
      <color rgb="FFFFFF00"/>
      <name val="Verdana"/>
      <family val="2"/>
    </font>
    <font>
      <b/>
      <sz val="12"/>
      <color theme="0"/>
      <name val="Arial"/>
      <family val="2"/>
    </font>
    <font>
      <sz val="8"/>
      <color theme="1"/>
      <name val="Arial"/>
      <family val="2"/>
    </font>
    <font>
      <b/>
      <sz val="14"/>
      <color theme="1"/>
      <name val="Arial"/>
      <family val="2"/>
    </font>
    <font>
      <b/>
      <sz val="11"/>
      <color theme="0"/>
      <name val="Arial"/>
      <family val="2"/>
    </font>
    <font>
      <b/>
      <sz val="12"/>
      <color theme="1"/>
      <name val="Arial"/>
      <family val="2"/>
    </font>
    <font>
      <sz val="8"/>
      <color theme="4" tint="0.59999389629810485"/>
      <name val="Arial"/>
      <family val="2"/>
    </font>
    <font>
      <sz val="8"/>
      <color theme="0"/>
      <name val="Arial"/>
      <family val="2"/>
    </font>
    <font>
      <b/>
      <sz val="8"/>
      <color theme="0"/>
      <name val="Arial"/>
      <family val="2"/>
    </font>
    <font>
      <sz val="8"/>
      <color theme="1" tint="0.14999847407452621"/>
      <name val="Arial"/>
      <family val="2"/>
    </font>
    <font>
      <sz val="9"/>
      <color theme="0"/>
      <name val="Arial"/>
      <family val="2"/>
    </font>
    <font>
      <sz val="8"/>
      <color rgb="FFFF9900"/>
      <name val="Arial"/>
      <family val="2"/>
    </font>
    <font>
      <sz val="11"/>
      <color theme="0"/>
      <name val="Calibri"/>
      <family val="2"/>
      <scheme val="minor"/>
    </font>
    <font>
      <sz val="9"/>
      <color theme="1"/>
      <name val="Arial"/>
      <family val="2"/>
    </font>
    <font>
      <sz val="8"/>
      <color theme="1"/>
      <name val="Calibri"/>
      <family val="2"/>
      <scheme val="minor"/>
    </font>
    <font>
      <b/>
      <sz val="8"/>
      <color theme="1" tint="0.14999847407452621"/>
      <name val="Arial"/>
      <family val="2"/>
    </font>
    <font>
      <sz val="9"/>
      <color theme="1"/>
      <name val="Calibri"/>
      <family val="2"/>
      <scheme val="minor"/>
    </font>
    <font>
      <sz val="9"/>
      <color theme="1" tint="0.14999847407452621"/>
      <name val="Arial"/>
      <family val="2"/>
    </font>
    <font>
      <b/>
      <sz val="9"/>
      <color theme="0"/>
      <name val="Arial"/>
      <family val="2"/>
    </font>
    <font>
      <b/>
      <sz val="9"/>
      <color theme="1" tint="0.14999847407452621"/>
      <name val="Arial"/>
      <family val="2"/>
    </font>
    <font>
      <b/>
      <sz val="8"/>
      <color theme="1"/>
      <name val="Arial"/>
      <family val="2"/>
    </font>
    <font>
      <sz val="8"/>
      <color theme="9" tint="0.59999389629810485"/>
      <name val="Arial"/>
      <family val="2"/>
    </font>
    <font>
      <sz val="9"/>
      <color rgb="FFC00000"/>
      <name val="Arial"/>
      <family val="2"/>
    </font>
    <font>
      <sz val="8"/>
      <color rgb="FFFF0000"/>
      <name val="Arial"/>
      <family val="2"/>
    </font>
    <font>
      <sz val="8"/>
      <color theme="1" tint="0.499984740745262"/>
      <name val="Arial"/>
      <family val="2"/>
    </font>
    <font>
      <sz val="9"/>
      <color rgb="FFFF0000"/>
      <name val="Arial"/>
      <family val="2"/>
    </font>
    <font>
      <sz val="11"/>
      <color theme="1"/>
      <name val="Arial"/>
      <family val="2"/>
    </font>
    <font>
      <sz val="9"/>
      <color theme="1" tint="0.499984740745262"/>
      <name val="Arial"/>
      <family val="2"/>
    </font>
    <font>
      <b/>
      <sz val="11"/>
      <color theme="0"/>
      <name val="Calibri"/>
      <family val="2"/>
      <scheme val="minor"/>
    </font>
    <font>
      <b/>
      <u/>
      <sz val="10"/>
      <color theme="0"/>
      <name val="Geneva"/>
      <family val="2"/>
    </font>
    <font>
      <b/>
      <sz val="10"/>
      <color theme="0"/>
      <name val="Arial"/>
      <family val="2"/>
    </font>
    <font>
      <sz val="9"/>
      <color theme="0" tint="-0.14999847407452621"/>
      <name val="Arial"/>
      <family val="2"/>
    </font>
    <font>
      <sz val="9"/>
      <color theme="0" tint="-0.34998626667073579"/>
      <name val="Arial"/>
      <family val="2"/>
    </font>
    <font>
      <sz val="11"/>
      <color theme="0"/>
      <name val="Arial"/>
      <family val="2"/>
    </font>
    <font>
      <b/>
      <sz val="8"/>
      <color rgb="FFFF0000"/>
      <name val="Arial"/>
      <family val="2"/>
    </font>
    <font>
      <b/>
      <i/>
      <sz val="10"/>
      <color rgb="FFFF0000"/>
      <name val="Arial"/>
      <family val="2"/>
    </font>
    <font>
      <b/>
      <i/>
      <sz val="10"/>
      <color rgb="FFFF0000"/>
      <name val="Verdana"/>
      <family val="2"/>
    </font>
    <font>
      <b/>
      <sz val="11"/>
      <color theme="1"/>
      <name val="Arial"/>
      <family val="2"/>
    </font>
    <font>
      <sz val="11"/>
      <color theme="1"/>
      <name val="Arial Narrow"/>
      <family val="2"/>
    </font>
    <font>
      <sz val="11"/>
      <color theme="0" tint="-0.499984740745262"/>
      <name val="Calibri"/>
      <family val="2"/>
      <scheme val="minor"/>
    </font>
    <font>
      <sz val="11"/>
      <name val="Arial Narrow"/>
      <family val="2"/>
    </font>
    <font>
      <sz val="11"/>
      <color indexed="8"/>
      <name val="Arial Narrow"/>
      <family val="2"/>
    </font>
    <font>
      <i/>
      <sz val="24"/>
      <name val="Arial"/>
      <family val="2"/>
    </font>
    <font>
      <b/>
      <sz val="12"/>
      <color indexed="10"/>
      <name val="HelveticaNeue-Roman"/>
      <family val="2"/>
    </font>
    <font>
      <b/>
      <sz val="14"/>
      <color theme="0"/>
      <name val="Arial"/>
      <family val="2"/>
    </font>
    <font>
      <b/>
      <sz val="9"/>
      <color rgb="FFFF0000"/>
      <name val="Arial"/>
      <family val="2"/>
    </font>
    <font>
      <sz val="16"/>
      <color theme="0"/>
      <name val="Arial"/>
      <family val="2"/>
    </font>
    <font>
      <b/>
      <u/>
      <sz val="9"/>
      <color theme="0"/>
      <name val="Geneva"/>
    </font>
    <font>
      <b/>
      <u/>
      <sz val="14"/>
      <color theme="1"/>
      <name val="Arial"/>
      <family val="2"/>
    </font>
    <font>
      <b/>
      <sz val="12"/>
      <color theme="0"/>
      <name val="Calibri"/>
      <family val="2"/>
      <scheme val="minor"/>
    </font>
    <font>
      <b/>
      <u/>
      <sz val="9"/>
      <color theme="0"/>
      <name val="Arial"/>
      <family val="2"/>
    </font>
  </fonts>
  <fills count="71">
    <fill>
      <patternFill patternType="none"/>
    </fill>
    <fill>
      <patternFill patternType="gray125"/>
    </fill>
    <fill>
      <patternFill patternType="solid">
        <fgColor indexed="9"/>
      </patternFill>
    </fill>
    <fill>
      <patternFill patternType="solid">
        <fgColor indexed="47"/>
      </patternFill>
    </fill>
    <fill>
      <patternFill patternType="solid">
        <fgColor indexed="31"/>
      </patternFill>
    </fill>
    <fill>
      <patternFill patternType="solid">
        <fgColor indexed="41"/>
      </patternFill>
    </fill>
    <fill>
      <patternFill patternType="solid">
        <fgColor indexed="22"/>
      </patternFill>
    </fill>
    <fill>
      <patternFill patternType="solid">
        <fgColor indexed="44"/>
      </patternFill>
    </fill>
    <fill>
      <patternFill patternType="solid">
        <fgColor indexed="49"/>
      </patternFill>
    </fill>
    <fill>
      <patternFill patternType="solid">
        <fgColor indexed="29"/>
      </patternFill>
    </fill>
    <fill>
      <patternFill patternType="solid">
        <fgColor indexed="19"/>
      </patternFill>
    </fill>
    <fill>
      <patternFill patternType="solid">
        <fgColor indexed="54"/>
      </patternFill>
    </fill>
    <fill>
      <patternFill patternType="solid">
        <fgColor indexed="46"/>
      </patternFill>
    </fill>
    <fill>
      <patternFill patternType="solid">
        <fgColor indexed="55"/>
      </patternFill>
    </fill>
    <fill>
      <patternFill patternType="solid">
        <fgColor indexed="27"/>
      </patternFill>
    </fill>
    <fill>
      <patternFill patternType="solid">
        <fgColor indexed="26"/>
      </patternFill>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45"/>
        <bgColor indexed="64"/>
      </patternFill>
    </fill>
    <fill>
      <patternFill patternType="solid">
        <fgColor indexed="11"/>
        <bgColor indexed="64"/>
      </patternFill>
    </fill>
    <fill>
      <patternFill patternType="solid">
        <fgColor indexed="22"/>
        <bgColor indexed="64"/>
      </patternFill>
    </fill>
    <fill>
      <patternFill patternType="solid">
        <fgColor indexed="34"/>
        <bgColor indexed="64"/>
      </patternFill>
    </fill>
    <fill>
      <patternFill patternType="solid">
        <fgColor indexed="40"/>
        <bgColor indexed="64"/>
      </patternFill>
    </fill>
    <fill>
      <patternFill patternType="solid">
        <fgColor indexed="46"/>
        <bgColor indexed="64"/>
      </patternFill>
    </fill>
    <fill>
      <patternFill patternType="solid">
        <fgColor indexed="57"/>
        <bgColor indexed="64"/>
      </patternFill>
    </fill>
    <fill>
      <patternFill patternType="solid">
        <fgColor indexed="55"/>
        <bgColor indexed="64"/>
      </patternFill>
    </fill>
    <fill>
      <patternFill patternType="solid">
        <fgColor indexed="40"/>
        <bgColor indexed="40"/>
      </patternFill>
    </fill>
    <fill>
      <patternFill patternType="solid">
        <fgColor indexed="40"/>
        <bgColor indexed="32"/>
      </patternFill>
    </fill>
    <fill>
      <patternFill patternType="gray0625">
        <fgColor indexed="9"/>
        <bgColor indexed="9"/>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4659260841701"/>
        <bgColor indexed="64"/>
      </patternFill>
    </fill>
    <fill>
      <patternFill patternType="solid">
        <fgColor theme="1" tint="0.249977111117893"/>
        <bgColor indexed="64"/>
      </patternFill>
    </fill>
    <fill>
      <patternFill patternType="solid">
        <fgColor theme="4" tint="-0.249977111117893"/>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2C3238"/>
        <bgColor indexed="64"/>
      </patternFill>
    </fill>
    <fill>
      <patternFill patternType="solid">
        <fgColor rgb="FF969696"/>
        <bgColor indexed="64"/>
      </patternFill>
    </fill>
    <fill>
      <patternFill patternType="solid">
        <fgColor theme="6" tint="-0.249977111117893"/>
        <bgColor indexed="64"/>
      </patternFill>
    </fill>
    <fill>
      <patternFill patternType="solid">
        <fgColor theme="2" tint="-0.749992370372631"/>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4" tint="-0.499984740745262"/>
        <bgColor indexed="64"/>
      </patternFill>
    </fill>
    <fill>
      <patternFill patternType="solid">
        <fgColor theme="8" tint="-0.249977111117893"/>
        <bgColor indexed="64"/>
      </patternFill>
    </fill>
    <fill>
      <patternFill patternType="solid">
        <fgColor rgb="FFFFFF00"/>
        <bgColor indexed="64"/>
      </patternFill>
    </fill>
    <fill>
      <patternFill patternType="solid">
        <fgColor theme="3" tint="0.59999389629810485"/>
        <bgColor indexed="64"/>
      </patternFill>
    </fill>
    <fill>
      <patternFill patternType="solid">
        <fgColor rgb="FF4D5863"/>
        <bgColor indexed="64"/>
      </patternFill>
    </fill>
    <fill>
      <patternFill patternType="solid">
        <fgColor theme="9" tint="-0.249977111117893"/>
        <bgColor indexed="64"/>
      </patternFill>
    </fill>
    <fill>
      <patternFill patternType="solid">
        <fgColor theme="3" tint="-0.249977111117893"/>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4F81BD"/>
        <bgColor indexed="64"/>
      </patternFill>
    </fill>
    <fill>
      <patternFill patternType="solid">
        <fgColor rgb="FF1F497D"/>
        <bgColor indexed="64"/>
      </patternFill>
    </fill>
    <fill>
      <patternFill patternType="solid">
        <fgColor theme="1" tint="0.34998626667073579"/>
        <bgColor indexed="64"/>
      </patternFill>
    </fill>
    <fill>
      <patternFill patternType="solid">
        <fgColor rgb="FFD47C1F"/>
        <bgColor indexed="64"/>
      </patternFill>
    </fill>
    <fill>
      <patternFill patternType="solid">
        <fgColor rgb="FFD47C1F"/>
        <bgColor indexed="32"/>
      </patternFill>
    </fill>
    <fill>
      <patternFill patternType="solid">
        <fgColor theme="6" tint="0.79998168889431442"/>
        <bgColor indexed="64"/>
      </patternFill>
    </fill>
    <fill>
      <patternFill patternType="solid">
        <fgColor theme="3" tint="0.39997558519241921"/>
        <bgColor indexed="64"/>
      </patternFill>
    </fill>
    <fill>
      <patternFill patternType="solid">
        <fgColor rgb="FFC0504D"/>
        <bgColor indexed="64"/>
      </patternFill>
    </fill>
    <fill>
      <patternFill patternType="solid">
        <fgColor theme="0" tint="-0.499984740745262"/>
        <bgColor indexed="64"/>
      </patternFill>
    </fill>
    <fill>
      <patternFill patternType="solid">
        <fgColor theme="0" tint="-0.34998626667073579"/>
        <bgColor indexed="64"/>
      </patternFill>
    </fill>
  </fills>
  <borders count="24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tted">
        <color indexed="64"/>
      </top>
      <bottom/>
      <diagonal/>
    </border>
    <border>
      <left/>
      <right style="dotted">
        <color indexed="64"/>
      </right>
      <top style="dotted">
        <color indexed="64"/>
      </top>
      <bottom/>
      <diagonal/>
    </border>
    <border>
      <left/>
      <right/>
      <top/>
      <bottom style="dotted">
        <color indexed="64"/>
      </bottom>
      <diagonal/>
    </border>
    <border>
      <left/>
      <right style="dotted">
        <color indexed="64"/>
      </right>
      <top/>
      <bottom style="dotted">
        <color indexed="64"/>
      </bottom>
      <diagonal/>
    </border>
    <border>
      <left style="dotted">
        <color indexed="64"/>
      </left>
      <right/>
      <top style="dotted">
        <color indexed="64"/>
      </top>
      <bottom/>
      <diagonal/>
    </border>
    <border>
      <left style="dotted">
        <color indexed="64"/>
      </left>
      <right/>
      <top/>
      <bottom style="dotted">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style="double">
        <color indexed="64"/>
      </right>
      <top/>
      <bottom/>
      <diagonal/>
    </border>
    <border>
      <left/>
      <right style="double">
        <color indexed="64"/>
      </right>
      <top/>
      <bottom style="double">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bottom/>
      <diagonal/>
    </border>
    <border>
      <left/>
      <right/>
      <top/>
      <bottom style="double">
        <color indexed="64"/>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8"/>
      </top>
      <bottom/>
      <diagonal/>
    </border>
    <border>
      <left/>
      <right/>
      <top/>
      <bottom style="medium">
        <color indexed="8"/>
      </bottom>
      <diagonal/>
    </border>
    <border>
      <left style="medium">
        <color indexed="8"/>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medium">
        <color indexed="8"/>
      </left>
      <right style="thin">
        <color indexed="8"/>
      </right>
      <top style="medium">
        <color indexed="8"/>
      </top>
      <bottom/>
      <diagonal/>
    </border>
    <border>
      <left style="medium">
        <color indexed="8"/>
      </left>
      <right style="thin">
        <color indexed="8"/>
      </right>
      <top style="medium">
        <color indexed="8"/>
      </top>
      <bottom style="medium">
        <color indexed="8"/>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bottom style="thin">
        <color indexed="64"/>
      </bottom>
      <diagonal/>
    </border>
    <border>
      <left style="thin">
        <color indexed="64"/>
      </left>
      <right style="thin">
        <color indexed="32"/>
      </right>
      <top/>
      <bottom style="thin">
        <color indexed="64"/>
      </bottom>
      <diagonal/>
    </border>
    <border>
      <left style="thin">
        <color indexed="32"/>
      </left>
      <right/>
      <top/>
      <bottom style="thin">
        <color indexed="64"/>
      </bottom>
      <diagonal/>
    </border>
    <border>
      <left style="thin">
        <color indexed="64"/>
      </left>
      <right style="thin">
        <color indexed="32"/>
      </right>
      <top style="thin">
        <color indexed="64"/>
      </top>
      <bottom style="thin">
        <color indexed="64"/>
      </bottom>
      <diagonal/>
    </border>
    <border>
      <left style="thin">
        <color indexed="32"/>
      </left>
      <right/>
      <top style="thin">
        <color indexed="64"/>
      </top>
      <bottom style="thin">
        <color indexed="64"/>
      </bottom>
      <diagonal/>
    </border>
    <border>
      <left/>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style="medium">
        <color indexed="64"/>
      </left>
      <right/>
      <top style="medium">
        <color indexed="64"/>
      </top>
      <bottom style="medium">
        <color indexed="8"/>
      </bottom>
      <diagonal/>
    </border>
    <border>
      <left/>
      <right/>
      <top style="medium">
        <color indexed="64"/>
      </top>
      <bottom style="medium">
        <color indexed="8"/>
      </bottom>
      <diagonal/>
    </border>
    <border>
      <left/>
      <right style="medium">
        <color indexed="64"/>
      </right>
      <top style="medium">
        <color indexed="64"/>
      </top>
      <bottom style="medium">
        <color indexed="8"/>
      </bottom>
      <diagonal/>
    </border>
    <border>
      <left style="medium">
        <color indexed="64"/>
      </left>
      <right/>
      <top style="medium">
        <color indexed="8"/>
      </top>
      <bottom/>
      <diagonal/>
    </border>
    <border>
      <left/>
      <right style="medium">
        <color indexed="64"/>
      </right>
      <top style="medium">
        <color indexed="8"/>
      </top>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22"/>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8"/>
      </left>
      <right/>
      <top style="medium">
        <color indexed="8"/>
      </top>
      <bottom style="thin">
        <color indexed="8"/>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thin">
        <color indexed="8"/>
      </left>
      <right/>
      <top style="thin">
        <color indexed="8"/>
      </top>
      <bottom style="medium">
        <color indexed="8"/>
      </bottom>
      <diagonal/>
    </border>
    <border>
      <left/>
      <right style="medium">
        <color indexed="8"/>
      </right>
      <top style="thin">
        <color indexed="8"/>
      </top>
      <bottom style="medium">
        <color indexed="8"/>
      </bottom>
      <diagonal/>
    </border>
    <border>
      <left style="thin">
        <color indexed="64"/>
      </left>
      <right style="thin">
        <color indexed="64"/>
      </right>
      <top style="thin">
        <color indexed="64"/>
      </top>
      <bottom style="thin">
        <color theme="0"/>
      </bottom>
      <diagonal/>
    </border>
    <border>
      <left style="thin">
        <color indexed="22"/>
      </left>
      <right style="thin">
        <color indexed="64"/>
      </right>
      <top style="thin">
        <color indexed="64"/>
      </top>
      <bottom style="thin">
        <color theme="0"/>
      </bottom>
      <diagonal/>
    </border>
    <border>
      <left style="medium">
        <color indexed="64"/>
      </left>
      <right style="thin">
        <color indexed="64"/>
      </right>
      <top style="thin">
        <color theme="0"/>
      </top>
      <bottom style="thin">
        <color indexed="64"/>
      </bottom>
      <diagonal/>
    </border>
    <border>
      <left style="thin">
        <color indexed="64"/>
      </left>
      <right style="thin">
        <color indexed="64"/>
      </right>
      <top style="thin">
        <color theme="0"/>
      </top>
      <bottom style="thin">
        <color indexed="64"/>
      </bottom>
      <diagonal/>
    </border>
    <border>
      <left style="medium">
        <color indexed="64"/>
      </left>
      <right style="thin">
        <color indexed="64"/>
      </right>
      <top style="thin">
        <color indexed="64"/>
      </top>
      <bottom style="medium">
        <color theme="0"/>
      </bottom>
      <diagonal/>
    </border>
    <border>
      <left style="thin">
        <color indexed="64"/>
      </left>
      <right style="thin">
        <color indexed="64"/>
      </right>
      <top style="thin">
        <color indexed="64"/>
      </top>
      <bottom style="medium">
        <color theme="0"/>
      </bottom>
      <diagonal/>
    </border>
    <border>
      <left style="medium">
        <color indexed="64"/>
      </left>
      <right style="thin">
        <color indexed="64"/>
      </right>
      <top style="medium">
        <color theme="0"/>
      </top>
      <bottom style="thin">
        <color indexed="64"/>
      </bottom>
      <diagonal/>
    </border>
    <border>
      <left style="thin">
        <color indexed="64"/>
      </left>
      <right style="thin">
        <color indexed="64"/>
      </right>
      <top style="medium">
        <color theme="0"/>
      </top>
      <bottom style="thin">
        <color indexed="64"/>
      </bottom>
      <diagonal/>
    </border>
    <border>
      <left style="medium">
        <color indexed="64"/>
      </left>
      <right style="medium">
        <color indexed="64"/>
      </right>
      <top style="thin">
        <color indexed="8"/>
      </top>
      <bottom style="medium">
        <color indexed="64"/>
      </bottom>
      <diagonal/>
    </border>
    <border>
      <left/>
      <right/>
      <top style="medium">
        <color indexed="8"/>
      </top>
      <bottom style="thin">
        <color indexed="8"/>
      </bottom>
      <diagonal/>
    </border>
    <border>
      <left/>
      <right/>
      <top style="thin">
        <color indexed="8"/>
      </top>
      <bottom style="thin">
        <color indexed="8"/>
      </bottom>
      <diagonal/>
    </border>
    <border>
      <left/>
      <right/>
      <top style="thin">
        <color indexed="8"/>
      </top>
      <bottom style="medium">
        <color indexed="8"/>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top/>
      <bottom style="thin">
        <color theme="1"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style="thin">
        <color theme="1" tint="0.499984740745262"/>
      </right>
      <top/>
      <bottom/>
      <diagonal/>
    </border>
    <border>
      <left style="thin">
        <color theme="1" tint="0.499984740745262"/>
      </left>
      <right/>
      <top/>
      <bottom/>
      <diagonal/>
    </border>
    <border>
      <left style="thin">
        <color theme="1" tint="0.499984740745262"/>
      </left>
      <right/>
      <top style="thin">
        <color theme="1" tint="0.499984740745262"/>
      </top>
      <bottom style="thin">
        <color theme="1" tint="0.499984740745262"/>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right/>
      <top/>
      <bottom style="thin">
        <color theme="1" tint="0.499984740745262"/>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medium">
        <color theme="1" tint="0.499984740745262"/>
      </right>
      <top style="thin">
        <color theme="1" tint="0.499984740745262"/>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indexed="64"/>
      </left>
      <right style="thin">
        <color theme="0" tint="-0.34998626667073579"/>
      </right>
      <top style="thin">
        <color indexed="64"/>
      </top>
      <bottom style="hair">
        <color auto="1"/>
      </bottom>
      <diagonal/>
    </border>
    <border>
      <left style="thin">
        <color indexed="64"/>
      </left>
      <right style="thin">
        <color theme="0" tint="-0.34998626667073579"/>
      </right>
      <top style="hair">
        <color auto="1"/>
      </top>
      <bottom style="hair">
        <color auto="1"/>
      </bottom>
      <diagonal/>
    </border>
    <border>
      <left style="medium">
        <color theme="1" tint="0.499984740745262"/>
      </left>
      <right style="thin">
        <color theme="1" tint="0.499984740745262"/>
      </right>
      <top/>
      <bottom style="thin">
        <color theme="1" tint="0.499984740745262"/>
      </bottom>
      <diagonal/>
    </border>
    <border>
      <left style="thin">
        <color theme="1" tint="0.499984740745262"/>
      </left>
      <right style="medium">
        <color theme="1" tint="0.499984740745262"/>
      </right>
      <top/>
      <bottom style="thin">
        <color theme="1" tint="0.499984740745262"/>
      </bottom>
      <diagonal/>
    </border>
    <border>
      <left style="thin">
        <color indexed="64"/>
      </left>
      <right style="thin">
        <color theme="0" tint="-0.34998626667073579"/>
      </right>
      <top style="hair">
        <color auto="1"/>
      </top>
      <bottom style="thin">
        <color indexed="64"/>
      </bottom>
      <diagonal/>
    </border>
    <border>
      <left/>
      <right style="thin">
        <color theme="1" tint="0.499984740745262"/>
      </right>
      <top style="thin">
        <color theme="1" tint="0.499984740745262"/>
      </top>
      <bottom/>
      <diagonal/>
    </border>
    <border>
      <left/>
      <right/>
      <top style="thin">
        <color theme="1" tint="0.34998626667073579"/>
      </top>
      <bottom style="thin">
        <color theme="1" tint="0.34998626667073579"/>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style="thin">
        <color theme="1" tint="0.499984740745262"/>
      </left>
      <right style="thin">
        <color theme="1" tint="0.499984740745262"/>
      </right>
      <top style="thin">
        <color theme="1" tint="0.499984740745262"/>
      </top>
      <bottom/>
      <diagonal/>
    </border>
    <border>
      <left style="medium">
        <color theme="1" tint="0.499984740745262"/>
      </left>
      <right style="thin">
        <color theme="1" tint="0.499984740745262"/>
      </right>
      <top/>
      <bottom style="medium">
        <color theme="1" tint="0.499984740745262"/>
      </bottom>
      <diagonal/>
    </border>
    <border>
      <left style="thin">
        <color theme="1" tint="0.499984740745262"/>
      </left>
      <right style="thin">
        <color theme="1" tint="0.499984740745262"/>
      </right>
      <top/>
      <bottom style="medium">
        <color theme="1" tint="0.499984740745262"/>
      </bottom>
      <diagonal/>
    </border>
    <border>
      <left style="thin">
        <color theme="1" tint="0.499984740745262"/>
      </left>
      <right style="medium">
        <color theme="1" tint="0.499984740745262"/>
      </right>
      <top/>
      <bottom style="medium">
        <color theme="1" tint="0.499984740745262"/>
      </bottom>
      <diagonal/>
    </border>
    <border>
      <left style="medium">
        <color theme="1" tint="0.34998626667073579"/>
      </left>
      <right style="thin">
        <color theme="1" tint="0.34998626667073579"/>
      </right>
      <top style="medium">
        <color theme="1" tint="0.34998626667073579"/>
      </top>
      <bottom style="thin">
        <color theme="1" tint="0.34998626667073579"/>
      </bottom>
      <diagonal/>
    </border>
    <border>
      <left style="thin">
        <color theme="1" tint="0.34998626667073579"/>
      </left>
      <right style="thin">
        <color theme="1" tint="0.34998626667073579"/>
      </right>
      <top style="medium">
        <color theme="1" tint="0.34998626667073579"/>
      </top>
      <bottom style="thin">
        <color theme="1" tint="0.34998626667073579"/>
      </bottom>
      <diagonal/>
    </border>
    <border>
      <left style="medium">
        <color theme="1" tint="0.34998626667073579"/>
      </left>
      <right style="thin">
        <color theme="1" tint="0.34998626667073579"/>
      </right>
      <top style="thin">
        <color theme="1" tint="0.34998626667073579"/>
      </top>
      <bottom style="medium">
        <color theme="1" tint="0.34998626667073579"/>
      </bottom>
      <diagonal/>
    </border>
    <border>
      <left style="thin">
        <color theme="1" tint="0.34998626667073579"/>
      </left>
      <right style="thin">
        <color theme="1" tint="0.34998626667073579"/>
      </right>
      <top style="thin">
        <color theme="1" tint="0.34998626667073579"/>
      </top>
      <bottom style="medium">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theme="1" tint="0.34998626667073579"/>
      </top>
      <bottom/>
      <diagonal/>
    </border>
    <border>
      <left style="thin">
        <color theme="1" tint="0.34998626667073579"/>
      </left>
      <right/>
      <top style="thin">
        <color theme="1" tint="0.34998626667073579"/>
      </top>
      <bottom/>
      <diagonal/>
    </border>
    <border>
      <left style="thin">
        <color theme="1" tint="0.34998626667073579"/>
      </left>
      <right/>
      <top/>
      <bottom/>
      <diagonal/>
    </border>
    <border>
      <left style="thin">
        <color theme="1" tint="0.34998626667073579"/>
      </left>
      <right style="thin">
        <color theme="1" tint="0.34998626667073579"/>
      </right>
      <top/>
      <bottom/>
      <diagonal/>
    </border>
    <border>
      <left/>
      <right style="thin">
        <color theme="1" tint="0.34998626667073579"/>
      </right>
      <top style="thin">
        <color theme="1" tint="0.34998626667073579"/>
      </top>
      <bottom/>
      <diagonal/>
    </border>
    <border>
      <left style="thin">
        <color theme="1" tint="0.34998626667073579"/>
      </left>
      <right/>
      <top/>
      <bottom style="thin">
        <color theme="1" tint="0.34998626667073579"/>
      </bottom>
      <diagonal/>
    </border>
    <border>
      <left/>
      <right style="thin">
        <color theme="1" tint="0.34998626667073579"/>
      </right>
      <top/>
      <bottom style="thin">
        <color theme="1" tint="0.34998626667073579"/>
      </bottom>
      <diagonal/>
    </border>
    <border>
      <left/>
      <right/>
      <top/>
      <bottom style="thin">
        <color theme="0" tint="-0.34998626667073579"/>
      </bottom>
      <diagonal/>
    </border>
    <border>
      <left style="thin">
        <color theme="0"/>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theme="0"/>
      </right>
      <top style="thin">
        <color theme="0"/>
      </top>
      <bottom style="thin">
        <color theme="0"/>
      </bottom>
      <diagonal/>
    </border>
    <border>
      <left/>
      <right style="thin">
        <color theme="1" tint="0.34998626667073579"/>
      </right>
      <top/>
      <bottom/>
      <diagonal/>
    </border>
    <border>
      <left style="medium">
        <color theme="1" tint="0.499984740745262"/>
      </left>
      <right/>
      <top style="thin">
        <color theme="1" tint="0.499984740745262"/>
      </top>
      <bottom style="thin">
        <color theme="1" tint="0.499984740745262"/>
      </bottom>
      <diagonal/>
    </border>
    <border>
      <left/>
      <right style="medium">
        <color theme="1" tint="0.499984740745262"/>
      </right>
      <top style="thin">
        <color theme="1" tint="0.499984740745262"/>
      </top>
      <bottom style="thin">
        <color theme="1" tint="0.499984740745262"/>
      </bottom>
      <diagonal/>
    </border>
    <border>
      <left/>
      <right style="medium">
        <color theme="1" tint="0.499984740745262"/>
      </right>
      <top style="thin">
        <color theme="1" tint="0.499984740745262"/>
      </top>
      <bottom/>
      <diagonal/>
    </border>
    <border>
      <left/>
      <right style="medium">
        <color theme="1" tint="0.499984740745262"/>
      </right>
      <top/>
      <bottom style="thin">
        <color theme="1" tint="0.499984740745262"/>
      </bottom>
      <diagonal/>
    </border>
    <border>
      <left style="thin">
        <color theme="0"/>
      </left>
      <right/>
      <top style="thin">
        <color theme="1" tint="0.499984740745262"/>
      </top>
      <bottom style="thin">
        <color theme="1" tint="0.499984740745262"/>
      </bottom>
      <diagonal/>
    </border>
    <border>
      <left style="thin">
        <color theme="0"/>
      </left>
      <right style="thin">
        <color theme="1" tint="0.499984740745262"/>
      </right>
      <top style="thin">
        <color theme="1" tint="0.499984740745262"/>
      </top>
      <bottom style="thin">
        <color theme="1" tint="0.499984740745262"/>
      </bottom>
      <diagonal/>
    </border>
    <border>
      <left/>
      <right/>
      <top style="medium">
        <color theme="0"/>
      </top>
      <bottom style="medium">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theme="1"/>
      </left>
      <right style="thin">
        <color theme="1"/>
      </right>
      <top style="thin">
        <color theme="1"/>
      </top>
      <bottom style="thin">
        <color theme="1"/>
      </bottom>
      <diagonal/>
    </border>
    <border>
      <left style="medium">
        <color theme="1"/>
      </left>
      <right style="thin">
        <color indexed="8"/>
      </right>
      <top style="medium">
        <color theme="1"/>
      </top>
      <bottom/>
      <diagonal/>
    </border>
    <border>
      <left style="medium">
        <color theme="1"/>
      </left>
      <right style="thin">
        <color indexed="8"/>
      </right>
      <top/>
      <bottom style="medium">
        <color theme="1"/>
      </bottom>
      <diagonal/>
    </border>
  </borders>
  <cellStyleXfs count="138">
    <xf numFmtId="0" fontId="0" fillId="0" borderId="0"/>
    <xf numFmtId="0" fontId="69" fillId="2"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2" borderId="0" applyNumberFormat="0" applyBorder="0" applyAlignment="0" applyProtection="0"/>
    <xf numFmtId="0" fontId="69" fillId="5" borderId="0" applyNumberFormat="0" applyBorder="0" applyAlignment="0" applyProtection="0"/>
    <xf numFmtId="0" fontId="69" fillId="3" borderId="0" applyNumberFormat="0" applyBorder="0" applyAlignment="0" applyProtection="0"/>
    <xf numFmtId="0" fontId="69" fillId="6"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3"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4" borderId="0" applyNumberFormat="0" applyBorder="0" applyAlignment="0" applyProtection="0"/>
    <xf numFmtId="0" fontId="70" fillId="6" borderId="0" applyNumberFormat="0" applyBorder="0" applyAlignment="0" applyProtection="0"/>
    <xf numFmtId="0" fontId="70" fillId="8" borderId="0" applyNumberFormat="0" applyBorder="0" applyAlignment="0" applyProtection="0"/>
    <xf numFmtId="0" fontId="70" fillId="3" borderId="0" applyNumberFormat="0" applyBorder="0" applyAlignment="0" applyProtection="0"/>
    <xf numFmtId="0" fontId="70" fillId="8" borderId="0" applyNumberFormat="0" applyBorder="0" applyAlignment="0" applyProtection="0"/>
    <xf numFmtId="0" fontId="70" fillId="10" borderId="0" applyNumberFormat="0" applyBorder="0" applyAlignment="0" applyProtection="0"/>
    <xf numFmtId="0" fontId="70" fillId="4" borderId="0" applyNumberFormat="0" applyBorder="0" applyAlignment="0" applyProtection="0"/>
    <xf numFmtId="0" fontId="70" fillId="11"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1" fillId="12" borderId="0" applyNumberFormat="0" applyBorder="0" applyAlignment="0" applyProtection="0"/>
    <xf numFmtId="0" fontId="72" fillId="2" borderId="1" applyNumberFormat="0" applyAlignment="0" applyProtection="0"/>
    <xf numFmtId="0" fontId="73" fillId="13" borderId="2" applyNumberFormat="0" applyAlignment="0" applyProtection="0"/>
    <xf numFmtId="164" fontId="11" fillId="0" borderId="0" applyFont="0" applyFill="0" applyBorder="0" applyAlignment="0" applyProtection="0"/>
    <xf numFmtId="0" fontId="74" fillId="0" borderId="0" applyNumberFormat="0" applyFill="0" applyBorder="0" applyAlignment="0" applyProtection="0"/>
    <xf numFmtId="0" fontId="75" fillId="14" borderId="0" applyNumberFormat="0" applyBorder="0" applyAlignment="0" applyProtection="0"/>
    <xf numFmtId="0" fontId="76" fillId="0" borderId="3" applyNumberFormat="0" applyFill="0" applyAlignment="0" applyProtection="0"/>
    <xf numFmtId="0" fontId="77" fillId="0" borderId="4" applyNumberFormat="0" applyFill="0" applyAlignment="0" applyProtection="0"/>
    <xf numFmtId="0" fontId="78" fillId="0" borderId="5" applyNumberFormat="0" applyFill="0" applyAlignment="0" applyProtection="0"/>
    <xf numFmtId="0" fontId="78" fillId="0" borderId="0" applyNumberFormat="0" applyFill="0" applyBorder="0" applyAlignment="0" applyProtection="0"/>
    <xf numFmtId="0" fontId="13" fillId="0" borderId="0" applyNumberFormat="0" applyFill="0" applyBorder="0" applyAlignment="0" applyProtection="0">
      <alignment vertical="top"/>
      <protection locked="0"/>
    </xf>
    <xf numFmtId="0" fontId="79" fillId="3" borderId="1" applyNumberFormat="0" applyAlignment="0" applyProtection="0"/>
    <xf numFmtId="0" fontId="80" fillId="0" borderId="6" applyNumberFormat="0" applyFill="0" applyAlignment="0" applyProtection="0"/>
    <xf numFmtId="0" fontId="81" fillId="1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69" fillId="0" borderId="0"/>
    <xf numFmtId="0" fontId="12" fillId="0" borderId="0"/>
    <xf numFmtId="0" fontId="11" fillId="16" borderId="7" applyNumberFormat="0" applyFont="0" applyAlignment="0" applyProtection="0"/>
    <xf numFmtId="0" fontId="82" fillId="2" borderId="8" applyNumberFormat="0" applyAlignment="0" applyProtection="0"/>
    <xf numFmtId="9" fontId="11" fillId="0" borderId="0" applyFont="0" applyFill="0" applyBorder="0" applyAlignment="0" applyProtection="0"/>
    <xf numFmtId="0" fontId="83" fillId="0" borderId="0" applyNumberFormat="0" applyFill="0" applyBorder="0" applyAlignment="0" applyProtection="0"/>
    <xf numFmtId="0" fontId="84" fillId="0" borderId="9" applyNumberFormat="0" applyFill="0" applyAlignment="0" applyProtection="0"/>
    <xf numFmtId="0" fontId="85" fillId="0" borderId="0" applyNumberFormat="0" applyFill="0" applyBorder="0" applyAlignment="0" applyProtection="0"/>
    <xf numFmtId="0" fontId="11" fillId="0" borderId="0"/>
    <xf numFmtId="0" fontId="162" fillId="0" borderId="0" applyNumberFormat="0" applyFill="0" applyBorder="0" applyAlignment="0" applyProtection="0">
      <alignment vertical="top"/>
      <protection locked="0"/>
    </xf>
    <xf numFmtId="0" fontId="9" fillId="0" borderId="0"/>
    <xf numFmtId="0" fontId="8" fillId="0" borderId="0"/>
    <xf numFmtId="0" fontId="7" fillId="0" borderId="0"/>
    <xf numFmtId="0" fontId="7" fillId="0" borderId="0"/>
    <xf numFmtId="9" fontId="7" fillId="0" borderId="0" applyFont="0" applyFill="0" applyBorder="0" applyAlignment="0" applyProtection="0"/>
    <xf numFmtId="0" fontId="11" fillId="0" borderId="0"/>
    <xf numFmtId="0" fontId="69" fillId="7" borderId="0" applyNumberFormat="0" applyBorder="0" applyAlignment="0" applyProtection="0"/>
    <xf numFmtId="0" fontId="69" fillId="2"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70" fillId="8" borderId="0" applyNumberFormat="0" applyBorder="0" applyAlignment="0" applyProtection="0"/>
    <xf numFmtId="0" fontId="84" fillId="0" borderId="9" applyNumberFormat="0" applyFill="0" applyAlignment="0" applyProtection="0"/>
    <xf numFmtId="0" fontId="69" fillId="2" borderId="0" applyNumberFormat="0" applyBorder="0" applyAlignment="0" applyProtection="0"/>
    <xf numFmtId="0" fontId="80" fillId="0" borderId="6" applyNumberFormat="0" applyFill="0" applyAlignment="0" applyProtection="0"/>
    <xf numFmtId="0" fontId="69" fillId="6" borderId="0" applyNumberFormat="0" applyBorder="0" applyAlignment="0" applyProtection="0"/>
    <xf numFmtId="0" fontId="69" fillId="6" borderId="0" applyNumberFormat="0" applyBorder="0" applyAlignment="0" applyProtection="0"/>
    <xf numFmtId="0" fontId="70" fillId="3" borderId="0" applyNumberFormat="0" applyBorder="0" applyAlignment="0" applyProtection="0"/>
    <xf numFmtId="0" fontId="70" fillId="8" borderId="0" applyNumberFormat="0" applyBorder="0" applyAlignment="0" applyProtection="0"/>
    <xf numFmtId="0" fontId="70" fillId="10" borderId="0" applyNumberFormat="0" applyBorder="0" applyAlignment="0" applyProtection="0"/>
    <xf numFmtId="0" fontId="70" fillId="4" borderId="0" applyNumberFormat="0" applyBorder="0" applyAlignment="0" applyProtection="0"/>
    <xf numFmtId="0" fontId="70" fillId="11"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1" fillId="12" borderId="0" applyNumberFormat="0" applyBorder="0" applyAlignment="0" applyProtection="0"/>
    <xf numFmtId="0" fontId="72" fillId="2" borderId="1" applyNumberFormat="0" applyAlignment="0" applyProtection="0"/>
    <xf numFmtId="0" fontId="79" fillId="3" borderId="1" applyNumberFormat="0" applyAlignment="0" applyProtection="0"/>
    <xf numFmtId="0" fontId="85" fillId="0" borderId="0" applyNumberFormat="0" applyFill="0" applyBorder="0" applyAlignment="0" applyProtection="0"/>
    <xf numFmtId="164" fontId="11" fillId="0" borderId="0" applyFont="0" applyFill="0" applyBorder="0" applyAlignment="0" applyProtection="0"/>
    <xf numFmtId="0" fontId="81" fillId="15" borderId="0" applyNumberFormat="0" applyBorder="0" applyAlignment="0" applyProtection="0"/>
    <xf numFmtId="0" fontId="78" fillId="0" borderId="0" applyNumberFormat="0" applyFill="0" applyBorder="0" applyAlignment="0" applyProtection="0"/>
    <xf numFmtId="0" fontId="70" fillId="9" borderId="0" applyNumberFormat="0" applyBorder="0" applyAlignment="0" applyProtection="0"/>
    <xf numFmtId="0" fontId="77" fillId="0" borderId="4" applyNumberFormat="0" applyFill="0" applyAlignment="0" applyProtection="0"/>
    <xf numFmtId="0" fontId="11" fillId="16" borderId="7" applyNumberFormat="0" applyFont="0" applyAlignment="0" applyProtection="0"/>
    <xf numFmtId="0" fontId="69" fillId="3" borderId="0" applyNumberFormat="0" applyBorder="0" applyAlignment="0" applyProtection="0"/>
    <xf numFmtId="0" fontId="70" fillId="4" borderId="0" applyNumberFormat="0" applyBorder="0" applyAlignment="0" applyProtection="0"/>
    <xf numFmtId="9" fontId="11" fillId="0" borderId="0" applyFont="0" applyFill="0" applyBorder="0" applyAlignment="0" applyProtection="0"/>
    <xf numFmtId="0" fontId="69" fillId="3" borderId="0" applyNumberFormat="0" applyBorder="0" applyAlignment="0" applyProtection="0"/>
    <xf numFmtId="0" fontId="83" fillId="0" borderId="0" applyNumberFormat="0" applyFill="0" applyBorder="0" applyAlignment="0" applyProtection="0"/>
    <xf numFmtId="0" fontId="78" fillId="0" borderId="5" applyNumberFormat="0" applyFill="0" applyAlignment="0" applyProtection="0"/>
    <xf numFmtId="0" fontId="75" fillId="14" borderId="0" applyNumberFormat="0" applyBorder="0" applyAlignment="0" applyProtection="0"/>
    <xf numFmtId="0" fontId="69" fillId="4"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74" fillId="0" borderId="0" applyNumberFormat="0" applyFill="0" applyBorder="0" applyAlignment="0" applyProtection="0"/>
    <xf numFmtId="0" fontId="70" fillId="6" borderId="0" applyNumberFormat="0" applyBorder="0" applyAlignment="0" applyProtection="0"/>
    <xf numFmtId="0" fontId="76" fillId="0" borderId="3" applyNumberFormat="0" applyFill="0" applyAlignment="0" applyProtection="0"/>
    <xf numFmtId="0" fontId="73" fillId="13" borderId="2" applyNumberFormat="0" applyAlignment="0" applyProtection="0"/>
    <xf numFmtId="0" fontId="69" fillId="3" borderId="0" applyNumberFormat="0" applyBorder="0" applyAlignment="0" applyProtection="0"/>
    <xf numFmtId="0" fontId="70" fillId="8" borderId="0" applyNumberFormat="0" applyBorder="0" applyAlignment="0" applyProtection="0"/>
    <xf numFmtId="0" fontId="69" fillId="3" borderId="0" applyNumberFormat="0" applyBorder="0" applyAlignment="0" applyProtection="0"/>
    <xf numFmtId="0" fontId="82" fillId="2" borderId="8" applyNumberFormat="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3" fillId="0" borderId="0"/>
    <xf numFmtId="0" fontId="2" fillId="0" borderId="0"/>
    <xf numFmtId="0" fontId="2" fillId="0" borderId="0"/>
    <xf numFmtId="9" fontId="2"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cellStyleXfs>
  <cellXfs count="2752">
    <xf numFmtId="0" fontId="0" fillId="0" borderId="0" xfId="0"/>
    <xf numFmtId="0" fontId="12" fillId="0" borderId="0" xfId="42" applyFill="1"/>
    <xf numFmtId="0" fontId="22" fillId="17" borderId="0" xfId="42" applyFont="1" applyFill="1" applyAlignment="1" applyProtection="1">
      <alignment horizontal="left" vertical="center"/>
    </xf>
    <xf numFmtId="0" fontId="12" fillId="0" borderId="0" xfId="42" applyFill="1" applyAlignment="1">
      <alignment horizontal="center"/>
    </xf>
    <xf numFmtId="0" fontId="23" fillId="17" borderId="0" xfId="42" applyFont="1" applyFill="1" applyAlignment="1" applyProtection="1">
      <alignment horizontal="left" vertical="center"/>
    </xf>
    <xf numFmtId="0" fontId="24" fillId="0" borderId="0" xfId="42" applyFont="1" applyFill="1" applyAlignment="1" applyProtection="1">
      <alignment horizontal="left" vertical="center"/>
    </xf>
    <xf numFmtId="0" fontId="25" fillId="0" borderId="0" xfId="42" applyFont="1" applyFill="1" applyAlignment="1">
      <alignment horizontal="left" vertical="center"/>
    </xf>
    <xf numFmtId="15" fontId="26" fillId="0" borderId="0" xfId="42" applyNumberFormat="1" applyFont="1" applyFill="1"/>
    <xf numFmtId="0" fontId="26" fillId="0" borderId="0" xfId="42" applyFont="1" applyFill="1"/>
    <xf numFmtId="0" fontId="26" fillId="0" borderId="0" xfId="42" applyFont="1" applyFill="1" applyAlignment="1">
      <alignment horizontal="center"/>
    </xf>
    <xf numFmtId="0" fontId="15" fillId="0" borderId="0" xfId="42" applyFont="1" applyFill="1" applyAlignment="1">
      <alignment vertical="top" wrapText="1"/>
    </xf>
    <xf numFmtId="0" fontId="15" fillId="0" borderId="0" xfId="42" applyFont="1" applyFill="1" applyBorder="1" applyAlignment="1">
      <alignment horizontal="center" vertical="top" wrapText="1"/>
    </xf>
    <xf numFmtId="0" fontId="15" fillId="0" borderId="0" xfId="42" applyFont="1" applyFill="1" applyAlignment="1">
      <alignment vertical="top"/>
    </xf>
    <xf numFmtId="1" fontId="12" fillId="18" borderId="10" xfId="48" applyNumberFormat="1" applyFont="1" applyFill="1" applyBorder="1" applyAlignment="1">
      <alignment horizontal="center" vertical="center" wrapText="1"/>
    </xf>
    <xf numFmtId="9" fontId="12" fillId="19" borderId="10" xfId="42" applyNumberFormat="1" applyFont="1" applyFill="1" applyBorder="1" applyAlignment="1">
      <alignment horizontal="center" vertical="center" wrapText="1"/>
    </xf>
    <xf numFmtId="9" fontId="12" fillId="20" borderId="10" xfId="42" applyNumberFormat="1" applyFont="1" applyFill="1" applyBorder="1" applyAlignment="1">
      <alignment horizontal="center" vertical="center" wrapText="1"/>
    </xf>
    <xf numFmtId="9" fontId="12" fillId="18" borderId="10" xfId="48" applyFont="1" applyFill="1" applyBorder="1" applyAlignment="1">
      <alignment horizontal="center"/>
    </xf>
    <xf numFmtId="0" fontId="12" fillId="0" borderId="11" xfId="42" applyFill="1" applyBorder="1" applyAlignment="1">
      <alignment horizontal="center"/>
    </xf>
    <xf numFmtId="0" fontId="12" fillId="0" borderId="0" xfId="42" applyFill="1" applyBorder="1" applyAlignment="1">
      <alignment horizontal="center"/>
    </xf>
    <xf numFmtId="0" fontId="12" fillId="0" borderId="0" xfId="42" applyFont="1" applyFill="1" applyBorder="1"/>
    <xf numFmtId="0" fontId="12" fillId="0" borderId="0" xfId="42" applyFill="1" applyAlignment="1">
      <alignment vertical="center"/>
    </xf>
    <xf numFmtId="1" fontId="29" fillId="0" borderId="0" xfId="42" applyNumberFormat="1" applyFont="1" applyFill="1" applyBorder="1" applyAlignment="1">
      <alignment horizontal="center" vertical="center"/>
    </xf>
    <xf numFmtId="0" fontId="12" fillId="0" borderId="0" xfId="42" applyFill="1" applyAlignment="1">
      <alignment horizontal="center" vertical="center"/>
    </xf>
    <xf numFmtId="0" fontId="16" fillId="21" borderId="10" xfId="42" applyFont="1" applyFill="1" applyBorder="1" applyAlignment="1">
      <alignment horizontal="center" vertical="center"/>
    </xf>
    <xf numFmtId="1" fontId="12" fillId="21" borderId="10" xfId="42" applyNumberFormat="1" applyFill="1" applyBorder="1" applyAlignment="1">
      <alignment horizontal="center" vertical="center"/>
    </xf>
    <xf numFmtId="0" fontId="12" fillId="21" borderId="11" xfId="42" applyFill="1" applyBorder="1" applyAlignment="1">
      <alignment horizontal="center" vertical="center"/>
    </xf>
    <xf numFmtId="0" fontId="12" fillId="0" borderId="0" xfId="42" applyFill="1" applyBorder="1" applyAlignment="1">
      <alignment horizontal="center" vertical="center"/>
    </xf>
    <xf numFmtId="1" fontId="29" fillId="22" borderId="12" xfId="42" applyNumberFormat="1" applyFont="1" applyFill="1" applyBorder="1" applyAlignment="1">
      <alignment horizontal="center" vertical="center"/>
    </xf>
    <xf numFmtId="0" fontId="15" fillId="0" borderId="0" xfId="42" applyFont="1" applyFill="1"/>
    <xf numFmtId="0" fontId="12" fillId="0" borderId="0" xfId="42" applyFill="1" applyBorder="1"/>
    <xf numFmtId="0" fontId="28" fillId="18" borderId="13" xfId="42" applyFont="1" applyFill="1" applyBorder="1" applyAlignment="1">
      <alignment horizontal="center"/>
    </xf>
    <xf numFmtId="0" fontId="12" fillId="0" borderId="14" xfId="42" applyFont="1" applyFill="1" applyBorder="1"/>
    <xf numFmtId="0" fontId="16" fillId="0" borderId="15" xfId="42" applyFont="1" applyFill="1" applyBorder="1"/>
    <xf numFmtId="0" fontId="16" fillId="0" borderId="16" xfId="42" applyFont="1" applyFill="1" applyBorder="1"/>
    <xf numFmtId="0" fontId="12" fillId="0" borderId="16" xfId="42" applyFill="1" applyBorder="1"/>
    <xf numFmtId="0" fontId="12" fillId="0" borderId="17" xfId="42" applyFill="1" applyBorder="1"/>
    <xf numFmtId="1" fontId="28" fillId="18" borderId="18" xfId="48" applyNumberFormat="1" applyFont="1" applyFill="1" applyBorder="1" applyAlignment="1">
      <alignment horizontal="center" vertical="center" wrapText="1"/>
    </xf>
    <xf numFmtId="0" fontId="12" fillId="0" borderId="19" xfId="42" applyFont="1" applyFill="1" applyBorder="1" applyAlignment="1">
      <alignment horizontal="left" vertical="top" wrapText="1"/>
    </xf>
    <xf numFmtId="0" fontId="12" fillId="0" borderId="20" xfId="42" applyFill="1" applyBorder="1"/>
    <xf numFmtId="0" fontId="12" fillId="0" borderId="21" xfId="42" applyFill="1" applyBorder="1"/>
    <xf numFmtId="0" fontId="16" fillId="0" borderId="0" xfId="42" applyFont="1" applyFill="1" applyBorder="1" applyAlignment="1">
      <alignment horizontal="center"/>
    </xf>
    <xf numFmtId="0" fontId="16" fillId="0" borderId="21" xfId="42" applyFont="1" applyFill="1" applyBorder="1" applyAlignment="1">
      <alignment horizontal="center"/>
    </xf>
    <xf numFmtId="0" fontId="16" fillId="0" borderId="0" xfId="42" applyFont="1" applyFill="1" applyBorder="1" applyAlignment="1">
      <alignment horizontal="right"/>
    </xf>
    <xf numFmtId="9" fontId="12" fillId="0" borderId="0" xfId="42" applyNumberFormat="1" applyFill="1" applyBorder="1" applyAlignment="1">
      <alignment horizontal="center"/>
    </xf>
    <xf numFmtId="9" fontId="12" fillId="0" borderId="21" xfId="42" applyNumberFormat="1" applyFill="1" applyBorder="1" applyAlignment="1">
      <alignment horizontal="center"/>
    </xf>
    <xf numFmtId="0" fontId="16" fillId="0" borderId="0" xfId="42" applyFont="1" applyFill="1" applyAlignment="1">
      <alignment horizontal="right"/>
    </xf>
    <xf numFmtId="1" fontId="17" fillId="18" borderId="18" xfId="48" applyNumberFormat="1" applyFont="1" applyFill="1" applyBorder="1" applyAlignment="1">
      <alignment horizontal="center" vertical="center" wrapText="1"/>
    </xf>
    <xf numFmtId="0" fontId="16" fillId="0" borderId="19" xfId="42" applyFont="1" applyFill="1" applyBorder="1" applyAlignment="1">
      <alignment horizontal="left" vertical="top" wrapText="1"/>
    </xf>
    <xf numFmtId="0" fontId="16" fillId="0" borderId="22" xfId="42" applyFont="1" applyFill="1" applyBorder="1"/>
    <xf numFmtId="0" fontId="16" fillId="0" borderId="0" xfId="42" applyFont="1" applyFill="1"/>
    <xf numFmtId="0" fontId="12" fillId="0" borderId="23" xfId="42" applyFill="1" applyBorder="1"/>
    <xf numFmtId="0" fontId="16" fillId="0" borderId="24" xfId="42" applyFont="1" applyFill="1" applyBorder="1" applyAlignment="1">
      <alignment horizontal="right"/>
    </xf>
    <xf numFmtId="0" fontId="12" fillId="0" borderId="24" xfId="42" applyFill="1" applyBorder="1"/>
    <xf numFmtId="0" fontId="12" fillId="0" borderId="25" xfId="42" applyFill="1" applyBorder="1"/>
    <xf numFmtId="0" fontId="16" fillId="0" borderId="17" xfId="42" applyFont="1" applyFill="1" applyBorder="1" applyAlignment="1">
      <alignment horizontal="center"/>
    </xf>
    <xf numFmtId="0" fontId="16" fillId="0" borderId="15" xfId="42" applyFont="1" applyFill="1" applyBorder="1" applyAlignment="1">
      <alignment horizontal="left"/>
    </xf>
    <xf numFmtId="0" fontId="12" fillId="0" borderId="16" xfId="42" applyFill="1" applyBorder="1" applyAlignment="1">
      <alignment horizontal="center"/>
    </xf>
    <xf numFmtId="0" fontId="12" fillId="0" borderId="20" xfId="42" applyFont="1" applyFill="1" applyBorder="1" applyAlignment="1">
      <alignment horizontal="right"/>
    </xf>
    <xf numFmtId="1" fontId="12" fillId="0" borderId="0" xfId="42" applyNumberFormat="1" applyFill="1" applyBorder="1" applyAlignment="1">
      <alignment horizontal="center"/>
    </xf>
    <xf numFmtId="0" fontId="12" fillId="0" borderId="20" xfId="42" applyFont="1" applyFill="1" applyBorder="1" applyAlignment="1">
      <alignment horizontal="right" vertical="top" wrapText="1"/>
    </xf>
    <xf numFmtId="0" fontId="12" fillId="0" borderId="21" xfId="42" applyFill="1" applyBorder="1" applyAlignment="1">
      <alignment horizontal="center"/>
    </xf>
    <xf numFmtId="1" fontId="12" fillId="0" borderId="0" xfId="42" applyNumberFormat="1" applyFill="1" applyBorder="1"/>
    <xf numFmtId="166" fontId="12" fillId="0" borderId="0" xfId="42" applyNumberFormat="1" applyFill="1" applyBorder="1"/>
    <xf numFmtId="166" fontId="12" fillId="0" borderId="21" xfId="42" applyNumberFormat="1" applyFill="1" applyBorder="1"/>
    <xf numFmtId="0" fontId="16" fillId="0" borderId="20" xfId="42" applyFont="1" applyFill="1" applyBorder="1" applyAlignment="1">
      <alignment horizontal="right" vertical="top" wrapText="1"/>
    </xf>
    <xf numFmtId="0" fontId="16" fillId="0" borderId="20" xfId="42" applyFont="1" applyFill="1" applyBorder="1" applyAlignment="1">
      <alignment horizontal="right"/>
    </xf>
    <xf numFmtId="1" fontId="12" fillId="0" borderId="21" xfId="42" applyNumberFormat="1" applyFill="1" applyBorder="1" applyAlignment="1">
      <alignment horizontal="center"/>
    </xf>
    <xf numFmtId="1" fontId="12" fillId="0" borderId="25" xfId="42" applyNumberFormat="1" applyFill="1" applyBorder="1" applyAlignment="1">
      <alignment horizontal="center"/>
    </xf>
    <xf numFmtId="0" fontId="12" fillId="0" borderId="0" xfId="42" applyFill="1" applyAlignment="1">
      <alignment horizontal="right"/>
    </xf>
    <xf numFmtId="9" fontId="12" fillId="0" borderId="0" xfId="42" applyNumberFormat="1" applyFill="1" applyAlignment="1">
      <alignment horizontal="center"/>
    </xf>
    <xf numFmtId="0" fontId="16" fillId="23" borderId="0" xfId="42" applyFont="1" applyFill="1" applyAlignment="1" applyProtection="1">
      <alignment horizontal="center" vertical="center"/>
      <protection locked="0"/>
    </xf>
    <xf numFmtId="0" fontId="16" fillId="23" borderId="0" xfId="42" applyFont="1" applyFill="1" applyAlignment="1" applyProtection="1">
      <alignment horizontal="center"/>
      <protection locked="0"/>
    </xf>
    <xf numFmtId="0" fontId="12" fillId="23" borderId="0" xfId="42" applyFont="1" applyFill="1"/>
    <xf numFmtId="0" fontId="12" fillId="23" borderId="0" xfId="42" applyFill="1" applyAlignment="1">
      <alignment horizontal="center"/>
    </xf>
    <xf numFmtId="1" fontId="12" fillId="0" borderId="21" xfId="42" applyNumberFormat="1" applyFill="1" applyBorder="1"/>
    <xf numFmtId="0" fontId="12" fillId="0" borderId="23" xfId="42" applyFont="1" applyFill="1" applyBorder="1" applyAlignment="1">
      <alignment horizontal="right"/>
    </xf>
    <xf numFmtId="0" fontId="12" fillId="0" borderId="16" xfId="42" applyFont="1" applyFill="1" applyBorder="1"/>
    <xf numFmtId="0" fontId="12" fillId="24" borderId="26" xfId="42" applyFill="1" applyBorder="1"/>
    <xf numFmtId="0" fontId="12" fillId="24" borderId="27" xfId="42" applyFill="1" applyBorder="1" applyAlignment="1">
      <alignment horizontal="center"/>
    </xf>
    <xf numFmtId="0" fontId="12" fillId="24" borderId="28" xfId="42" applyFill="1" applyBorder="1"/>
    <xf numFmtId="0" fontId="12" fillId="24" borderId="29" xfId="42" applyFill="1" applyBorder="1" applyAlignment="1">
      <alignment horizontal="center"/>
    </xf>
    <xf numFmtId="0" fontId="30" fillId="24" borderId="30" xfId="42" applyFont="1" applyFill="1" applyBorder="1"/>
    <xf numFmtId="0" fontId="30" fillId="24" borderId="31" xfId="42" applyFont="1" applyFill="1" applyBorder="1"/>
    <xf numFmtId="0" fontId="34" fillId="0" borderId="0" xfId="42" applyFont="1" applyFill="1"/>
    <xf numFmtId="0" fontId="16" fillId="0" borderId="32" xfId="42" applyFont="1" applyFill="1" applyBorder="1"/>
    <xf numFmtId="0" fontId="12" fillId="0" borderId="33" xfId="42" applyFill="1" applyBorder="1"/>
    <xf numFmtId="0" fontId="12" fillId="0" borderId="34" xfId="42" applyFont="1" applyFill="1" applyBorder="1" applyProtection="1">
      <protection locked="0"/>
    </xf>
    <xf numFmtId="0" fontId="12" fillId="0" borderId="35" xfId="42" applyFill="1" applyBorder="1" applyProtection="1">
      <protection locked="0"/>
    </xf>
    <xf numFmtId="0" fontId="30" fillId="21" borderId="36" xfId="42" applyFont="1" applyFill="1" applyBorder="1"/>
    <xf numFmtId="0" fontId="12" fillId="21" borderId="37" xfId="42" applyFill="1" applyBorder="1"/>
    <xf numFmtId="0" fontId="12" fillId="21" borderId="38" xfId="42" applyFont="1" applyFill="1" applyBorder="1" applyAlignment="1">
      <alignment horizontal="right"/>
    </xf>
    <xf numFmtId="0" fontId="12" fillId="23" borderId="39" xfId="42" applyFont="1" applyFill="1" applyBorder="1" applyAlignment="1">
      <alignment horizontal="center"/>
    </xf>
    <xf numFmtId="0" fontId="12" fillId="21" borderId="40" xfId="42" applyFont="1" applyFill="1" applyBorder="1" applyAlignment="1">
      <alignment horizontal="right"/>
    </xf>
    <xf numFmtId="0" fontId="12" fillId="23" borderId="41" xfId="42" applyFont="1" applyFill="1" applyBorder="1"/>
    <xf numFmtId="0" fontId="34" fillId="23" borderId="36" xfId="42" applyFont="1" applyFill="1" applyBorder="1"/>
    <xf numFmtId="0" fontId="35" fillId="21" borderId="38" xfId="42" applyFont="1" applyFill="1" applyBorder="1"/>
    <xf numFmtId="0" fontId="12" fillId="23" borderId="39" xfId="42" applyFill="1" applyBorder="1" applyAlignment="1">
      <alignment horizontal="left"/>
    </xf>
    <xf numFmtId="0" fontId="12" fillId="21" borderId="38" xfId="42" applyFill="1" applyBorder="1"/>
    <xf numFmtId="0" fontId="12" fillId="21" borderId="39" xfId="42" applyFill="1" applyBorder="1"/>
    <xf numFmtId="0" fontId="12" fillId="23" borderId="40" xfId="42" applyFill="1" applyBorder="1" applyAlignment="1">
      <alignment horizontal="left"/>
    </xf>
    <xf numFmtId="0" fontId="12" fillId="23" borderId="41" xfId="42" applyFill="1" applyBorder="1"/>
    <xf numFmtId="0" fontId="37" fillId="0" borderId="42" xfId="42" applyFont="1" applyFill="1" applyBorder="1" applyAlignment="1">
      <alignment horizontal="center" vertical="top" wrapText="1"/>
    </xf>
    <xf numFmtId="0" fontId="12" fillId="21" borderId="43" xfId="42" applyFill="1" applyBorder="1" applyAlignment="1">
      <alignment vertical="center"/>
    </xf>
    <xf numFmtId="167" fontId="27" fillId="18" borderId="13" xfId="48" applyNumberFormat="1" applyFont="1" applyFill="1" applyBorder="1" applyAlignment="1">
      <alignment horizontal="center" vertical="center" wrapText="1"/>
    </xf>
    <xf numFmtId="1" fontId="12" fillId="18" borderId="44" xfId="48" applyNumberFormat="1" applyFont="1" applyFill="1" applyBorder="1" applyAlignment="1">
      <alignment horizontal="center" vertical="center" wrapText="1"/>
    </xf>
    <xf numFmtId="0" fontId="12" fillId="18" borderId="14" xfId="42" applyFill="1" applyBorder="1" applyAlignment="1">
      <alignment horizontal="center"/>
    </xf>
    <xf numFmtId="167" fontId="27" fillId="18" borderId="18" xfId="48" applyNumberFormat="1" applyFont="1" applyFill="1" applyBorder="1" applyAlignment="1">
      <alignment horizontal="center" vertical="center" wrapText="1"/>
    </xf>
    <xf numFmtId="0" fontId="12" fillId="18" borderId="19" xfId="42" applyFill="1" applyBorder="1" applyAlignment="1">
      <alignment horizontal="center"/>
    </xf>
    <xf numFmtId="1" fontId="12" fillId="18" borderId="19" xfId="42" applyNumberFormat="1" applyFill="1" applyBorder="1" applyAlignment="1">
      <alignment horizontal="center"/>
    </xf>
    <xf numFmtId="9" fontId="29" fillId="22" borderId="45" xfId="42" applyNumberFormat="1" applyFont="1" applyFill="1" applyBorder="1" applyAlignment="1">
      <alignment horizontal="center" vertical="center"/>
    </xf>
    <xf numFmtId="1" fontId="29" fillId="22" borderId="46" xfId="42" applyNumberFormat="1" applyFont="1" applyFill="1" applyBorder="1" applyAlignment="1">
      <alignment horizontal="center" vertical="center"/>
    </xf>
    <xf numFmtId="1" fontId="29" fillId="22" borderId="22" xfId="48" applyNumberFormat="1" applyFont="1" applyFill="1" applyBorder="1" applyAlignment="1">
      <alignment horizontal="center" vertical="center"/>
    </xf>
    <xf numFmtId="0" fontId="12" fillId="19" borderId="13" xfId="42" applyFill="1" applyBorder="1" applyAlignment="1">
      <alignment horizontal="center"/>
    </xf>
    <xf numFmtId="9" fontId="12" fillId="19" borderId="44" xfId="42" applyNumberFormat="1" applyFont="1" applyFill="1" applyBorder="1" applyAlignment="1">
      <alignment horizontal="center" vertical="center" wrapText="1"/>
    </xf>
    <xf numFmtId="166" fontId="16" fillId="19" borderId="14" xfId="48" applyNumberFormat="1" applyFont="1" applyFill="1" applyBorder="1" applyAlignment="1">
      <alignment horizontal="center" vertical="center" wrapText="1"/>
    </xf>
    <xf numFmtId="0" fontId="12" fillId="19" borderId="18" xfId="42" applyFill="1" applyBorder="1" applyAlignment="1">
      <alignment horizontal="center"/>
    </xf>
    <xf numFmtId="166" fontId="16" fillId="19" borderId="19" xfId="48" applyNumberFormat="1" applyFont="1" applyFill="1" applyBorder="1" applyAlignment="1">
      <alignment horizontal="center" vertical="center" wrapText="1"/>
    </xf>
    <xf numFmtId="1" fontId="12" fillId="19" borderId="18" xfId="42" applyNumberFormat="1" applyFill="1" applyBorder="1" applyAlignment="1">
      <alignment horizontal="center"/>
    </xf>
    <xf numFmtId="1" fontId="29" fillId="22" borderId="45" xfId="42" applyNumberFormat="1" applyFont="1" applyFill="1" applyBorder="1" applyAlignment="1">
      <alignment horizontal="center" vertical="center"/>
    </xf>
    <xf numFmtId="0" fontId="12" fillId="22" borderId="46" xfId="42" applyFont="1" applyFill="1" applyBorder="1" applyAlignment="1">
      <alignment horizontal="center" vertical="center"/>
    </xf>
    <xf numFmtId="1" fontId="29" fillId="22" borderId="22" xfId="42" applyNumberFormat="1" applyFont="1" applyFill="1" applyBorder="1" applyAlignment="1">
      <alignment horizontal="center" vertical="center"/>
    </xf>
    <xf numFmtId="0" fontId="12" fillId="21" borderId="47" xfId="42" applyFill="1" applyBorder="1" applyAlignment="1">
      <alignment vertical="center"/>
    </xf>
    <xf numFmtId="0" fontId="16" fillId="21" borderId="48" xfId="42" applyFont="1" applyFill="1" applyBorder="1" applyAlignment="1">
      <alignment horizontal="center" vertical="center"/>
    </xf>
    <xf numFmtId="9" fontId="29" fillId="22" borderId="46" xfId="42" applyNumberFormat="1" applyFont="1" applyFill="1" applyBorder="1" applyAlignment="1">
      <alignment horizontal="center" vertical="center"/>
    </xf>
    <xf numFmtId="0" fontId="12" fillId="21" borderId="47" xfId="42" applyFont="1" applyFill="1" applyBorder="1" applyAlignment="1">
      <alignment horizontal="right" vertical="center"/>
    </xf>
    <xf numFmtId="1" fontId="16" fillId="21" borderId="48" xfId="42" applyNumberFormat="1" applyFont="1" applyFill="1" applyBorder="1" applyAlignment="1">
      <alignment horizontal="center" vertical="center"/>
    </xf>
    <xf numFmtId="0" fontId="12" fillId="20" borderId="18" xfId="42" applyFill="1" applyBorder="1" applyAlignment="1">
      <alignment horizontal="center"/>
    </xf>
    <xf numFmtId="166" fontId="16" fillId="20" borderId="19" xfId="48" applyNumberFormat="1" applyFont="1" applyFill="1" applyBorder="1" applyAlignment="1">
      <alignment horizontal="center" vertical="center" wrapText="1"/>
    </xf>
    <xf numFmtId="1" fontId="12" fillId="20" borderId="18" xfId="42" applyNumberFormat="1" applyFill="1" applyBorder="1" applyAlignment="1">
      <alignment horizontal="center"/>
    </xf>
    <xf numFmtId="0" fontId="12" fillId="21" borderId="18" xfId="42" applyFont="1" applyFill="1" applyBorder="1" applyAlignment="1">
      <alignment horizontal="center" vertical="center"/>
    </xf>
    <xf numFmtId="1" fontId="16" fillId="21" borderId="19" xfId="42" applyNumberFormat="1" applyFont="1" applyFill="1" applyBorder="1" applyAlignment="1">
      <alignment horizontal="center" vertical="center"/>
    </xf>
    <xf numFmtId="0" fontId="12" fillId="18" borderId="18" xfId="42" applyFill="1" applyBorder="1" applyAlignment="1">
      <alignment horizontal="center"/>
    </xf>
    <xf numFmtId="166" fontId="16" fillId="18" borderId="19" xfId="42" applyNumberFormat="1" applyFont="1" applyFill="1" applyBorder="1" applyAlignment="1">
      <alignment horizontal="center"/>
    </xf>
    <xf numFmtId="0" fontId="15" fillId="18" borderId="49" xfId="42" applyFont="1" applyFill="1" applyBorder="1" applyAlignment="1">
      <alignment horizontal="left" vertical="top" wrapText="1"/>
    </xf>
    <xf numFmtId="0" fontId="15" fillId="18" borderId="50" xfId="42" applyFont="1" applyFill="1" applyBorder="1" applyAlignment="1">
      <alignment horizontal="center" vertical="top" wrapText="1"/>
    </xf>
    <xf numFmtId="0" fontId="15" fillId="18" borderId="51" xfId="42" applyFont="1" applyFill="1" applyBorder="1" applyAlignment="1">
      <alignment horizontal="center" vertical="top" wrapText="1"/>
    </xf>
    <xf numFmtId="0" fontId="15" fillId="18" borderId="52" xfId="42" applyFont="1" applyFill="1" applyBorder="1" applyAlignment="1">
      <alignment horizontal="center" vertical="top" wrapText="1"/>
    </xf>
    <xf numFmtId="0" fontId="15" fillId="19" borderId="50" xfId="42" applyFont="1" applyFill="1" applyBorder="1" applyAlignment="1">
      <alignment horizontal="center" vertical="top" wrapText="1"/>
    </xf>
    <xf numFmtId="0" fontId="15" fillId="19" borderId="51" xfId="42" applyFont="1" applyFill="1" applyBorder="1" applyAlignment="1">
      <alignment horizontal="center" vertical="top" wrapText="1"/>
    </xf>
    <xf numFmtId="0" fontId="15" fillId="19" borderId="52" xfId="42" applyFont="1" applyFill="1" applyBorder="1" applyAlignment="1">
      <alignment horizontal="center" vertical="top" wrapText="1"/>
    </xf>
    <xf numFmtId="0" fontId="15" fillId="20" borderId="50" xfId="42" applyFont="1" applyFill="1" applyBorder="1" applyAlignment="1">
      <alignment horizontal="center" vertical="top" wrapText="1"/>
    </xf>
    <xf numFmtId="0" fontId="15" fillId="20" borderId="51" xfId="42" applyFont="1" applyFill="1" applyBorder="1" applyAlignment="1">
      <alignment horizontal="center" vertical="top" wrapText="1"/>
    </xf>
    <xf numFmtId="0" fontId="15" fillId="20" borderId="52" xfId="42" applyFont="1" applyFill="1" applyBorder="1" applyAlignment="1">
      <alignment horizontal="center" vertical="top" wrapText="1"/>
    </xf>
    <xf numFmtId="0" fontId="15" fillId="0" borderId="53" xfId="42" applyFont="1" applyFill="1" applyBorder="1" applyAlignment="1">
      <alignment horizontal="center" vertical="top" wrapText="1"/>
    </xf>
    <xf numFmtId="0" fontId="16" fillId="18" borderId="54" xfId="42" applyFont="1" applyFill="1" applyBorder="1" applyAlignment="1">
      <alignment horizontal="left" vertical="top" wrapText="1"/>
    </xf>
    <xf numFmtId="0" fontId="12" fillId="20" borderId="13" xfId="42" applyFill="1" applyBorder="1" applyAlignment="1">
      <alignment horizontal="center"/>
    </xf>
    <xf numFmtId="9" fontId="12" fillId="20" borderId="44" xfId="42" applyNumberFormat="1" applyFont="1" applyFill="1" applyBorder="1" applyAlignment="1">
      <alignment horizontal="center" vertical="center" wrapText="1"/>
    </xf>
    <xf numFmtId="166" fontId="16" fillId="20" borderId="14" xfId="48" applyNumberFormat="1" applyFont="1" applyFill="1" applyBorder="1" applyAlignment="1">
      <alignment horizontal="center" vertical="center" wrapText="1"/>
    </xf>
    <xf numFmtId="0" fontId="12" fillId="18" borderId="13" xfId="42" applyFill="1" applyBorder="1" applyAlignment="1">
      <alignment horizontal="center"/>
    </xf>
    <xf numFmtId="9" fontId="12" fillId="18" borderId="44" xfId="48" applyFont="1" applyFill="1" applyBorder="1" applyAlignment="1">
      <alignment horizontal="center"/>
    </xf>
    <xf numFmtId="166" fontId="16" fillId="18" borderId="14" xfId="42" applyNumberFormat="1" applyFont="1" applyFill="1" applyBorder="1" applyAlignment="1">
      <alignment horizontal="center"/>
    </xf>
    <xf numFmtId="0" fontId="12" fillId="0" borderId="55" xfId="42" applyFill="1" applyBorder="1" applyAlignment="1">
      <alignment horizontal="center"/>
    </xf>
    <xf numFmtId="0" fontId="16" fillId="18" borderId="56" xfId="42" applyFont="1" applyFill="1" applyBorder="1" applyAlignment="1">
      <alignment horizontal="left" vertical="top" wrapText="1"/>
    </xf>
    <xf numFmtId="0" fontId="16" fillId="18" borderId="56" xfId="42" applyFont="1" applyFill="1" applyBorder="1" applyAlignment="1">
      <alignment horizontal="left" vertical="center" wrapText="1"/>
    </xf>
    <xf numFmtId="0" fontId="16" fillId="18" borderId="57" xfId="42" applyFont="1" applyFill="1" applyBorder="1" applyAlignment="1">
      <alignment horizontal="left" vertical="center" wrapText="1"/>
    </xf>
    <xf numFmtId="167" fontId="27" fillId="18" borderId="45" xfId="48" applyNumberFormat="1" applyFont="1" applyFill="1" applyBorder="1" applyAlignment="1">
      <alignment horizontal="center" vertical="center" wrapText="1"/>
    </xf>
    <xf numFmtId="1" fontId="12" fillId="18" borderId="46" xfId="48" applyNumberFormat="1" applyFont="1" applyFill="1" applyBorder="1" applyAlignment="1">
      <alignment horizontal="center" vertical="center" wrapText="1"/>
    </xf>
    <xf numFmtId="0" fontId="12" fillId="18" borderId="22" xfId="42" applyFill="1" applyBorder="1" applyAlignment="1">
      <alignment horizontal="center"/>
    </xf>
    <xf numFmtId="0" fontId="12" fillId="19" borderId="45" xfId="42" applyFill="1" applyBorder="1" applyAlignment="1">
      <alignment horizontal="center"/>
    </xf>
    <xf numFmtId="9" fontId="12" fillId="19" borderId="46" xfId="42" applyNumberFormat="1" applyFont="1" applyFill="1" applyBorder="1" applyAlignment="1">
      <alignment horizontal="center" vertical="center" wrapText="1"/>
    </xf>
    <xf numFmtId="166" fontId="16" fillId="19" borderId="22" xfId="48" applyNumberFormat="1" applyFont="1" applyFill="1" applyBorder="1" applyAlignment="1">
      <alignment horizontal="center" vertical="center" wrapText="1"/>
    </xf>
    <xf numFmtId="0" fontId="12" fillId="20" borderId="45" xfId="42" applyFill="1" applyBorder="1" applyAlignment="1">
      <alignment horizontal="center"/>
    </xf>
    <xf numFmtId="9" fontId="12" fillId="20" borderId="46" xfId="42" applyNumberFormat="1" applyFont="1" applyFill="1" applyBorder="1" applyAlignment="1">
      <alignment horizontal="center" vertical="center" wrapText="1"/>
    </xf>
    <xf numFmtId="166" fontId="16" fillId="20" borderId="22" xfId="48" applyNumberFormat="1" applyFont="1" applyFill="1" applyBorder="1" applyAlignment="1">
      <alignment horizontal="center" vertical="center" wrapText="1"/>
    </xf>
    <xf numFmtId="0" fontId="12" fillId="18" borderId="45" xfId="42" applyFill="1" applyBorder="1" applyAlignment="1">
      <alignment horizontal="center"/>
    </xf>
    <xf numFmtId="9" fontId="12" fillId="18" borderId="46" xfId="48" applyFont="1" applyFill="1" applyBorder="1" applyAlignment="1">
      <alignment horizontal="center"/>
    </xf>
    <xf numFmtId="166" fontId="16" fillId="18" borderId="22" xfId="42" applyNumberFormat="1" applyFont="1" applyFill="1" applyBorder="1" applyAlignment="1">
      <alignment horizontal="center"/>
    </xf>
    <xf numFmtId="0" fontId="12" fillId="0" borderId="12" xfId="42" applyFill="1" applyBorder="1" applyAlignment="1">
      <alignment horizontal="center"/>
    </xf>
    <xf numFmtId="0" fontId="29" fillId="22" borderId="54" xfId="42" applyFont="1" applyFill="1" applyBorder="1" applyAlignment="1">
      <alignment horizontal="left" vertical="center"/>
    </xf>
    <xf numFmtId="9" fontId="29" fillId="22" borderId="50" xfId="42" applyNumberFormat="1" applyFont="1" applyFill="1" applyBorder="1" applyAlignment="1">
      <alignment horizontal="center" vertical="center"/>
    </xf>
    <xf numFmtId="1" fontId="29" fillId="22" borderId="51" xfId="42" applyNumberFormat="1" applyFont="1" applyFill="1" applyBorder="1" applyAlignment="1">
      <alignment horizontal="center" vertical="center"/>
    </xf>
    <xf numFmtId="1" fontId="29" fillId="22" borderId="52" xfId="48" applyNumberFormat="1" applyFont="1" applyFill="1" applyBorder="1" applyAlignment="1">
      <alignment horizontal="center" vertical="center"/>
    </xf>
    <xf numFmtId="1" fontId="29" fillId="22" borderId="50" xfId="42" applyNumberFormat="1" applyFont="1" applyFill="1" applyBorder="1" applyAlignment="1">
      <alignment horizontal="center" vertical="center"/>
    </xf>
    <xf numFmtId="0" fontId="12" fillId="22" borderId="51" xfId="42" applyFont="1" applyFill="1" applyBorder="1" applyAlignment="1">
      <alignment horizontal="center" vertical="center"/>
    </xf>
    <xf numFmtId="1" fontId="29" fillId="22" borderId="52" xfId="42" applyNumberFormat="1" applyFont="1" applyFill="1" applyBorder="1" applyAlignment="1">
      <alignment horizontal="center" vertical="center"/>
    </xf>
    <xf numFmtId="1" fontId="29" fillId="22" borderId="13" xfId="42" applyNumberFormat="1" applyFont="1" applyFill="1" applyBorder="1" applyAlignment="1">
      <alignment horizontal="center" vertical="center"/>
    </xf>
    <xf numFmtId="1" fontId="29" fillId="22" borderId="44" xfId="42" applyNumberFormat="1" applyFont="1" applyFill="1" applyBorder="1" applyAlignment="1">
      <alignment horizontal="center" vertical="center"/>
    </xf>
    <xf numFmtId="1" fontId="29" fillId="22" borderId="14" xfId="42" applyNumberFormat="1" applyFont="1" applyFill="1" applyBorder="1" applyAlignment="1">
      <alignment horizontal="center" vertical="center"/>
    </xf>
    <xf numFmtId="1" fontId="29" fillId="22" borderId="55" xfId="42" applyNumberFormat="1" applyFont="1" applyFill="1" applyBorder="1" applyAlignment="1">
      <alignment horizontal="center" vertical="center"/>
    </xf>
    <xf numFmtId="0" fontId="16" fillId="21" borderId="56" xfId="42" applyFont="1" applyFill="1" applyBorder="1" applyAlignment="1">
      <alignment vertical="center"/>
    </xf>
    <xf numFmtId="0" fontId="29" fillId="22" borderId="57" xfId="42" applyFont="1" applyFill="1" applyBorder="1" applyAlignment="1">
      <alignment horizontal="left" vertical="center"/>
    </xf>
    <xf numFmtId="9" fontId="16" fillId="0" borderId="58" xfId="42" applyNumberFormat="1" applyFont="1" applyBorder="1" applyAlignment="1">
      <alignment horizontal="center"/>
    </xf>
    <xf numFmtId="9" fontId="16" fillId="0" borderId="59" xfId="42" applyNumberFormat="1" applyFont="1" applyBorder="1" applyAlignment="1">
      <alignment horizontal="center"/>
    </xf>
    <xf numFmtId="0" fontId="38" fillId="0" borderId="0" xfId="42" applyFont="1" applyFill="1" applyAlignment="1">
      <alignment horizontal="left" vertical="center"/>
    </xf>
    <xf numFmtId="0" fontId="39" fillId="0" borderId="0" xfId="42" applyFont="1" applyFill="1"/>
    <xf numFmtId="0" fontId="15" fillId="0" borderId="60" xfId="42" applyFont="1" applyFill="1" applyBorder="1" applyAlignment="1">
      <alignment vertical="top" wrapText="1"/>
    </xf>
    <xf numFmtId="0" fontId="15" fillId="0" borderId="37" xfId="42" applyFont="1" applyFill="1" applyBorder="1" applyAlignment="1">
      <alignment vertical="top" wrapText="1"/>
    </xf>
    <xf numFmtId="0" fontId="16" fillId="18" borderId="61" xfId="42" applyFont="1" applyFill="1" applyBorder="1" applyAlignment="1">
      <alignment horizontal="left"/>
    </xf>
    <xf numFmtId="0" fontId="33" fillId="18" borderId="62" xfId="42" applyFont="1" applyFill="1" applyBorder="1" applyAlignment="1">
      <alignment horizontal="center"/>
    </xf>
    <xf numFmtId="0" fontId="32" fillId="18" borderId="63" xfId="42" applyFont="1" applyFill="1" applyBorder="1" applyAlignment="1">
      <alignment horizontal="center" vertical="top" wrapText="1"/>
    </xf>
    <xf numFmtId="0" fontId="32" fillId="18" borderId="62" xfId="42" applyFont="1" applyFill="1" applyBorder="1" applyAlignment="1">
      <alignment horizontal="center" vertical="top" wrapText="1"/>
    </xf>
    <xf numFmtId="0" fontId="32" fillId="18" borderId="64" xfId="42" applyFont="1" applyFill="1" applyBorder="1" applyAlignment="1">
      <alignment horizontal="center" vertical="top" wrapText="1"/>
    </xf>
    <xf numFmtId="0" fontId="12" fillId="18" borderId="38" xfId="42" applyFill="1" applyBorder="1" applyAlignment="1">
      <alignment vertical="center"/>
    </xf>
    <xf numFmtId="0" fontId="12" fillId="18" borderId="0" xfId="42" applyFill="1" applyBorder="1" applyAlignment="1">
      <alignment vertical="center"/>
    </xf>
    <xf numFmtId="0" fontId="12" fillId="18" borderId="0" xfId="42" applyFill="1" applyBorder="1" applyAlignment="1">
      <alignment horizontal="center" vertical="center"/>
    </xf>
    <xf numFmtId="0" fontId="12" fillId="18" borderId="40" xfId="42" applyFill="1" applyBorder="1" applyAlignment="1">
      <alignment vertical="center"/>
    </xf>
    <xf numFmtId="9" fontId="12" fillId="18" borderId="32" xfId="42" applyNumberFormat="1" applyFill="1" applyBorder="1" applyAlignment="1">
      <alignment vertical="center"/>
    </xf>
    <xf numFmtId="9" fontId="33" fillId="18" borderId="32" xfId="42" applyNumberFormat="1" applyFont="1" applyFill="1" applyBorder="1" applyAlignment="1">
      <alignment horizontal="center" vertical="center"/>
    </xf>
    <xf numFmtId="9" fontId="33" fillId="18" borderId="41" xfId="42" applyNumberFormat="1" applyFont="1" applyFill="1" applyBorder="1" applyAlignment="1">
      <alignment horizontal="center" vertical="center"/>
    </xf>
    <xf numFmtId="0" fontId="36" fillId="18" borderId="36" xfId="42" applyFont="1" applyFill="1" applyBorder="1"/>
    <xf numFmtId="0" fontId="12" fillId="18" borderId="38" xfId="42" applyFill="1" applyBorder="1"/>
    <xf numFmtId="0" fontId="15" fillId="18" borderId="65" xfId="42" applyFont="1" applyFill="1" applyBorder="1" applyAlignment="1">
      <alignment vertical="top" wrapText="1"/>
    </xf>
    <xf numFmtId="0" fontId="33" fillId="18" borderId="65" xfId="42" applyFont="1" applyFill="1" applyBorder="1" applyAlignment="1">
      <alignment horizontal="left" vertical="center" wrapText="1"/>
    </xf>
    <xf numFmtId="0" fontId="12" fillId="18" borderId="60" xfId="42" applyFill="1" applyBorder="1"/>
    <xf numFmtId="0" fontId="32" fillId="18" borderId="66" xfId="42" applyFont="1" applyFill="1" applyBorder="1" applyAlignment="1">
      <alignment vertical="top" wrapText="1"/>
    </xf>
    <xf numFmtId="0" fontId="12" fillId="18" borderId="0" xfId="42" applyFont="1" applyFill="1" applyBorder="1" applyAlignment="1">
      <alignment horizontal="center"/>
    </xf>
    <xf numFmtId="0" fontId="12" fillId="18" borderId="0" xfId="42" applyFont="1" applyFill="1" applyBorder="1"/>
    <xf numFmtId="0" fontId="33" fillId="18" borderId="67" xfId="42" applyFont="1" applyFill="1" applyBorder="1" applyAlignment="1">
      <alignment horizontal="left" vertical="top" wrapText="1"/>
    </xf>
    <xf numFmtId="0" fontId="33" fillId="18" borderId="67" xfId="42" applyFont="1" applyFill="1" applyBorder="1" applyAlignment="1">
      <alignment horizontal="left" vertical="center" wrapText="1"/>
    </xf>
    <xf numFmtId="9" fontId="16" fillId="0" borderId="68" xfId="42" applyNumberFormat="1" applyFont="1" applyBorder="1" applyAlignment="1">
      <alignment horizontal="center"/>
    </xf>
    <xf numFmtId="0" fontId="36" fillId="0" borderId="0" xfId="42" applyFont="1" applyFill="1"/>
    <xf numFmtId="1" fontId="17" fillId="18" borderId="45" xfId="48" applyNumberFormat="1" applyFont="1" applyFill="1" applyBorder="1" applyAlignment="1">
      <alignment horizontal="center" vertical="center" wrapText="1"/>
    </xf>
    <xf numFmtId="0" fontId="12" fillId="0" borderId="44" xfId="42" applyFill="1" applyBorder="1"/>
    <xf numFmtId="0" fontId="12" fillId="23" borderId="0" xfId="42" applyFill="1"/>
    <xf numFmtId="9" fontId="51" fillId="18" borderId="16" xfId="0" applyNumberFormat="1" applyFont="1" applyFill="1" applyBorder="1" applyAlignment="1">
      <alignment horizontal="center" wrapText="1"/>
    </xf>
    <xf numFmtId="0" fontId="34" fillId="0" borderId="0" xfId="42" applyFont="1" applyFill="1" applyAlignment="1">
      <alignment horizontal="left"/>
    </xf>
    <xf numFmtId="0" fontId="12" fillId="0" borderId="0" xfId="42" applyFont="1" applyFill="1" applyAlignment="1">
      <alignment horizontal="center"/>
    </xf>
    <xf numFmtId="0" fontId="12" fillId="0" borderId="0" xfId="42" applyFont="1" applyFill="1" applyAlignment="1">
      <alignment horizontal="left"/>
    </xf>
    <xf numFmtId="0" fontId="12" fillId="0" borderId="0" xfId="42" applyFill="1" applyProtection="1">
      <protection locked="0"/>
    </xf>
    <xf numFmtId="0" fontId="12" fillId="23" borderId="0" xfId="42" applyFill="1" applyAlignment="1" applyProtection="1">
      <alignment horizontal="center"/>
      <protection locked="0"/>
    </xf>
    <xf numFmtId="0" fontId="16" fillId="0" borderId="0" xfId="42" applyFont="1" applyFill="1" applyAlignment="1">
      <alignment horizontal="right" vertical="center" wrapText="1"/>
    </xf>
    <xf numFmtId="9" fontId="33" fillId="0" borderId="58" xfId="42" applyNumberFormat="1" applyFont="1" applyBorder="1" applyAlignment="1">
      <alignment horizontal="center"/>
    </xf>
    <xf numFmtId="9" fontId="33" fillId="0" borderId="68" xfId="42" applyNumberFormat="1" applyFont="1" applyBorder="1" applyAlignment="1">
      <alignment horizontal="center"/>
    </xf>
    <xf numFmtId="9" fontId="33" fillId="0" borderId="59" xfId="42" applyNumberFormat="1" applyFont="1" applyBorder="1" applyAlignment="1">
      <alignment horizontal="center"/>
    </xf>
    <xf numFmtId="0" fontId="12" fillId="18" borderId="69" xfId="42" applyFill="1" applyBorder="1" applyAlignment="1">
      <alignment horizontal="center" vertical="center"/>
    </xf>
    <xf numFmtId="0" fontId="12" fillId="18" borderId="70" xfId="42" applyFill="1" applyBorder="1" applyAlignment="1">
      <alignment horizontal="center" vertical="center"/>
    </xf>
    <xf numFmtId="0" fontId="12" fillId="25" borderId="64" xfId="42" applyFill="1" applyBorder="1"/>
    <xf numFmtId="0" fontId="20" fillId="17" borderId="13" xfId="40" applyFont="1" applyFill="1" applyBorder="1" applyAlignment="1" applyProtection="1">
      <alignment horizontal="left" vertical="top" wrapText="1"/>
      <protection hidden="1"/>
    </xf>
    <xf numFmtId="0" fontId="12" fillId="0" borderId="0" xfId="42" applyFont="1" applyFill="1"/>
    <xf numFmtId="0" fontId="20" fillId="17" borderId="13" xfId="0" applyFont="1" applyFill="1" applyBorder="1" applyAlignment="1" applyProtection="1">
      <alignment vertical="top" wrapText="1"/>
      <protection hidden="1"/>
    </xf>
    <xf numFmtId="0" fontId="20" fillId="17" borderId="18" xfId="0" applyFont="1" applyFill="1" applyBorder="1" applyAlignment="1" applyProtection="1">
      <alignment vertical="top" wrapText="1"/>
      <protection hidden="1"/>
    </xf>
    <xf numFmtId="0" fontId="20" fillId="17" borderId="72" xfId="0" applyFont="1" applyFill="1" applyBorder="1" applyAlignment="1" applyProtection="1">
      <alignment vertical="top" wrapText="1"/>
      <protection hidden="1"/>
    </xf>
    <xf numFmtId="0" fontId="19" fillId="0" borderId="44" xfId="0" applyFont="1" applyFill="1" applyBorder="1" applyAlignment="1" applyProtection="1">
      <alignment horizontal="left" vertical="top" wrapText="1"/>
      <protection hidden="1"/>
    </xf>
    <xf numFmtId="0" fontId="19" fillId="0" borderId="64" xfId="0" applyFont="1" applyFill="1" applyBorder="1" applyAlignment="1" applyProtection="1">
      <alignment horizontal="left" vertical="top" wrapText="1"/>
      <protection hidden="1"/>
    </xf>
    <xf numFmtId="0" fontId="19" fillId="0" borderId="73" xfId="0" applyFont="1" applyFill="1" applyBorder="1" applyAlignment="1" applyProtection="1">
      <alignment horizontal="left" vertical="top" wrapText="1"/>
      <protection hidden="1"/>
    </xf>
    <xf numFmtId="0" fontId="12" fillId="0" borderId="20" xfId="42" applyFont="1" applyFill="1" applyBorder="1"/>
    <xf numFmtId="9" fontId="12" fillId="0" borderId="0" xfId="42" applyNumberFormat="1" applyFill="1" applyBorder="1"/>
    <xf numFmtId="0" fontId="16" fillId="0" borderId="0" xfId="42" applyFont="1" applyFill="1" applyBorder="1"/>
    <xf numFmtId="10" fontId="55" fillId="0" borderId="0" xfId="42" applyNumberFormat="1" applyFont="1" applyFill="1" applyBorder="1" applyAlignment="1">
      <alignment horizontal="right"/>
    </xf>
    <xf numFmtId="0" fontId="19" fillId="0" borderId="10" xfId="40" applyFont="1" applyFill="1" applyBorder="1" applyAlignment="1" applyProtection="1">
      <alignment vertical="top" wrapText="1"/>
      <protection hidden="1"/>
    </xf>
    <xf numFmtId="0" fontId="55" fillId="17" borderId="10" xfId="40" applyFont="1" applyFill="1" applyBorder="1" applyAlignment="1" applyProtection="1">
      <alignment horizontal="center" vertical="center" wrapText="1"/>
      <protection hidden="1"/>
    </xf>
    <xf numFmtId="0" fontId="12" fillId="24" borderId="74" xfId="0" applyFont="1" applyFill="1" applyBorder="1" applyAlignment="1" applyProtection="1">
      <alignment horizontal="left" vertical="top" wrapText="1"/>
      <protection hidden="1"/>
    </xf>
    <xf numFmtId="0" fontId="12" fillId="24" borderId="75" xfId="0" applyFont="1" applyFill="1" applyBorder="1" applyAlignment="1" applyProtection="1">
      <alignment horizontal="left" vertical="top" wrapText="1"/>
      <protection hidden="1"/>
    </xf>
    <xf numFmtId="0" fontId="12" fillId="24" borderId="76" xfId="0" applyFont="1" applyFill="1" applyBorder="1" applyAlignment="1" applyProtection="1">
      <alignment horizontal="left" vertical="top" wrapText="1"/>
      <protection hidden="1"/>
    </xf>
    <xf numFmtId="0" fontId="55" fillId="17" borderId="10" xfId="40" applyFont="1" applyFill="1" applyBorder="1" applyAlignment="1" applyProtection="1">
      <alignment vertical="top" wrapText="1"/>
      <protection hidden="1"/>
    </xf>
    <xf numFmtId="0" fontId="19" fillId="17" borderId="0" xfId="0" applyFont="1" applyFill="1" applyBorder="1" applyAlignment="1" applyProtection="1">
      <alignment vertical="center"/>
      <protection hidden="1"/>
    </xf>
    <xf numFmtId="0" fontId="19" fillId="17" borderId="0" xfId="0" applyFont="1" applyFill="1" applyBorder="1" applyAlignment="1" applyProtection="1">
      <alignment horizontal="center" vertical="center"/>
      <protection hidden="1"/>
    </xf>
    <xf numFmtId="0" fontId="19" fillId="17" borderId="60" xfId="0" applyFont="1" applyFill="1" applyBorder="1" applyAlignment="1" applyProtection="1">
      <alignment vertical="center"/>
      <protection hidden="1"/>
    </xf>
    <xf numFmtId="0" fontId="16" fillId="17" borderId="18" xfId="40" applyFont="1" applyFill="1" applyBorder="1" applyAlignment="1" applyProtection="1">
      <alignment vertical="top" wrapText="1"/>
      <protection hidden="1"/>
    </xf>
    <xf numFmtId="0" fontId="55" fillId="17" borderId="44" xfId="40" applyFont="1" applyFill="1" applyBorder="1" applyAlignment="1" applyProtection="1">
      <alignment horizontal="center" vertical="center" wrapText="1"/>
      <protection hidden="1"/>
    </xf>
    <xf numFmtId="0" fontId="29" fillId="24" borderId="10" xfId="41" applyFont="1" applyFill="1" applyBorder="1" applyAlignment="1" applyProtection="1">
      <alignment horizontal="center" vertical="center"/>
      <protection hidden="1"/>
    </xf>
    <xf numFmtId="9" fontId="12" fillId="24" borderId="18" xfId="42" applyNumberFormat="1" applyFont="1" applyFill="1" applyBorder="1" applyAlignment="1" applyProtection="1">
      <alignment horizontal="center" vertical="top" wrapText="1"/>
      <protection hidden="1"/>
    </xf>
    <xf numFmtId="0" fontId="12" fillId="24" borderId="10" xfId="42" applyNumberFormat="1" applyFont="1" applyFill="1" applyBorder="1" applyAlignment="1" applyProtection="1">
      <alignment horizontal="center" vertical="top" wrapText="1"/>
      <protection hidden="1"/>
    </xf>
    <xf numFmtId="9" fontId="12" fillId="24" borderId="45" xfId="42" applyNumberFormat="1" applyFont="1" applyFill="1" applyBorder="1" applyAlignment="1" applyProtection="1">
      <alignment horizontal="center" vertical="top" wrapText="1"/>
      <protection hidden="1"/>
    </xf>
    <xf numFmtId="0" fontId="12" fillId="24" borderId="46" xfId="42" applyNumberFormat="1" applyFont="1" applyFill="1" applyBorder="1" applyAlignment="1" applyProtection="1">
      <alignment horizontal="center" vertical="top" wrapText="1"/>
      <protection hidden="1"/>
    </xf>
    <xf numFmtId="0" fontId="16" fillId="24" borderId="43" xfId="42" applyFont="1" applyFill="1" applyBorder="1" applyAlignment="1" applyProtection="1">
      <alignment horizontal="center"/>
      <protection hidden="1"/>
    </xf>
    <xf numFmtId="2" fontId="55" fillId="24" borderId="10" xfId="42" applyNumberFormat="1" applyFont="1" applyFill="1" applyBorder="1" applyAlignment="1" applyProtection="1">
      <alignment horizontal="center"/>
      <protection hidden="1"/>
    </xf>
    <xf numFmtId="2" fontId="16" fillId="24" borderId="10" xfId="42" applyNumberFormat="1" applyFont="1" applyFill="1" applyBorder="1" applyAlignment="1" applyProtection="1">
      <alignment horizontal="center" vertical="center"/>
      <protection hidden="1"/>
    </xf>
    <xf numFmtId="0" fontId="29" fillId="24" borderId="10" xfId="42" applyFont="1" applyFill="1" applyBorder="1" applyAlignment="1" applyProtection="1">
      <alignment horizontal="center" vertical="center" wrapText="1"/>
      <protection hidden="1"/>
    </xf>
    <xf numFmtId="0" fontId="12" fillId="18" borderId="62" xfId="42" applyFont="1" applyFill="1" applyBorder="1" applyAlignment="1">
      <alignment horizontal="center"/>
    </xf>
    <xf numFmtId="0" fontId="12" fillId="18" borderId="67" xfId="42" applyFont="1" applyFill="1" applyBorder="1" applyAlignment="1">
      <alignment horizontal="left" vertical="top" wrapText="1"/>
    </xf>
    <xf numFmtId="9" fontId="12" fillId="0" borderId="58" xfId="42" applyNumberFormat="1" applyFont="1" applyBorder="1" applyAlignment="1">
      <alignment horizontal="center"/>
    </xf>
    <xf numFmtId="9" fontId="12" fillId="0" borderId="68" xfId="42" applyNumberFormat="1" applyFont="1" applyBorder="1" applyAlignment="1">
      <alignment horizontal="center"/>
    </xf>
    <xf numFmtId="0" fontId="12" fillId="18" borderId="65" xfId="42" applyFont="1" applyFill="1" applyBorder="1" applyAlignment="1">
      <alignment horizontal="left" vertical="center" wrapText="1"/>
    </xf>
    <xf numFmtId="0" fontId="12" fillId="18" borderId="67" xfId="42" applyFont="1" applyFill="1" applyBorder="1" applyAlignment="1">
      <alignment horizontal="left" vertical="center" wrapText="1"/>
    </xf>
    <xf numFmtId="9" fontId="12" fillId="18" borderId="32" xfId="42" applyNumberFormat="1" applyFont="1" applyFill="1" applyBorder="1" applyAlignment="1">
      <alignment horizontal="center" vertical="center"/>
    </xf>
    <xf numFmtId="9" fontId="12" fillId="18" borderId="41" xfId="42" applyNumberFormat="1" applyFont="1" applyFill="1" applyBorder="1" applyAlignment="1">
      <alignment horizontal="center" vertical="center"/>
    </xf>
    <xf numFmtId="0" fontId="30" fillId="21" borderId="38" xfId="42" applyFont="1" applyFill="1" applyBorder="1"/>
    <xf numFmtId="0" fontId="113" fillId="0" borderId="0" xfId="42" applyFont="1" applyFill="1"/>
    <xf numFmtId="3" fontId="12" fillId="19" borderId="18" xfId="42" applyNumberFormat="1" applyFill="1" applyBorder="1" applyAlignment="1">
      <alignment horizontal="center"/>
    </xf>
    <xf numFmtId="0" fontId="12" fillId="23" borderId="40" xfId="42" applyFont="1" applyFill="1" applyBorder="1" applyAlignment="1">
      <alignment horizontal="left"/>
    </xf>
    <xf numFmtId="0" fontId="12" fillId="23" borderId="39" xfId="42" applyFont="1" applyFill="1" applyBorder="1" applyAlignment="1">
      <alignment horizontal="left"/>
    </xf>
    <xf numFmtId="0" fontId="52" fillId="26" borderId="0" xfId="40" applyFont="1" applyFill="1" applyBorder="1" applyAlignment="1" applyProtection="1">
      <alignment vertical="top"/>
      <protection hidden="1"/>
    </xf>
    <xf numFmtId="0" fontId="31" fillId="26" borderId="0" xfId="40" applyFont="1" applyFill="1" applyBorder="1" applyAlignment="1" applyProtection="1">
      <alignment horizontal="left" vertical="top" wrapText="1"/>
      <protection hidden="1"/>
    </xf>
    <xf numFmtId="0" fontId="17" fillId="26" borderId="0" xfId="40" applyFont="1" applyFill="1" applyBorder="1" applyAlignment="1" applyProtection="1">
      <alignment horizontal="left" vertical="center" wrapText="1"/>
      <protection hidden="1"/>
    </xf>
    <xf numFmtId="0" fontId="31" fillId="26" borderId="0" xfId="40" applyFont="1" applyFill="1" applyBorder="1" applyAlignment="1" applyProtection="1">
      <alignment horizontal="center" vertical="center" wrapText="1"/>
      <protection hidden="1"/>
    </xf>
    <xf numFmtId="0" fontId="31" fillId="26" borderId="0" xfId="41" applyFont="1" applyFill="1" applyBorder="1" applyAlignment="1" applyProtection="1">
      <alignment vertical="center" wrapText="1"/>
      <protection hidden="1"/>
    </xf>
    <xf numFmtId="0" fontId="31" fillId="26" borderId="0" xfId="0" applyFont="1" applyFill="1" applyBorder="1" applyAlignment="1" applyProtection="1">
      <alignment vertical="top"/>
      <protection hidden="1"/>
    </xf>
    <xf numFmtId="0" fontId="31" fillId="26" borderId="0" xfId="0" applyFont="1" applyFill="1" applyBorder="1" applyAlignment="1" applyProtection="1">
      <alignment horizontal="center" vertical="top"/>
      <protection hidden="1"/>
    </xf>
    <xf numFmtId="0" fontId="46" fillId="26" borderId="0" xfId="0" applyFont="1" applyFill="1" applyBorder="1" applyAlignment="1" applyProtection="1">
      <alignment horizontal="center" vertical="top"/>
      <protection hidden="1"/>
    </xf>
    <xf numFmtId="0" fontId="44" fillId="26" borderId="0" xfId="0" applyFont="1" applyFill="1" applyBorder="1" applyAlignment="1" applyProtection="1">
      <alignment horizontal="left" vertical="top"/>
      <protection hidden="1"/>
    </xf>
    <xf numFmtId="0" fontId="46" fillId="26" borderId="0" xfId="0" applyFont="1" applyFill="1" applyBorder="1" applyAlignment="1" applyProtection="1">
      <alignment horizontal="left" vertical="top"/>
      <protection hidden="1"/>
    </xf>
    <xf numFmtId="0" fontId="44" fillId="26" borderId="0" xfId="0" applyFont="1" applyFill="1" applyBorder="1" applyAlignment="1" applyProtection="1">
      <alignment horizontal="right" vertical="top"/>
      <protection hidden="1"/>
    </xf>
    <xf numFmtId="0" fontId="31" fillId="26" borderId="0" xfId="0" applyFont="1" applyFill="1" applyBorder="1" applyAlignment="1">
      <alignment vertical="top"/>
    </xf>
    <xf numFmtId="0" fontId="48" fillId="26" borderId="0" xfId="40" applyFont="1" applyFill="1" applyBorder="1" applyAlignment="1" applyProtection="1">
      <alignment horizontal="left" vertical="top"/>
    </xf>
    <xf numFmtId="0" fontId="41" fillId="26" borderId="0" xfId="0" applyFont="1" applyFill="1" applyBorder="1" applyAlignment="1" applyProtection="1">
      <alignment horizontal="center" vertical="center" wrapText="1"/>
      <protection hidden="1"/>
    </xf>
    <xf numFmtId="0" fontId="41" fillId="26" borderId="0" xfId="0" applyFont="1" applyFill="1" applyBorder="1" applyAlignment="1" applyProtection="1">
      <alignment horizontal="left" vertical="center" wrapText="1"/>
      <protection hidden="1"/>
    </xf>
    <xf numFmtId="0" fontId="31" fillId="26" borderId="0" xfId="0" applyFont="1" applyFill="1" applyBorder="1" applyAlignment="1">
      <alignment vertical="center"/>
    </xf>
    <xf numFmtId="0" fontId="41" fillId="26" borderId="0" xfId="0" applyFont="1" applyFill="1" applyBorder="1" applyAlignment="1" applyProtection="1">
      <alignment vertical="center" wrapText="1"/>
      <protection hidden="1"/>
    </xf>
    <xf numFmtId="0" fontId="31" fillId="26" borderId="0" xfId="0" applyFont="1" applyFill="1" applyBorder="1" applyAlignment="1" applyProtection="1">
      <alignment horizontal="center" vertical="center"/>
      <protection hidden="1"/>
    </xf>
    <xf numFmtId="0" fontId="31" fillId="26" borderId="0" xfId="0" applyFont="1" applyFill="1" applyBorder="1" applyAlignment="1" applyProtection="1">
      <alignment horizontal="left" vertical="center"/>
      <protection hidden="1"/>
    </xf>
    <xf numFmtId="0" fontId="15" fillId="26" borderId="0" xfId="45" applyFont="1" applyFill="1" applyBorder="1" applyAlignment="1" applyProtection="1">
      <alignment vertical="center" wrapText="1"/>
    </xf>
    <xf numFmtId="0" fontId="31" fillId="26" borderId="0" xfId="0" applyFont="1" applyFill="1" applyBorder="1" applyAlignment="1" applyProtection="1">
      <alignment vertical="center"/>
      <protection hidden="1"/>
    </xf>
    <xf numFmtId="0" fontId="15" fillId="26" borderId="0" xfId="45" quotePrefix="1" applyFont="1" applyFill="1" applyBorder="1" applyAlignment="1" applyProtection="1">
      <alignment vertical="center" wrapText="1"/>
    </xf>
    <xf numFmtId="0" fontId="46" fillId="26" borderId="0" xfId="0" applyFont="1" applyFill="1" applyBorder="1" applyAlignment="1" applyProtection="1">
      <alignment horizontal="center" vertical="center"/>
      <protection hidden="1"/>
    </xf>
    <xf numFmtId="0" fontId="46" fillId="26" borderId="0" xfId="0" applyFont="1" applyFill="1" applyBorder="1" applyAlignment="1" applyProtection="1">
      <alignment horizontal="left" vertical="center"/>
      <protection hidden="1"/>
    </xf>
    <xf numFmtId="0" fontId="99" fillId="26" borderId="0" xfId="0" applyFont="1" applyFill="1" applyBorder="1" applyAlignment="1" applyProtection="1">
      <alignment horizontal="center" vertical="center"/>
      <protection hidden="1"/>
    </xf>
    <xf numFmtId="0" fontId="31" fillId="26" borderId="0" xfId="0" applyFont="1" applyFill="1" applyBorder="1" applyAlignment="1">
      <alignment horizontal="center" vertical="center"/>
    </xf>
    <xf numFmtId="1" fontId="44" fillId="26" borderId="0" xfId="0" applyNumberFormat="1" applyFont="1" applyFill="1" applyBorder="1" applyAlignment="1" applyProtection="1">
      <alignment vertical="center"/>
      <protection hidden="1"/>
    </xf>
    <xf numFmtId="1" fontId="68" fillId="26" borderId="0" xfId="0" applyNumberFormat="1" applyFont="1" applyFill="1" applyBorder="1" applyAlignment="1" applyProtection="1">
      <alignment horizontal="center" vertical="center"/>
      <protection hidden="1"/>
    </xf>
    <xf numFmtId="0" fontId="44" fillId="26" borderId="0" xfId="0" applyFont="1" applyFill="1" applyBorder="1" applyAlignment="1" applyProtection="1">
      <alignment horizontal="right" vertical="center"/>
      <protection hidden="1"/>
    </xf>
    <xf numFmtId="1" fontId="44" fillId="26" borderId="0" xfId="0" applyNumberFormat="1" applyFont="1" applyFill="1" applyBorder="1" applyAlignment="1" applyProtection="1">
      <alignment horizontal="center" vertical="center"/>
      <protection hidden="1"/>
    </xf>
    <xf numFmtId="1" fontId="100" fillId="26" borderId="0" xfId="0" applyNumberFormat="1" applyFont="1" applyFill="1" applyBorder="1" applyAlignment="1" applyProtection="1">
      <alignment horizontal="center" vertical="center"/>
      <protection hidden="1"/>
    </xf>
    <xf numFmtId="0" fontId="65" fillId="26" borderId="0" xfId="0" applyFont="1" applyFill="1" applyBorder="1" applyAlignment="1" applyProtection="1">
      <alignment horizontal="right" vertical="center"/>
      <protection hidden="1"/>
    </xf>
    <xf numFmtId="0" fontId="31" fillId="26" borderId="0" xfId="0" applyFont="1" applyFill="1" applyBorder="1" applyProtection="1">
      <protection hidden="1"/>
    </xf>
    <xf numFmtId="0" fontId="31" fillId="26" borderId="0" xfId="0" applyFont="1" applyFill="1" applyBorder="1" applyAlignment="1" applyProtection="1">
      <alignment horizontal="center"/>
      <protection hidden="1"/>
    </xf>
    <xf numFmtId="0" fontId="46" fillId="26" borderId="0" xfId="0" applyFont="1" applyFill="1" applyBorder="1" applyAlignment="1" applyProtection="1">
      <alignment horizontal="center"/>
      <protection hidden="1"/>
    </xf>
    <xf numFmtId="0" fontId="46" fillId="26" borderId="0" xfId="0" applyFont="1" applyFill="1" applyBorder="1" applyAlignment="1" applyProtection="1">
      <alignment horizontal="left"/>
      <protection hidden="1"/>
    </xf>
    <xf numFmtId="0" fontId="31" fillId="26" borderId="0" xfId="0" applyFont="1" applyFill="1" applyBorder="1" applyAlignment="1">
      <alignment horizontal="center"/>
    </xf>
    <xf numFmtId="0" fontId="31" fillId="26" borderId="0" xfId="0" applyFont="1" applyFill="1" applyBorder="1"/>
    <xf numFmtId="0" fontId="17" fillId="26" borderId="0" xfId="0" applyFont="1" applyFill="1" applyBorder="1" applyAlignment="1">
      <alignment horizontal="left"/>
    </xf>
    <xf numFmtId="0" fontId="46" fillId="26" borderId="0" xfId="0" applyFont="1" applyFill="1" applyBorder="1" applyAlignment="1">
      <alignment horizontal="left"/>
    </xf>
    <xf numFmtId="0" fontId="46" fillId="26" borderId="0" xfId="0" applyFont="1" applyFill="1" applyBorder="1" applyAlignment="1">
      <alignment horizontal="center"/>
    </xf>
    <xf numFmtId="0" fontId="54" fillId="26" borderId="0" xfId="41" applyFont="1" applyFill="1" applyBorder="1" applyAlignment="1" applyProtection="1">
      <alignment vertical="center"/>
      <protection hidden="1"/>
    </xf>
    <xf numFmtId="0" fontId="87" fillId="26" borderId="0" xfId="41" applyFont="1" applyFill="1" applyBorder="1" applyAlignment="1" applyProtection="1">
      <alignment vertical="center"/>
      <protection hidden="1"/>
    </xf>
    <xf numFmtId="0" fontId="42" fillId="26" borderId="0" xfId="40" applyFont="1" applyFill="1" applyBorder="1" applyAlignment="1" applyProtection="1">
      <alignment horizontal="left" vertical="top" wrapText="1"/>
      <protection hidden="1"/>
    </xf>
    <xf numFmtId="0" fontId="45" fillId="26" borderId="0" xfId="40" applyFont="1" applyFill="1" applyBorder="1" applyAlignment="1" applyProtection="1">
      <alignment horizontal="left" vertical="center" wrapText="1"/>
      <protection hidden="1"/>
    </xf>
    <xf numFmtId="0" fontId="65" fillId="26" borderId="0" xfId="40" applyFont="1" applyFill="1" applyBorder="1" applyAlignment="1" applyProtection="1">
      <alignment horizontal="left" vertical="top" wrapText="1"/>
      <protection hidden="1"/>
    </xf>
    <xf numFmtId="0" fontId="42" fillId="26" borderId="0" xfId="40" applyFont="1" applyFill="1" applyAlignment="1" applyProtection="1">
      <alignment horizontal="left" vertical="top" wrapText="1"/>
    </xf>
    <xf numFmtId="0" fontId="42" fillId="26" borderId="0" xfId="40" applyFont="1" applyFill="1" applyAlignment="1" applyProtection="1">
      <alignment horizontal="left" vertical="top" wrapText="1"/>
      <protection hidden="1"/>
    </xf>
    <xf numFmtId="0" fontId="45" fillId="26" borderId="0" xfId="40" applyFont="1" applyFill="1" applyAlignment="1" applyProtection="1">
      <alignment horizontal="left" vertical="center" wrapText="1"/>
      <protection hidden="1"/>
    </xf>
    <xf numFmtId="0" fontId="43" fillId="26" borderId="0" xfId="40" applyFont="1" applyFill="1" applyAlignment="1" applyProtection="1">
      <alignment horizontal="left" vertical="top" wrapText="1"/>
      <protection hidden="1"/>
    </xf>
    <xf numFmtId="0" fontId="43" fillId="26" borderId="0" xfId="40" applyFont="1" applyFill="1" applyAlignment="1" applyProtection="1">
      <alignment horizontal="left" vertical="center" wrapText="1"/>
      <protection hidden="1"/>
    </xf>
    <xf numFmtId="0" fontId="42" fillId="26" borderId="0" xfId="40" applyFont="1" applyFill="1" applyAlignment="1" applyProtection="1">
      <alignment horizontal="center" vertical="center" wrapText="1"/>
      <protection hidden="1"/>
    </xf>
    <xf numFmtId="0" fontId="65" fillId="26" borderId="0" xfId="40" applyFont="1" applyFill="1" applyAlignment="1" applyProtection="1">
      <alignment horizontal="left" vertical="top" wrapText="1"/>
      <protection hidden="1"/>
    </xf>
    <xf numFmtId="0" fontId="52" fillId="26" borderId="0" xfId="41" applyFont="1" applyFill="1" applyBorder="1" applyAlignment="1" applyProtection="1">
      <alignment horizontal="left" vertical="center"/>
      <protection hidden="1"/>
    </xf>
    <xf numFmtId="0" fontId="44" fillId="26" borderId="0" xfId="42" applyFont="1" applyFill="1" applyAlignment="1" applyProtection="1">
      <alignment horizontal="left" vertical="center"/>
      <protection hidden="1"/>
    </xf>
    <xf numFmtId="0" fontId="116" fillId="26" borderId="0" xfId="42" applyFont="1" applyFill="1" applyAlignment="1" applyProtection="1">
      <alignment horizontal="left" vertical="center"/>
      <protection hidden="1"/>
    </xf>
    <xf numFmtId="0" fontId="48" fillId="26" borderId="0" xfId="42" applyFont="1" applyFill="1" applyAlignment="1" applyProtection="1">
      <alignment vertical="top"/>
      <protection hidden="1"/>
    </xf>
    <xf numFmtId="0" fontId="43" fillId="26" borderId="0" xfId="40" applyFont="1" applyFill="1" applyBorder="1" applyAlignment="1" applyProtection="1">
      <alignment horizontal="left" vertical="top" wrapText="1"/>
      <protection hidden="1"/>
    </xf>
    <xf numFmtId="0" fontId="43" fillId="26" borderId="0" xfId="40" applyFont="1" applyFill="1" applyBorder="1" applyAlignment="1" applyProtection="1">
      <alignment horizontal="left" vertical="center" wrapText="1"/>
      <protection hidden="1"/>
    </xf>
    <xf numFmtId="0" fontId="42" fillId="26" borderId="0" xfId="40" applyFont="1" applyFill="1" applyBorder="1" applyAlignment="1" applyProtection="1">
      <alignment horizontal="center" vertical="center" wrapText="1"/>
      <protection hidden="1"/>
    </xf>
    <xf numFmtId="0" fontId="108" fillId="26" borderId="0" xfId="41" applyFont="1" applyFill="1" applyBorder="1" applyAlignment="1" applyProtection="1">
      <alignment vertical="top"/>
      <protection hidden="1"/>
    </xf>
    <xf numFmtId="0" fontId="107" fillId="26" borderId="0" xfId="41" applyFont="1" applyFill="1" applyBorder="1" applyAlignment="1" applyProtection="1">
      <alignment vertical="top" wrapText="1"/>
      <protection hidden="1"/>
    </xf>
    <xf numFmtId="0" fontId="107" fillId="26" borderId="0" xfId="41" applyFont="1" applyFill="1" applyBorder="1" applyAlignment="1" applyProtection="1">
      <alignment horizontal="center" vertical="top" wrapText="1"/>
      <protection hidden="1"/>
    </xf>
    <xf numFmtId="0" fontId="87" fillId="26" borderId="0" xfId="41" applyFont="1" applyFill="1" applyBorder="1" applyAlignment="1" applyProtection="1">
      <alignment horizontal="center" vertical="top"/>
      <protection hidden="1"/>
    </xf>
    <xf numFmtId="0" fontId="14" fillId="26" borderId="0" xfId="41" applyFont="1" applyFill="1" applyAlignment="1" applyProtection="1">
      <alignment vertical="top" wrapText="1"/>
      <protection hidden="1"/>
    </xf>
    <xf numFmtId="0" fontId="106" fillId="26" borderId="0" xfId="41" applyFont="1" applyFill="1" applyAlignment="1" applyProtection="1">
      <alignment vertical="top" wrapText="1"/>
      <protection hidden="1"/>
    </xf>
    <xf numFmtId="0" fontId="12" fillId="26" borderId="0" xfId="41" applyFont="1" applyFill="1" applyBorder="1" applyAlignment="1" applyProtection="1">
      <alignment vertical="top" wrapText="1"/>
      <protection hidden="1"/>
    </xf>
    <xf numFmtId="0" fontId="41" fillId="26" borderId="0" xfId="41" applyFont="1" applyFill="1" applyBorder="1" applyAlignment="1" applyProtection="1">
      <alignment vertical="center"/>
      <protection hidden="1"/>
    </xf>
    <xf numFmtId="1" fontId="16" fillId="26" borderId="0" xfId="41" applyNumberFormat="1" applyFont="1" applyFill="1" applyBorder="1" applyAlignment="1" applyProtection="1">
      <alignment horizontal="center" vertical="center" wrapText="1"/>
      <protection hidden="1"/>
    </xf>
    <xf numFmtId="0" fontId="12" fillId="26" borderId="0" xfId="48" applyNumberFormat="1" applyFont="1" applyFill="1" applyBorder="1" applyAlignment="1" applyProtection="1">
      <alignment horizontal="center" vertical="top" wrapText="1"/>
      <protection hidden="1"/>
    </xf>
    <xf numFmtId="0" fontId="16" fillId="26" borderId="0" xfId="42" applyFont="1" applyFill="1" applyBorder="1" applyAlignment="1" applyProtection="1">
      <alignment horizontal="center" vertical="top" wrapText="1"/>
      <protection hidden="1"/>
    </xf>
    <xf numFmtId="0" fontId="12" fillId="26" borderId="0" xfId="42" applyFont="1" applyFill="1" applyBorder="1" applyAlignment="1" applyProtection="1">
      <alignment vertical="top" wrapText="1"/>
      <protection hidden="1"/>
    </xf>
    <xf numFmtId="0" fontId="12" fillId="26" borderId="0" xfId="42" applyFont="1" applyFill="1" applyBorder="1" applyAlignment="1" applyProtection="1">
      <alignment horizontal="center"/>
      <protection hidden="1"/>
    </xf>
    <xf numFmtId="0" fontId="12" fillId="26" borderId="0" xfId="42" applyFont="1" applyFill="1" applyBorder="1" applyAlignment="1" applyProtection="1">
      <alignment horizontal="center" vertical="top" wrapText="1"/>
      <protection hidden="1"/>
    </xf>
    <xf numFmtId="0" fontId="12" fillId="26" borderId="0" xfId="42" applyFont="1" applyFill="1" applyAlignment="1" applyProtection="1">
      <alignment vertical="top" wrapText="1"/>
      <protection hidden="1"/>
    </xf>
    <xf numFmtId="0" fontId="16" fillId="26" borderId="50" xfId="42" applyFont="1" applyFill="1" applyBorder="1" applyAlignment="1" applyProtection="1">
      <alignment horizontal="center" vertical="top" wrapText="1"/>
      <protection hidden="1"/>
    </xf>
    <xf numFmtId="0" fontId="41" fillId="26" borderId="0" xfId="41" applyFont="1" applyFill="1" applyBorder="1" applyAlignment="1" applyProtection="1">
      <alignment horizontal="center" vertical="top" wrapText="1"/>
      <protection hidden="1"/>
    </xf>
    <xf numFmtId="0" fontId="42" fillId="26" borderId="0" xfId="40" applyFont="1" applyFill="1" applyBorder="1" applyAlignment="1" applyProtection="1">
      <alignment horizontal="center" vertical="top" wrapText="1"/>
      <protection hidden="1"/>
    </xf>
    <xf numFmtId="0" fontId="31" fillId="26" borderId="0" xfId="40" applyFont="1" applyFill="1" applyAlignment="1" applyProtection="1">
      <alignment horizontal="left" vertical="top" wrapText="1"/>
      <protection hidden="1"/>
    </xf>
    <xf numFmtId="0" fontId="41" fillId="26" borderId="0" xfId="40" applyFont="1" applyFill="1" applyAlignment="1" applyProtection="1">
      <alignment horizontal="left" vertical="top" wrapText="1"/>
      <protection hidden="1"/>
    </xf>
    <xf numFmtId="0" fontId="41" fillId="26" borderId="0" xfId="40" applyFont="1" applyFill="1" applyAlignment="1" applyProtection="1">
      <alignment horizontal="left" vertical="center" wrapText="1"/>
      <protection hidden="1"/>
    </xf>
    <xf numFmtId="0" fontId="31" fillId="26" borderId="0" xfId="40" applyFont="1" applyFill="1" applyAlignment="1" applyProtection="1">
      <alignment horizontal="center" vertical="center" wrapText="1"/>
      <protection hidden="1"/>
    </xf>
    <xf numFmtId="0" fontId="98" fillId="26" borderId="0" xfId="42" applyFont="1" applyFill="1" applyAlignment="1" applyProtection="1">
      <alignment horizontal="left" vertical="center"/>
      <protection hidden="1"/>
    </xf>
    <xf numFmtId="0" fontId="44" fillId="26" borderId="0" xfId="41" applyFont="1" applyFill="1" applyBorder="1" applyAlignment="1" applyProtection="1">
      <alignment horizontal="left" vertical="center"/>
      <protection hidden="1"/>
    </xf>
    <xf numFmtId="0" fontId="12" fillId="26" borderId="0" xfId="41" applyFill="1" applyBorder="1" applyAlignment="1" applyProtection="1">
      <alignment horizontal="left" vertical="center"/>
      <protection hidden="1"/>
    </xf>
    <xf numFmtId="0" fontId="29" fillId="26" borderId="0" xfId="41" applyFont="1" applyFill="1" applyBorder="1" applyAlignment="1" applyProtection="1">
      <alignment horizontal="center" vertical="center"/>
      <protection hidden="1"/>
    </xf>
    <xf numFmtId="2" fontId="16" fillId="26" borderId="0" xfId="42" applyNumberFormat="1" applyFont="1" applyFill="1" applyBorder="1" applyAlignment="1" applyProtection="1">
      <alignment horizontal="center" vertical="center"/>
      <protection hidden="1"/>
    </xf>
    <xf numFmtId="0" fontId="29" fillId="26" borderId="0" xfId="42" applyFont="1" applyFill="1" applyBorder="1" applyAlignment="1" applyProtection="1">
      <alignment horizontal="center" vertical="center"/>
      <protection hidden="1"/>
    </xf>
    <xf numFmtId="0" fontId="16" fillId="26" borderId="0" xfId="42" applyFont="1" applyFill="1" applyBorder="1" applyAlignment="1" applyProtection="1">
      <alignment horizontal="center" vertical="center"/>
      <protection hidden="1"/>
    </xf>
    <xf numFmtId="0" fontId="31" fillId="26" borderId="0" xfId="42" applyFont="1" applyFill="1" applyAlignment="1" applyProtection="1">
      <alignment vertical="top"/>
      <protection hidden="1"/>
    </xf>
    <xf numFmtId="0" fontId="87" fillId="26" borderId="0" xfId="42" applyFont="1" applyFill="1" applyBorder="1" applyAlignment="1" applyProtection="1">
      <alignment horizontal="left" vertical="center"/>
      <protection hidden="1"/>
    </xf>
    <xf numFmtId="0" fontId="12" fillId="26" borderId="0" xfId="42" applyFont="1" applyFill="1" applyBorder="1" applyAlignment="1" applyProtection="1">
      <alignment vertical="top"/>
      <protection hidden="1"/>
    </xf>
    <xf numFmtId="0" fontId="31" fillId="26" borderId="0" xfId="42" applyFont="1" applyFill="1" applyBorder="1" applyAlignment="1" applyProtection="1">
      <alignment vertical="top"/>
      <protection hidden="1"/>
    </xf>
    <xf numFmtId="0" fontId="29" fillId="26" borderId="0" xfId="42" applyFont="1" applyFill="1" applyBorder="1" applyAlignment="1" applyProtection="1">
      <alignment horizontal="center" vertical="center" wrapText="1"/>
      <protection hidden="1"/>
    </xf>
    <xf numFmtId="0" fontId="31" fillId="26" borderId="0" xfId="42" applyFont="1" applyFill="1" applyBorder="1" applyAlignment="1" applyProtection="1">
      <alignment vertical="center"/>
      <protection hidden="1"/>
    </xf>
    <xf numFmtId="0" fontId="116" fillId="26" borderId="0" xfId="42" applyFont="1" applyFill="1" applyBorder="1" applyAlignment="1" applyProtection="1">
      <alignment horizontal="center" vertical="center"/>
      <protection hidden="1"/>
    </xf>
    <xf numFmtId="3" fontId="31" fillId="26" borderId="0" xfId="42" applyNumberFormat="1" applyFont="1" applyFill="1" applyBorder="1" applyAlignment="1" applyProtection="1">
      <alignment horizontal="center" vertical="center"/>
      <protection hidden="1"/>
    </xf>
    <xf numFmtId="0" fontId="31" fillId="26" borderId="0" xfId="42" applyFont="1" applyFill="1" applyBorder="1" applyAlignment="1" applyProtection="1">
      <alignment horizontal="left" vertical="center" wrapText="1"/>
      <protection hidden="1"/>
    </xf>
    <xf numFmtId="0" fontId="12" fillId="26" borderId="0" xfId="42" applyFont="1" applyFill="1" applyBorder="1" applyAlignment="1" applyProtection="1">
      <alignment vertical="center"/>
      <protection hidden="1"/>
    </xf>
    <xf numFmtId="0" fontId="12" fillId="26" borderId="0" xfId="42" applyFont="1" applyFill="1" applyBorder="1" applyAlignment="1" applyProtection="1">
      <alignment vertical="center" wrapText="1"/>
      <protection hidden="1"/>
    </xf>
    <xf numFmtId="0" fontId="31" fillId="26" borderId="0" xfId="42" applyFont="1" applyFill="1" applyAlignment="1" applyProtection="1">
      <alignment vertical="center"/>
      <protection hidden="1"/>
    </xf>
    <xf numFmtId="0" fontId="41" fillId="26" borderId="0" xfId="42" applyFont="1" applyFill="1" applyBorder="1" applyAlignment="1" applyProtection="1">
      <alignment horizontal="left" vertical="top"/>
      <protection hidden="1"/>
    </xf>
    <xf numFmtId="1" fontId="31" fillId="26" borderId="0" xfId="42" applyNumberFormat="1" applyFont="1" applyFill="1" applyBorder="1" applyAlignment="1" applyProtection="1">
      <alignment horizontal="center" vertical="top"/>
      <protection hidden="1"/>
    </xf>
    <xf numFmtId="0" fontId="31" fillId="26" borderId="0" xfId="42" applyFont="1" applyFill="1" applyBorder="1" applyAlignment="1" applyProtection="1">
      <alignment horizontal="left" vertical="top" wrapText="1"/>
      <protection hidden="1"/>
    </xf>
    <xf numFmtId="0" fontId="12" fillId="26" borderId="0" xfId="42" applyFont="1" applyFill="1" applyAlignment="1" applyProtection="1">
      <alignment vertical="top"/>
      <protection hidden="1"/>
    </xf>
    <xf numFmtId="0" fontId="118" fillId="26" borderId="0" xfId="42" applyFont="1" applyFill="1" applyBorder="1" applyAlignment="1" applyProtection="1">
      <alignment vertical="top"/>
      <protection hidden="1"/>
    </xf>
    <xf numFmtId="0" fontId="16" fillId="26" borderId="0" xfId="42" applyFont="1" applyFill="1" applyBorder="1" applyAlignment="1" applyProtection="1">
      <alignment vertical="top"/>
      <protection hidden="1"/>
    </xf>
    <xf numFmtId="0" fontId="12" fillId="26" borderId="0" xfId="42" applyFont="1" applyFill="1" applyBorder="1" applyAlignment="1" applyProtection="1">
      <alignment horizontal="center" vertical="top"/>
      <protection hidden="1"/>
    </xf>
    <xf numFmtId="0" fontId="31" fillId="26" borderId="0" xfId="42" applyFont="1" applyFill="1" applyBorder="1" applyAlignment="1" applyProtection="1">
      <alignment horizontal="center" vertical="top"/>
      <protection hidden="1"/>
    </xf>
    <xf numFmtId="9" fontId="12" fillId="26" borderId="0" xfId="48" applyFont="1" applyFill="1" applyBorder="1" applyAlignment="1" applyProtection="1">
      <alignment vertical="top"/>
      <protection hidden="1"/>
    </xf>
    <xf numFmtId="0" fontId="16" fillId="26" borderId="54" xfId="42" applyFont="1" applyFill="1" applyBorder="1" applyAlignment="1" applyProtection="1">
      <alignment horizontal="center" vertical="top" wrapText="1"/>
      <protection hidden="1"/>
    </xf>
    <xf numFmtId="0" fontId="16" fillId="26" borderId="13" xfId="42" applyFont="1" applyFill="1" applyBorder="1" applyAlignment="1" applyProtection="1">
      <alignment horizontal="center" vertical="top" wrapText="1"/>
      <protection hidden="1"/>
    </xf>
    <xf numFmtId="0" fontId="16" fillId="26" borderId="44" xfId="42" applyFont="1" applyFill="1" applyBorder="1" applyAlignment="1" applyProtection="1">
      <alignment horizontal="center" vertical="top" wrapText="1"/>
      <protection hidden="1"/>
    </xf>
    <xf numFmtId="0" fontId="16" fillId="26" borderId="14" xfId="42" applyFont="1" applyFill="1" applyBorder="1" applyAlignment="1" applyProtection="1">
      <alignment horizontal="center" vertical="top" wrapText="1"/>
      <protection hidden="1"/>
    </xf>
    <xf numFmtId="0" fontId="12" fillId="26" borderId="18" xfId="42" applyFont="1" applyFill="1" applyBorder="1" applyAlignment="1" applyProtection="1">
      <alignment horizontal="center" vertical="top" wrapText="1"/>
      <protection hidden="1"/>
    </xf>
    <xf numFmtId="0" fontId="12" fillId="26" borderId="10" xfId="42" applyFont="1" applyFill="1" applyBorder="1" applyAlignment="1" applyProtection="1">
      <alignment horizontal="center" vertical="top" wrapText="1"/>
      <protection hidden="1"/>
    </xf>
    <xf numFmtId="0" fontId="12" fillId="26" borderId="19" xfId="42" applyFont="1" applyFill="1" applyBorder="1" applyAlignment="1" applyProtection="1">
      <alignment horizontal="center" vertical="top" wrapText="1"/>
      <protection hidden="1"/>
    </xf>
    <xf numFmtId="0" fontId="16" fillId="26" borderId="18" xfId="42" applyFont="1" applyFill="1" applyBorder="1" applyAlignment="1" applyProtection="1">
      <alignment horizontal="center" vertical="top" wrapText="1"/>
      <protection hidden="1"/>
    </xf>
    <xf numFmtId="9" fontId="16" fillId="26" borderId="56" xfId="42" applyNumberFormat="1" applyFont="1" applyFill="1" applyBorder="1" applyAlignment="1" applyProtection="1">
      <alignment horizontal="center" vertical="top" wrapText="1"/>
      <protection hidden="1"/>
    </xf>
    <xf numFmtId="0" fontId="12" fillId="26" borderId="10" xfId="42" applyFont="1" applyFill="1" applyBorder="1" applyAlignment="1" applyProtection="1">
      <alignment horizontal="center"/>
      <protection hidden="1"/>
    </xf>
    <xf numFmtId="0" fontId="12" fillId="26" borderId="19" xfId="42" applyFont="1" applyFill="1" applyBorder="1" applyAlignment="1" applyProtection="1">
      <alignment horizontal="center"/>
      <protection hidden="1"/>
    </xf>
    <xf numFmtId="0" fontId="16" fillId="26" borderId="0" xfId="42" applyFont="1" applyFill="1" applyBorder="1" applyAlignment="1" applyProtection="1">
      <alignment vertical="top" wrapText="1"/>
      <protection hidden="1"/>
    </xf>
    <xf numFmtId="9" fontId="16" fillId="26" borderId="57" xfId="42" applyNumberFormat="1" applyFont="1" applyFill="1" applyBorder="1" applyAlignment="1" applyProtection="1">
      <alignment horizontal="center" vertical="top" wrapText="1"/>
      <protection hidden="1"/>
    </xf>
    <xf numFmtId="0" fontId="12" fillId="26" borderId="45" xfId="42" applyFont="1" applyFill="1" applyBorder="1" applyAlignment="1" applyProtection="1">
      <alignment horizontal="center" vertical="top" wrapText="1"/>
      <protection hidden="1"/>
    </xf>
    <xf numFmtId="0" fontId="12" fillId="26" borderId="46" xfId="42" applyFont="1" applyFill="1" applyBorder="1" applyAlignment="1" applyProtection="1">
      <alignment horizontal="center" vertical="top" wrapText="1"/>
      <protection hidden="1"/>
    </xf>
    <xf numFmtId="0" fontId="12" fillId="26" borderId="22" xfId="42" applyFont="1" applyFill="1" applyBorder="1" applyAlignment="1" applyProtection="1">
      <alignment horizontal="center" vertical="top" wrapText="1"/>
      <protection hidden="1"/>
    </xf>
    <xf numFmtId="0" fontId="16" fillId="26" borderId="45" xfId="42" applyFont="1" applyFill="1" applyBorder="1" applyAlignment="1" applyProtection="1">
      <alignment horizontal="center" vertical="top" wrapText="1"/>
      <protection hidden="1"/>
    </xf>
    <xf numFmtId="0" fontId="16" fillId="26" borderId="52" xfId="42" applyFont="1" applyFill="1" applyBorder="1" applyAlignment="1" applyProtection="1">
      <alignment horizontal="center" vertical="top" wrapText="1"/>
      <protection hidden="1"/>
    </xf>
    <xf numFmtId="0" fontId="12" fillId="26" borderId="0" xfId="42" applyFont="1" applyFill="1" applyAlignment="1" applyProtection="1">
      <alignment horizontal="center" vertical="top"/>
      <protection hidden="1"/>
    </xf>
    <xf numFmtId="0" fontId="12" fillId="26" borderId="10" xfId="42" applyFont="1" applyFill="1" applyBorder="1" applyAlignment="1" applyProtection="1">
      <alignment horizontal="center" vertical="center"/>
      <protection hidden="1"/>
    </xf>
    <xf numFmtId="0" fontId="12" fillId="26" borderId="10" xfId="0" applyFont="1" applyFill="1" applyBorder="1" applyAlignment="1" applyProtection="1">
      <alignment horizontal="center" vertical="top" wrapText="1"/>
      <protection hidden="1"/>
    </xf>
    <xf numFmtId="0" fontId="16" fillId="26" borderId="10" xfId="0" applyFont="1" applyFill="1" applyBorder="1" applyAlignment="1" applyProtection="1">
      <alignment horizontal="center" vertical="top"/>
      <protection hidden="1"/>
    </xf>
    <xf numFmtId="0" fontId="12" fillId="26" borderId="0" xfId="0" applyFont="1" applyFill="1" applyBorder="1" applyAlignment="1" applyProtection="1">
      <alignment horizontal="center" vertical="top" wrapText="1"/>
      <protection hidden="1"/>
    </xf>
    <xf numFmtId="0" fontId="16" fillId="26" borderId="0" xfId="0" applyFont="1" applyFill="1" applyBorder="1" applyAlignment="1" applyProtection="1">
      <alignment horizontal="center" vertical="top"/>
      <protection hidden="1"/>
    </xf>
    <xf numFmtId="0" fontId="14" fillId="26" borderId="0" xfId="41" applyFont="1" applyFill="1" applyBorder="1" applyAlignment="1" applyProtection="1">
      <alignment horizontal="right" vertical="top" wrapText="1"/>
      <protection hidden="1"/>
    </xf>
    <xf numFmtId="2" fontId="14" fillId="26" borderId="0" xfId="41" applyNumberFormat="1" applyFont="1" applyFill="1" applyBorder="1" applyAlignment="1" applyProtection="1">
      <alignment horizontal="right" vertical="top" wrapText="1"/>
      <protection hidden="1"/>
    </xf>
    <xf numFmtId="0" fontId="41" fillId="26" borderId="0" xfId="41" applyFont="1" applyFill="1" applyBorder="1" applyAlignment="1" applyProtection="1">
      <alignment vertical="center" wrapText="1"/>
      <protection hidden="1"/>
    </xf>
    <xf numFmtId="2" fontId="26" fillId="26" borderId="0" xfId="41" applyNumberFormat="1" applyFont="1" applyFill="1" applyBorder="1" applyAlignment="1" applyProtection="1">
      <alignment vertical="center" wrapText="1"/>
      <protection hidden="1"/>
    </xf>
    <xf numFmtId="2" fontId="12" fillId="26" borderId="0" xfId="41" applyNumberFormat="1" applyFont="1" applyFill="1" applyBorder="1" applyAlignment="1" applyProtection="1">
      <alignment vertical="center" wrapText="1"/>
      <protection hidden="1"/>
    </xf>
    <xf numFmtId="0" fontId="17" fillId="26" borderId="0" xfId="40" applyFont="1" applyFill="1" applyAlignment="1" applyProtection="1">
      <alignment horizontal="left" vertical="top" wrapText="1"/>
      <protection hidden="1"/>
    </xf>
    <xf numFmtId="0" fontId="19" fillId="17" borderId="44" xfId="0" applyFont="1" applyFill="1" applyBorder="1" applyAlignment="1" applyProtection="1">
      <alignment vertical="top" wrapText="1"/>
      <protection hidden="1"/>
    </xf>
    <xf numFmtId="0" fontId="19" fillId="17" borderId="10" xfId="0" applyFont="1" applyFill="1" applyBorder="1" applyAlignment="1" applyProtection="1">
      <alignment vertical="top" wrapText="1"/>
      <protection hidden="1"/>
    </xf>
    <xf numFmtId="0" fontId="19" fillId="17" borderId="71" xfId="0" applyFont="1" applyFill="1" applyBorder="1" applyAlignment="1" applyProtection="1">
      <alignment vertical="top" wrapText="1"/>
      <protection hidden="1"/>
    </xf>
    <xf numFmtId="0" fontId="19" fillId="17" borderId="83" xfId="0" applyFont="1" applyFill="1" applyBorder="1" applyAlignment="1" applyProtection="1">
      <alignment vertical="center"/>
      <protection hidden="1"/>
    </xf>
    <xf numFmtId="0" fontId="19" fillId="17" borderId="83" xfId="0" applyFont="1" applyFill="1" applyBorder="1" applyAlignment="1" applyProtection="1">
      <alignment horizontal="center" vertical="center"/>
      <protection hidden="1"/>
    </xf>
    <xf numFmtId="1" fontId="55" fillId="17" borderId="10" xfId="48" applyNumberFormat="1" applyFont="1" applyFill="1" applyBorder="1" applyAlignment="1">
      <alignment horizontal="center" vertical="center" wrapText="1"/>
    </xf>
    <xf numFmtId="0" fontId="55" fillId="17" borderId="10" xfId="42" applyFont="1" applyFill="1" applyBorder="1" applyAlignment="1">
      <alignment horizontal="center" vertical="top" wrapText="1"/>
    </xf>
    <xf numFmtId="0" fontId="55" fillId="17" borderId="10" xfId="42" applyFont="1" applyFill="1" applyBorder="1" applyAlignment="1">
      <alignment horizontal="center"/>
    </xf>
    <xf numFmtId="0" fontId="47" fillId="26" borderId="0" xfId="0" applyFont="1" applyFill="1"/>
    <xf numFmtId="0" fontId="98" fillId="26" borderId="0" xfId="0" applyFont="1" applyFill="1" applyAlignment="1" applyProtection="1">
      <alignment horizontal="left" vertical="center"/>
      <protection hidden="1"/>
    </xf>
    <xf numFmtId="0" fontId="109" fillId="26" borderId="0" xfId="0" applyFont="1" applyFill="1" applyAlignment="1" applyProtection="1">
      <alignment horizontal="left" vertical="center"/>
      <protection hidden="1"/>
    </xf>
    <xf numFmtId="0" fontId="44" fillId="26" borderId="0" xfId="40" applyFont="1" applyFill="1" applyAlignment="1" applyProtection="1">
      <alignment horizontal="right" vertical="center"/>
      <protection hidden="1"/>
    </xf>
    <xf numFmtId="0" fontId="31" fillId="26" borderId="0" xfId="45" applyFont="1" applyFill="1" applyBorder="1" applyAlignment="1" applyProtection="1">
      <alignment vertical="top"/>
    </xf>
    <xf numFmtId="0" fontId="31" fillId="26" borderId="0" xfId="45" applyFont="1" applyFill="1" applyBorder="1" applyAlignment="1" applyProtection="1">
      <alignment vertical="center"/>
    </xf>
    <xf numFmtId="0" fontId="139" fillId="26" borderId="0" xfId="41" applyFont="1" applyFill="1" applyAlignment="1" applyProtection="1">
      <alignment vertical="top" wrapText="1"/>
      <protection hidden="1"/>
    </xf>
    <xf numFmtId="0" fontId="140" fillId="26" borderId="0" xfId="41" applyFont="1" applyFill="1" applyAlignment="1" applyProtection="1">
      <alignment vertical="top" wrapText="1"/>
      <protection hidden="1"/>
    </xf>
    <xf numFmtId="0" fontId="84" fillId="0" borderId="0" xfId="44" applyFont="1"/>
    <xf numFmtId="0" fontId="69" fillId="0" borderId="0" xfId="44"/>
    <xf numFmtId="0" fontId="73" fillId="28" borderId="0" xfId="44" applyFont="1" applyFill="1"/>
    <xf numFmtId="0" fontId="73" fillId="28" borderId="0" xfId="44" applyFont="1" applyFill="1" applyAlignment="1">
      <alignment horizontal="right"/>
    </xf>
    <xf numFmtId="0" fontId="73" fillId="28" borderId="0" xfId="44" applyFont="1" applyFill="1" applyAlignment="1">
      <alignment wrapText="1"/>
    </xf>
    <xf numFmtId="0" fontId="70" fillId="0" borderId="0" xfId="44" applyFont="1"/>
    <xf numFmtId="0" fontId="143" fillId="23" borderId="0" xfId="44" applyFont="1" applyFill="1"/>
    <xf numFmtId="0" fontId="69" fillId="24" borderId="0" xfId="44" applyFill="1"/>
    <xf numFmtId="0" fontId="69" fillId="29" borderId="0" xfId="44" applyFill="1"/>
    <xf numFmtId="0" fontId="69" fillId="28" borderId="0" xfId="44" applyFill="1"/>
    <xf numFmtId="0" fontId="73" fillId="28" borderId="0" xfId="44" applyFont="1" applyFill="1" applyAlignment="1">
      <alignment horizontal="right" wrapText="1"/>
    </xf>
    <xf numFmtId="0" fontId="69" fillId="0" borderId="0" xfId="44" applyAlignment="1">
      <alignment horizontal="right"/>
    </xf>
    <xf numFmtId="0" fontId="19" fillId="17" borderId="43" xfId="40" applyFont="1" applyFill="1" applyBorder="1" applyAlignment="1" applyProtection="1">
      <alignment vertical="top" wrapText="1"/>
      <protection hidden="1"/>
    </xf>
    <xf numFmtId="0" fontId="48" fillId="26" borderId="0" xfId="45" applyFont="1" applyFill="1" applyBorder="1" applyAlignment="1" applyProtection="1">
      <alignment horizontal="left" vertical="top"/>
      <protection hidden="1"/>
    </xf>
    <xf numFmtId="0" fontId="49" fillId="26" borderId="0" xfId="40" applyFont="1" applyFill="1" applyBorder="1" applyAlignment="1" applyProtection="1">
      <alignment horizontal="right" vertical="center" wrapText="1"/>
      <protection hidden="1"/>
    </xf>
    <xf numFmtId="0" fontId="49" fillId="26" borderId="0" xfId="40" applyFont="1" applyFill="1" applyBorder="1" applyAlignment="1" applyProtection="1">
      <alignment horizontal="center" wrapText="1"/>
      <protection hidden="1"/>
    </xf>
    <xf numFmtId="0" fontId="49" fillId="26" borderId="0" xfId="40" applyFont="1" applyFill="1" applyBorder="1" applyAlignment="1" applyProtection="1">
      <alignment horizontal="right" vertical="center"/>
      <protection hidden="1"/>
    </xf>
    <xf numFmtId="9" fontId="41" fillId="26" borderId="0" xfId="40" applyNumberFormat="1" applyFont="1" applyFill="1" applyBorder="1" applyAlignment="1" applyProtection="1">
      <alignment horizontal="center" vertical="center" wrapText="1"/>
      <protection hidden="1"/>
    </xf>
    <xf numFmtId="0" fontId="16" fillId="0" borderId="47" xfId="0" applyFont="1" applyFill="1" applyBorder="1" applyAlignment="1" applyProtection="1">
      <alignment horizontal="left" vertical="top" wrapText="1"/>
      <protection hidden="1"/>
    </xf>
    <xf numFmtId="0" fontId="146" fillId="26" borderId="0" xfId="40" applyFont="1" applyFill="1" applyBorder="1" applyAlignment="1" applyProtection="1">
      <alignment horizontal="left" vertical="center" wrapText="1"/>
      <protection hidden="1"/>
    </xf>
    <xf numFmtId="0" fontId="147" fillId="26" borderId="0" xfId="40" applyFont="1" applyFill="1" applyBorder="1" applyAlignment="1" applyProtection="1">
      <alignment horizontal="left" vertical="center"/>
      <protection hidden="1"/>
    </xf>
    <xf numFmtId="0" fontId="18" fillId="17" borderId="94" xfId="0" applyFont="1" applyFill="1" applyBorder="1" applyAlignment="1" applyProtection="1">
      <alignment horizontal="center" vertical="center" wrapText="1"/>
      <protection hidden="1"/>
    </xf>
    <xf numFmtId="0" fontId="31" fillId="26" borderId="0" xfId="40" applyFont="1" applyFill="1" applyBorder="1" applyAlignment="1" applyProtection="1">
      <alignment horizontal="left" vertical="top"/>
      <protection hidden="1"/>
    </xf>
    <xf numFmtId="0" fontId="147" fillId="26" borderId="0" xfId="40" applyFont="1" applyFill="1" applyBorder="1" applyAlignment="1" applyProtection="1">
      <alignment horizontal="left" vertical="top"/>
      <protection hidden="1"/>
    </xf>
    <xf numFmtId="0" fontId="93" fillId="26" borderId="0" xfId="40" applyFont="1" applyFill="1" applyBorder="1" applyAlignment="1" applyProtection="1">
      <alignment horizontal="left" vertical="top" wrapText="1"/>
      <protection hidden="1"/>
    </xf>
    <xf numFmtId="0" fontId="16" fillId="17" borderId="95" xfId="0" applyFont="1" applyFill="1" applyBorder="1" applyAlignment="1" applyProtection="1">
      <alignment horizontal="left" vertical="top" wrapText="1"/>
      <protection hidden="1"/>
    </xf>
    <xf numFmtId="0" fontId="12" fillId="0" borderId="43" xfId="0" applyFont="1" applyFill="1" applyBorder="1" applyAlignment="1" applyProtection="1">
      <alignment horizontal="center" vertical="center" wrapText="1"/>
      <protection hidden="1"/>
    </xf>
    <xf numFmtId="0" fontId="48" fillId="26" borderId="0" xfId="40" applyFont="1" applyFill="1" applyBorder="1" applyAlignment="1" applyProtection="1">
      <alignment horizontal="left" vertical="top"/>
      <protection hidden="1"/>
    </xf>
    <xf numFmtId="0" fontId="18" fillId="17" borderId="64" xfId="0" applyFont="1" applyFill="1" applyBorder="1" applyAlignment="1" applyProtection="1">
      <alignment horizontal="center" vertical="center" wrapText="1"/>
      <protection hidden="1"/>
    </xf>
    <xf numFmtId="0" fontId="18" fillId="17" borderId="10" xfId="0" applyFont="1" applyFill="1" applyBorder="1" applyAlignment="1" applyProtection="1">
      <alignment horizontal="center" vertical="center" wrapText="1"/>
      <protection hidden="1"/>
    </xf>
    <xf numFmtId="0" fontId="49" fillId="26" borderId="0" xfId="40" applyFont="1" applyFill="1" applyBorder="1" applyAlignment="1" applyProtection="1">
      <alignment horizontal="left" vertical="center"/>
      <protection hidden="1"/>
    </xf>
    <xf numFmtId="0" fontId="59" fillId="26" borderId="0" xfId="40" applyFont="1" applyFill="1" applyBorder="1" applyAlignment="1" applyProtection="1">
      <alignment horizontal="left" vertical="center"/>
      <protection hidden="1"/>
    </xf>
    <xf numFmtId="0" fontId="31" fillId="26" borderId="0" xfId="40" applyFont="1" applyFill="1" applyBorder="1" applyAlignment="1" applyProtection="1">
      <alignment horizontal="left" vertical="center" wrapText="1"/>
      <protection hidden="1"/>
    </xf>
    <xf numFmtId="0" fontId="148" fillId="26" borderId="0" xfId="40" applyFont="1" applyFill="1" applyBorder="1" applyAlignment="1" applyProtection="1">
      <alignment horizontal="left" vertical="center" wrapText="1"/>
      <protection hidden="1"/>
    </xf>
    <xf numFmtId="0" fontId="31" fillId="26" borderId="0" xfId="40" applyFont="1" applyFill="1" applyBorder="1" applyAlignment="1" applyProtection="1">
      <alignment horizontal="left" vertical="center"/>
      <protection hidden="1"/>
    </xf>
    <xf numFmtId="0" fontId="59" fillId="26" borderId="0" xfId="40" applyFont="1" applyFill="1" applyBorder="1" applyAlignment="1" applyProtection="1">
      <alignment horizontal="left" vertical="center" wrapText="1"/>
      <protection hidden="1"/>
    </xf>
    <xf numFmtId="0" fontId="93" fillId="26" borderId="0" xfId="40" applyFont="1" applyFill="1" applyAlignment="1" applyProtection="1">
      <alignment horizontal="left" vertical="top" wrapText="1"/>
      <protection hidden="1"/>
    </xf>
    <xf numFmtId="0" fontId="27" fillId="0" borderId="0" xfId="42" applyFont="1" applyFill="1"/>
    <xf numFmtId="0" fontId="150" fillId="26" borderId="0" xfId="40" applyFont="1" applyFill="1" applyAlignment="1" applyProtection="1">
      <alignment horizontal="left" vertical="center" wrapText="1"/>
      <protection hidden="1"/>
    </xf>
    <xf numFmtId="0" fontId="148" fillId="26" borderId="0" xfId="40" applyNumberFormat="1" applyFont="1" applyFill="1" applyBorder="1" applyAlignment="1" applyProtection="1">
      <alignment horizontal="left" vertical="center" wrapText="1"/>
      <protection hidden="1"/>
    </xf>
    <xf numFmtId="0" fontId="42" fillId="26" borderId="0" xfId="40" applyFont="1" applyFill="1" applyAlignment="1" applyProtection="1">
      <alignment horizontal="left" vertical="top"/>
      <protection hidden="1"/>
    </xf>
    <xf numFmtId="0" fontId="16" fillId="24" borderId="43" xfId="0" applyFont="1" applyFill="1" applyBorder="1" applyAlignment="1" applyProtection="1">
      <alignment horizontal="left" vertical="top" wrapText="1"/>
      <protection hidden="1"/>
    </xf>
    <xf numFmtId="0" fontId="42" fillId="26" borderId="0" xfId="40" applyFont="1" applyFill="1" applyAlignment="1" applyProtection="1">
      <alignment horizontal="center" vertical="top" wrapText="1"/>
      <protection hidden="1"/>
    </xf>
    <xf numFmtId="0" fontId="12" fillId="17" borderId="10" xfId="0" applyFont="1" applyFill="1" applyBorder="1" applyAlignment="1" applyProtection="1">
      <alignment horizontal="left" vertical="top" wrapText="1"/>
      <protection hidden="1"/>
    </xf>
    <xf numFmtId="0" fontId="138" fillId="26" borderId="0" xfId="40" applyFont="1" applyFill="1" applyAlignment="1" applyProtection="1">
      <alignment horizontal="left" vertical="top" wrapText="1"/>
      <protection hidden="1"/>
    </xf>
    <xf numFmtId="0" fontId="31" fillId="26" borderId="0" xfId="42" applyFont="1" applyFill="1" applyProtection="1">
      <protection hidden="1"/>
    </xf>
    <xf numFmtId="0" fontId="31" fillId="26" borderId="0" xfId="40" applyFont="1" applyFill="1" applyAlignment="1" applyProtection="1">
      <alignment horizontal="left" vertical="top"/>
      <protection hidden="1"/>
    </xf>
    <xf numFmtId="0" fontId="29" fillId="24" borderId="53" xfId="41" applyFont="1" applyFill="1" applyBorder="1" applyAlignment="1" applyProtection="1">
      <alignment horizontal="center" vertical="center"/>
      <protection hidden="1"/>
    </xf>
    <xf numFmtId="0" fontId="12" fillId="26" borderId="0" xfId="39" applyFill="1" applyProtection="1">
      <protection hidden="1"/>
    </xf>
    <xf numFmtId="0" fontId="12" fillId="26" borderId="0" xfId="0" applyFont="1" applyFill="1" applyAlignment="1" applyProtection="1">
      <alignment wrapText="1"/>
      <protection hidden="1"/>
    </xf>
    <xf numFmtId="0" fontId="0" fillId="26" borderId="0" xfId="0" applyFill="1" applyProtection="1">
      <protection hidden="1"/>
    </xf>
    <xf numFmtId="0" fontId="12" fillId="26" borderId="0" xfId="0" applyFont="1" applyFill="1" applyProtection="1">
      <protection hidden="1"/>
    </xf>
    <xf numFmtId="0" fontId="12" fillId="26" borderId="0" xfId="39" applyFill="1" applyBorder="1" applyProtection="1">
      <protection hidden="1"/>
    </xf>
    <xf numFmtId="0" fontId="47" fillId="26" borderId="0" xfId="0" applyFont="1" applyFill="1" applyAlignment="1" applyProtection="1">
      <alignment wrapText="1"/>
      <protection hidden="1"/>
    </xf>
    <xf numFmtId="0" fontId="12" fillId="26" borderId="0" xfId="39" applyFill="1" applyAlignment="1" applyProtection="1">
      <alignment vertical="center"/>
      <protection hidden="1"/>
    </xf>
    <xf numFmtId="0" fontId="0" fillId="26" borderId="0" xfId="0" applyFill="1" applyAlignment="1" applyProtection="1">
      <alignment vertical="center"/>
      <protection hidden="1"/>
    </xf>
    <xf numFmtId="0" fontId="47" fillId="26" borderId="0" xfId="0" applyFont="1" applyFill="1" applyAlignment="1" applyProtection="1">
      <alignment vertical="center"/>
      <protection hidden="1"/>
    </xf>
    <xf numFmtId="0" fontId="0" fillId="26" borderId="0" xfId="0" applyFill="1" applyAlignment="1" applyProtection="1">
      <protection hidden="1"/>
    </xf>
    <xf numFmtId="0" fontId="88" fillId="26" borderId="0" xfId="0" applyFont="1" applyFill="1" applyBorder="1" applyAlignment="1" applyProtection="1">
      <alignment vertical="top"/>
      <protection hidden="1"/>
    </xf>
    <xf numFmtId="0" fontId="0" fillId="26" borderId="0" xfId="0" applyFill="1" applyBorder="1" applyProtection="1">
      <protection hidden="1"/>
    </xf>
    <xf numFmtId="0" fontId="31" fillId="30" borderId="0" xfId="0" applyFont="1" applyFill="1" applyProtection="1">
      <protection hidden="1"/>
    </xf>
    <xf numFmtId="0" fontId="12" fillId="26" borderId="0" xfId="0" applyFont="1" applyFill="1" applyBorder="1" applyProtection="1">
      <protection hidden="1"/>
    </xf>
    <xf numFmtId="0" fontId="12" fillId="26" borderId="0" xfId="39" applyFill="1" applyAlignment="1" applyProtection="1">
      <alignment horizontal="center"/>
      <protection hidden="1"/>
    </xf>
    <xf numFmtId="0" fontId="102" fillId="26" borderId="0" xfId="39" applyFont="1" applyFill="1" applyProtection="1">
      <protection hidden="1"/>
    </xf>
    <xf numFmtId="0" fontId="12" fillId="26" borderId="0" xfId="39" applyFont="1" applyFill="1" applyProtection="1">
      <protection hidden="1"/>
    </xf>
    <xf numFmtId="0" fontId="41" fillId="26" borderId="0" xfId="39" applyFont="1" applyFill="1" applyBorder="1" applyProtection="1">
      <protection hidden="1"/>
    </xf>
    <xf numFmtId="0" fontId="152" fillId="26" borderId="0" xfId="0" applyFont="1" applyFill="1" applyAlignment="1" applyProtection="1">
      <protection hidden="1"/>
    </xf>
    <xf numFmtId="0" fontId="151" fillId="26" borderId="0" xfId="39" applyFont="1" applyFill="1" applyBorder="1" applyAlignment="1" applyProtection="1">
      <alignment vertical="center"/>
      <protection hidden="1"/>
    </xf>
    <xf numFmtId="3" fontId="55" fillId="24" borderId="15" xfId="39" applyNumberFormat="1" applyFont="1" applyFill="1" applyBorder="1" applyProtection="1">
      <protection hidden="1"/>
    </xf>
    <xf numFmtId="0" fontId="55" fillId="24" borderId="17" xfId="39" applyFont="1" applyFill="1" applyBorder="1" applyProtection="1">
      <protection hidden="1"/>
    </xf>
    <xf numFmtId="0" fontId="151" fillId="26" borderId="0" xfId="39" applyFont="1" applyFill="1" applyBorder="1" applyProtection="1">
      <protection hidden="1"/>
    </xf>
    <xf numFmtId="3" fontId="55" fillId="24" borderId="101" xfId="39" applyNumberFormat="1" applyFont="1" applyFill="1" applyBorder="1" applyProtection="1">
      <protection hidden="1"/>
    </xf>
    <xf numFmtId="0" fontId="55" fillId="24" borderId="102" xfId="39" applyFont="1" applyFill="1" applyBorder="1" applyProtection="1">
      <protection hidden="1"/>
    </xf>
    <xf numFmtId="3" fontId="55" fillId="24" borderId="57" xfId="39" applyNumberFormat="1" applyFont="1" applyFill="1" applyBorder="1" applyProtection="1">
      <protection hidden="1"/>
    </xf>
    <xf numFmtId="0" fontId="55" fillId="24" borderId="76" xfId="39" applyFont="1" applyFill="1" applyBorder="1" applyProtection="1">
      <protection hidden="1"/>
    </xf>
    <xf numFmtId="3" fontId="12" fillId="26" borderId="0" xfId="0" applyNumberFormat="1" applyFont="1" applyFill="1" applyBorder="1" applyAlignment="1" applyProtection="1">
      <alignment horizontal="right" indent="1"/>
      <protection hidden="1"/>
    </xf>
    <xf numFmtId="0" fontId="64" fillId="26" borderId="0" xfId="0" applyFont="1" applyFill="1" applyBorder="1" applyAlignment="1" applyProtection="1">
      <alignment vertical="center"/>
      <protection hidden="1"/>
    </xf>
    <xf numFmtId="3" fontId="31" fillId="26" borderId="0" xfId="0" applyNumberFormat="1" applyFont="1" applyFill="1" applyBorder="1" applyAlignment="1" applyProtection="1">
      <alignment horizontal="right" vertical="center"/>
      <protection hidden="1"/>
    </xf>
    <xf numFmtId="0" fontId="41" fillId="26" borderId="0" xfId="39" applyFont="1" applyFill="1" applyBorder="1" applyAlignment="1" applyProtection="1">
      <alignment vertical="center"/>
      <protection hidden="1"/>
    </xf>
    <xf numFmtId="0" fontId="31" fillId="30" borderId="0" xfId="0" applyFont="1" applyFill="1" applyBorder="1" applyAlignment="1" applyProtection="1">
      <alignment vertical="center"/>
      <protection hidden="1"/>
    </xf>
    <xf numFmtId="0" fontId="0" fillId="26" borderId="0" xfId="0" applyFill="1" applyBorder="1" applyAlignment="1" applyProtection="1">
      <alignment vertical="center"/>
      <protection hidden="1"/>
    </xf>
    <xf numFmtId="0" fontId="10" fillId="26" borderId="0" xfId="0" applyFont="1" applyFill="1" applyBorder="1" applyAlignment="1" applyProtection="1">
      <alignment horizontal="left" wrapText="1"/>
      <protection hidden="1"/>
    </xf>
    <xf numFmtId="3" fontId="31" fillId="26" borderId="0" xfId="0" applyNumberFormat="1" applyFont="1" applyFill="1" applyBorder="1" applyAlignment="1" applyProtection="1">
      <alignment horizontal="right" vertical="center" indent="1"/>
      <protection hidden="1"/>
    </xf>
    <xf numFmtId="166" fontId="31" fillId="30" borderId="0" xfId="0" applyNumberFormat="1" applyFont="1" applyFill="1" applyBorder="1" applyProtection="1">
      <protection hidden="1"/>
    </xf>
    <xf numFmtId="0" fontId="31" fillId="30" borderId="0" xfId="0" applyFont="1" applyFill="1" applyBorder="1" applyProtection="1">
      <protection hidden="1"/>
    </xf>
    <xf numFmtId="0" fontId="31" fillId="26" borderId="0" xfId="39" applyFont="1" applyFill="1" applyBorder="1" applyProtection="1">
      <protection hidden="1"/>
    </xf>
    <xf numFmtId="3" fontId="31" fillId="26" borderId="0" xfId="0" applyNumberFormat="1" applyFont="1" applyFill="1" applyBorder="1" applyAlignment="1" applyProtection="1">
      <alignment horizontal="right" indent="1"/>
      <protection hidden="1"/>
    </xf>
    <xf numFmtId="0" fontId="102" fillId="26" borderId="0" xfId="39" applyFont="1" applyFill="1" applyAlignment="1" applyProtection="1">
      <alignment horizontal="left"/>
      <protection hidden="1"/>
    </xf>
    <xf numFmtId="168" fontId="19" fillId="26" borderId="0" xfId="28" applyNumberFormat="1" applyFont="1" applyFill="1" applyBorder="1" applyAlignment="1" applyProtection="1">
      <alignment horizontal="left" vertical="center"/>
      <protection hidden="1"/>
    </xf>
    <xf numFmtId="168" fontId="19" fillId="26" borderId="0" xfId="28" applyNumberFormat="1" applyFont="1" applyFill="1" applyBorder="1" applyAlignment="1" applyProtection="1">
      <alignment horizontal="right" vertical="center" wrapText="1"/>
      <protection hidden="1"/>
    </xf>
    <xf numFmtId="0" fontId="12" fillId="26" borderId="0" xfId="39" applyFont="1" applyFill="1" applyBorder="1" applyProtection="1">
      <protection hidden="1"/>
    </xf>
    <xf numFmtId="168" fontId="102" fillId="26" borderId="0" xfId="28" applyNumberFormat="1" applyFont="1" applyFill="1" applyBorder="1" applyAlignment="1" applyProtection="1">
      <alignment horizontal="left" vertical="center"/>
      <protection hidden="1"/>
    </xf>
    <xf numFmtId="168" fontId="31" fillId="26" borderId="0" xfId="28" applyNumberFormat="1" applyFont="1" applyFill="1" applyBorder="1" applyAlignment="1" applyProtection="1">
      <alignment vertical="center"/>
      <protection hidden="1"/>
    </xf>
    <xf numFmtId="1" fontId="31" fillId="26" borderId="0" xfId="0" applyNumberFormat="1" applyFont="1" applyFill="1" applyBorder="1" applyAlignment="1" applyProtection="1">
      <alignment horizontal="center" vertical="center"/>
      <protection hidden="1"/>
    </xf>
    <xf numFmtId="0" fontId="31" fillId="26" borderId="0" xfId="0" applyFont="1" applyFill="1" applyBorder="1" applyAlignment="1" applyProtection="1">
      <protection hidden="1"/>
    </xf>
    <xf numFmtId="0" fontId="31" fillId="26" borderId="0" xfId="0" applyFont="1" applyFill="1" applyBorder="1" applyAlignment="1" applyProtection="1">
      <alignment horizontal="right" indent="1"/>
      <protection hidden="1"/>
    </xf>
    <xf numFmtId="0" fontId="16" fillId="26" borderId="0" xfId="0" applyFont="1" applyFill="1" applyAlignment="1" applyProtection="1">
      <alignment vertical="center"/>
      <protection hidden="1"/>
    </xf>
    <xf numFmtId="0" fontId="16" fillId="26" borderId="0" xfId="0" applyFont="1" applyFill="1" applyProtection="1">
      <protection hidden="1"/>
    </xf>
    <xf numFmtId="0" fontId="12" fillId="26" borderId="0" xfId="39" applyFill="1" applyAlignment="1" applyProtection="1">
      <alignment horizontal="right"/>
      <protection hidden="1"/>
    </xf>
    <xf numFmtId="0" fontId="31" fillId="31" borderId="0" xfId="0" applyFont="1" applyFill="1" applyProtection="1">
      <protection hidden="1"/>
    </xf>
    <xf numFmtId="3" fontId="0" fillId="26" borderId="0" xfId="0" applyNumberFormat="1" applyFill="1" applyProtection="1">
      <protection hidden="1"/>
    </xf>
    <xf numFmtId="169" fontId="11" fillId="26" borderId="0" xfId="28" applyNumberFormat="1" applyFill="1" applyProtection="1">
      <protection hidden="1"/>
    </xf>
    <xf numFmtId="0" fontId="41" fillId="26" borderId="0" xfId="39" applyFont="1" applyFill="1" applyAlignment="1" applyProtection="1">
      <protection hidden="1"/>
    </xf>
    <xf numFmtId="0" fontId="52" fillId="26" borderId="0" xfId="0" applyFont="1" applyFill="1" applyBorder="1" applyAlignment="1" applyProtection="1">
      <alignment horizontal="left" vertical="top"/>
      <protection hidden="1"/>
    </xf>
    <xf numFmtId="0" fontId="64" fillId="26" borderId="0" xfId="0" applyFont="1" applyFill="1" applyBorder="1" applyAlignment="1" applyProtection="1">
      <alignment vertical="top"/>
      <protection hidden="1"/>
    </xf>
    <xf numFmtId="168" fontId="19" fillId="17" borderId="18" xfId="28" applyNumberFormat="1" applyFont="1" applyFill="1" applyBorder="1" applyAlignment="1" applyProtection="1">
      <alignment horizontal="right" vertical="center" wrapText="1"/>
      <protection locked="0" hidden="1"/>
    </xf>
    <xf numFmtId="168" fontId="19" fillId="17" borderId="19" xfId="28" applyNumberFormat="1" applyFont="1" applyFill="1" applyBorder="1" applyAlignment="1" applyProtection="1">
      <alignment horizontal="right" vertical="center" wrapText="1"/>
      <protection locked="0" hidden="1"/>
    </xf>
    <xf numFmtId="168" fontId="19" fillId="17" borderId="18" xfId="28" applyNumberFormat="1" applyFont="1" applyFill="1" applyBorder="1" applyAlignment="1" applyProtection="1">
      <alignment horizontal="right" vertical="center"/>
      <protection locked="0" hidden="1"/>
    </xf>
    <xf numFmtId="168" fontId="19" fillId="17" borderId="45" xfId="28" applyNumberFormat="1" applyFont="1" applyFill="1" applyBorder="1" applyAlignment="1" applyProtection="1">
      <alignment horizontal="right" vertical="center"/>
      <protection locked="0" hidden="1"/>
    </xf>
    <xf numFmtId="168" fontId="19" fillId="17" borderId="22" xfId="28" applyNumberFormat="1" applyFont="1" applyFill="1" applyBorder="1" applyAlignment="1" applyProtection="1">
      <alignment horizontal="right" vertical="center"/>
      <protection locked="0" hidden="1"/>
    </xf>
    <xf numFmtId="168" fontId="19" fillId="17" borderId="46" xfId="28" applyNumberFormat="1" applyFont="1" applyFill="1" applyBorder="1" applyAlignment="1" applyProtection="1">
      <alignment horizontal="right"/>
      <protection locked="0" hidden="1"/>
    </xf>
    <xf numFmtId="168" fontId="19" fillId="17" borderId="10" xfId="28" applyNumberFormat="1" applyFont="1" applyFill="1" applyBorder="1" applyAlignment="1" applyProtection="1">
      <alignment horizontal="right"/>
      <protection locked="0" hidden="1"/>
    </xf>
    <xf numFmtId="0" fontId="19" fillId="17" borderId="10" xfId="0" applyFont="1" applyFill="1" applyBorder="1" applyAlignment="1" applyProtection="1">
      <alignment horizontal="center" vertical="center" wrapText="1"/>
      <protection locked="0" hidden="1"/>
    </xf>
    <xf numFmtId="0" fontId="65" fillId="26" borderId="0" xfId="0" applyFont="1" applyFill="1" applyBorder="1" applyAlignment="1" applyProtection="1">
      <alignment vertical="top"/>
      <protection hidden="1"/>
    </xf>
    <xf numFmtId="0" fontId="52" fillId="26" borderId="0" xfId="0" applyFont="1" applyFill="1" applyProtection="1">
      <protection hidden="1"/>
    </xf>
    <xf numFmtId="0" fontId="54" fillId="26" borderId="0" xfId="0" applyFont="1" applyFill="1" applyAlignment="1" applyProtection="1">
      <alignment vertical="center"/>
      <protection hidden="1"/>
    </xf>
    <xf numFmtId="0" fontId="64" fillId="26" borderId="0" xfId="0" applyFont="1" applyFill="1" applyProtection="1">
      <protection hidden="1"/>
    </xf>
    <xf numFmtId="0" fontId="65" fillId="26" borderId="0" xfId="0" applyFont="1" applyFill="1" applyProtection="1">
      <protection hidden="1"/>
    </xf>
    <xf numFmtId="0" fontId="104" fillId="26" borderId="0" xfId="0" applyFont="1" applyFill="1" applyProtection="1">
      <protection hidden="1"/>
    </xf>
    <xf numFmtId="0" fontId="0" fillId="26" borderId="0" xfId="0" applyFill="1" applyBorder="1" applyAlignment="1" applyProtection="1">
      <protection hidden="1"/>
    </xf>
    <xf numFmtId="0" fontId="59" fillId="26" borderId="0" xfId="0" applyFont="1" applyFill="1" applyAlignment="1" applyProtection="1">
      <alignment vertical="top"/>
      <protection hidden="1"/>
    </xf>
    <xf numFmtId="0" fontId="0" fillId="29" borderId="0" xfId="0" applyFill="1" applyProtection="1">
      <protection hidden="1"/>
    </xf>
    <xf numFmtId="1" fontId="55" fillId="17" borderId="18" xfId="28" applyNumberFormat="1" applyFont="1" applyFill="1" applyBorder="1" applyAlignment="1" applyProtection="1">
      <alignment horizontal="center" vertical="center"/>
      <protection locked="0" hidden="1"/>
    </xf>
    <xf numFmtId="3" fontId="19" fillId="17" borderId="10" xfId="28" applyNumberFormat="1" applyFont="1" applyFill="1" applyBorder="1" applyAlignment="1" applyProtection="1">
      <alignment horizontal="center" vertical="center"/>
      <protection locked="0" hidden="1"/>
    </xf>
    <xf numFmtId="0" fontId="21" fillId="24" borderId="53" xfId="42" applyFont="1" applyFill="1" applyBorder="1" applyAlignment="1" applyProtection="1">
      <alignment horizontal="center" vertical="center"/>
      <protection hidden="1"/>
    </xf>
    <xf numFmtId="0" fontId="107" fillId="26" borderId="0" xfId="42" applyFont="1" applyFill="1" applyAlignment="1" applyProtection="1">
      <alignment horizontal="left" vertical="top" wrapText="1"/>
      <protection hidden="1"/>
    </xf>
    <xf numFmtId="0" fontId="87" fillId="26" borderId="0" xfId="42" applyFont="1" applyFill="1" applyAlignment="1" applyProtection="1">
      <alignment horizontal="left" vertical="center"/>
      <protection hidden="1"/>
    </xf>
    <xf numFmtId="0" fontId="117" fillId="26" borderId="0" xfId="42" applyFont="1" applyFill="1" applyAlignment="1" applyProtection="1">
      <alignment horizontal="left" vertical="top" wrapText="1"/>
      <protection hidden="1"/>
    </xf>
    <xf numFmtId="0" fontId="117" fillId="26" borderId="0" xfId="42" applyFont="1" applyFill="1" applyAlignment="1" applyProtection="1">
      <alignment horizontal="left" vertical="center"/>
      <protection hidden="1"/>
    </xf>
    <xf numFmtId="0" fontId="107" fillId="26" borderId="0" xfId="42" applyFont="1" applyFill="1" applyProtection="1">
      <protection hidden="1"/>
    </xf>
    <xf numFmtId="0" fontId="107" fillId="26" borderId="0" xfId="42" applyFont="1" applyFill="1" applyAlignment="1" applyProtection="1">
      <alignment horizontal="center"/>
      <protection hidden="1"/>
    </xf>
    <xf numFmtId="0" fontId="65" fillId="26" borderId="0" xfId="42" applyFont="1" applyFill="1" applyProtection="1">
      <protection hidden="1"/>
    </xf>
    <xf numFmtId="0" fontId="64" fillId="26" borderId="0" xfId="42" applyFont="1" applyFill="1" applyProtection="1">
      <protection hidden="1"/>
    </xf>
    <xf numFmtId="0" fontId="64" fillId="26" borderId="0" xfId="42" applyFont="1" applyFill="1" applyAlignment="1" applyProtection="1">
      <alignment horizontal="left"/>
      <protection hidden="1"/>
    </xf>
    <xf numFmtId="0" fontId="50" fillId="26" borderId="53" xfId="0" applyFont="1" applyFill="1" applyBorder="1" applyAlignment="1" applyProtection="1">
      <alignment horizontal="center" vertical="top" wrapText="1"/>
      <protection hidden="1"/>
    </xf>
    <xf numFmtId="0" fontId="50" fillId="26" borderId="105" xfId="0" applyFont="1" applyFill="1" applyBorder="1" applyAlignment="1" applyProtection="1">
      <alignment horizontal="center" vertical="top" wrapText="1"/>
      <protection hidden="1"/>
    </xf>
    <xf numFmtId="0" fontId="65" fillId="26" borderId="0" xfId="42" applyFont="1" applyFill="1" applyBorder="1" applyAlignment="1" applyProtection="1">
      <alignment horizontal="center"/>
      <protection hidden="1"/>
    </xf>
    <xf numFmtId="0" fontId="50" fillId="26" borderId="35" xfId="0" applyFont="1" applyFill="1" applyBorder="1" applyAlignment="1" applyProtection="1">
      <alignment horizontal="center" vertical="top" wrapText="1"/>
      <protection hidden="1"/>
    </xf>
    <xf numFmtId="0" fontId="50" fillId="26" borderId="25" xfId="0" applyFont="1" applyFill="1" applyBorder="1" applyAlignment="1" applyProtection="1">
      <alignment horizontal="center" vertical="top" wrapText="1"/>
      <protection hidden="1"/>
    </xf>
    <xf numFmtId="0" fontId="119" fillId="26" borderId="35" xfId="0" applyFont="1" applyFill="1" applyBorder="1" applyAlignment="1" applyProtection="1">
      <alignment horizontal="center" vertical="top" wrapText="1"/>
      <protection hidden="1"/>
    </xf>
    <xf numFmtId="0" fontId="119" fillId="26" borderId="25" xfId="0" applyFont="1" applyFill="1" applyBorder="1" applyAlignment="1" applyProtection="1">
      <alignment horizontal="center" vertical="top" wrapText="1"/>
      <protection hidden="1"/>
    </xf>
    <xf numFmtId="0" fontId="65" fillId="26" borderId="0" xfId="42" applyFont="1" applyFill="1" applyAlignment="1" applyProtection="1">
      <alignment vertical="center"/>
      <protection hidden="1"/>
    </xf>
    <xf numFmtId="0" fontId="65" fillId="26" borderId="0" xfId="42" applyFont="1" applyFill="1" applyAlignment="1" applyProtection="1">
      <alignment horizontal="center" vertical="center"/>
      <protection hidden="1"/>
    </xf>
    <xf numFmtId="0" fontId="119" fillId="26" borderId="35" xfId="0" applyFont="1" applyFill="1" applyBorder="1" applyAlignment="1" applyProtection="1">
      <alignment horizontal="center" vertical="center" wrapText="1"/>
      <protection hidden="1"/>
    </xf>
    <xf numFmtId="0" fontId="119" fillId="26" borderId="25" xfId="0" applyFont="1" applyFill="1" applyBorder="1" applyAlignment="1" applyProtection="1">
      <alignment horizontal="center" vertical="center" wrapText="1"/>
      <protection hidden="1"/>
    </xf>
    <xf numFmtId="0" fontId="11" fillId="26" borderId="0" xfId="0" applyFont="1" applyFill="1" applyBorder="1" applyAlignment="1" applyProtection="1">
      <protection hidden="1"/>
    </xf>
    <xf numFmtId="0" fontId="11" fillId="26" borderId="32" xfId="0" applyFont="1" applyFill="1" applyBorder="1" applyAlignment="1" applyProtection="1">
      <protection hidden="1"/>
    </xf>
    <xf numFmtId="0" fontId="65" fillId="26" borderId="0" xfId="42" applyFont="1" applyFill="1" applyBorder="1" applyProtection="1">
      <protection hidden="1"/>
    </xf>
    <xf numFmtId="0" fontId="31" fillId="26" borderId="0" xfId="42" applyFont="1" applyFill="1" applyAlignment="1" applyProtection="1">
      <alignment horizontal="center"/>
      <protection hidden="1"/>
    </xf>
    <xf numFmtId="0" fontId="44" fillId="26" borderId="0" xfId="42" applyFont="1" applyFill="1" applyProtection="1">
      <protection hidden="1"/>
    </xf>
    <xf numFmtId="0" fontId="44" fillId="26" borderId="0" xfId="42" applyFont="1" applyFill="1" applyAlignment="1" applyProtection="1">
      <alignment horizontal="center"/>
      <protection hidden="1"/>
    </xf>
    <xf numFmtId="0" fontId="31" fillId="26" borderId="0" xfId="42" applyFont="1" applyFill="1" applyBorder="1" applyProtection="1">
      <protection hidden="1"/>
    </xf>
    <xf numFmtId="0" fontId="31" fillId="26" borderId="0" xfId="42" applyFont="1" applyFill="1" applyBorder="1" applyAlignment="1" applyProtection="1">
      <alignment horizontal="center"/>
      <protection hidden="1"/>
    </xf>
    <xf numFmtId="0" fontId="41" fillId="26" borderId="0" xfId="42" applyFont="1" applyFill="1" applyProtection="1">
      <protection hidden="1"/>
    </xf>
    <xf numFmtId="0" fontId="41" fillId="26" borderId="0" xfId="42" applyFont="1" applyFill="1" applyAlignment="1" applyProtection="1">
      <alignment horizontal="left" vertical="top"/>
      <protection hidden="1"/>
    </xf>
    <xf numFmtId="0" fontId="41" fillId="26" borderId="0" xfId="42" applyFont="1" applyFill="1" applyAlignment="1" applyProtection="1">
      <alignment vertical="top"/>
      <protection hidden="1"/>
    </xf>
    <xf numFmtId="0" fontId="31" fillId="26" borderId="0" xfId="42" quotePrefix="1" applyFont="1" applyFill="1" applyAlignment="1" applyProtection="1">
      <alignment horizontal="right" vertical="top"/>
      <protection hidden="1"/>
    </xf>
    <xf numFmtId="0" fontId="31" fillId="26" borderId="0" xfId="42" applyFont="1" applyFill="1" applyAlignment="1" applyProtection="1">
      <alignment horizontal="left" vertical="top" wrapText="1"/>
      <protection hidden="1"/>
    </xf>
    <xf numFmtId="0" fontId="31" fillId="26" borderId="0" xfId="42" applyFont="1" applyFill="1" applyBorder="1" applyAlignment="1" applyProtection="1">
      <alignment vertical="top" wrapText="1"/>
      <protection hidden="1"/>
    </xf>
    <xf numFmtId="0" fontId="64" fillId="26" borderId="0" xfId="42" applyFont="1" applyFill="1" applyBorder="1" applyProtection="1">
      <protection hidden="1"/>
    </xf>
    <xf numFmtId="0" fontId="64" fillId="26" borderId="0" xfId="42" applyFont="1" applyFill="1" applyBorder="1" applyAlignment="1" applyProtection="1">
      <alignment horizontal="center" vertical="center"/>
      <protection hidden="1"/>
    </xf>
    <xf numFmtId="0" fontId="44" fillId="26" borderId="0" xfId="42" applyFont="1" applyFill="1" applyBorder="1" applyProtection="1">
      <protection hidden="1"/>
    </xf>
    <xf numFmtId="0" fontId="64" fillId="26" borderId="0" xfId="42" applyFont="1" applyFill="1" applyBorder="1" applyAlignment="1" applyProtection="1">
      <alignment horizontal="center"/>
      <protection hidden="1"/>
    </xf>
    <xf numFmtId="0" fontId="44" fillId="26" borderId="0" xfId="42" applyFont="1" applyFill="1" applyBorder="1" applyAlignment="1" applyProtection="1">
      <alignment horizontal="center"/>
      <protection hidden="1"/>
    </xf>
    <xf numFmtId="0" fontId="150" fillId="26" borderId="20" xfId="40" applyFont="1" applyFill="1" applyBorder="1" applyAlignment="1" applyProtection="1">
      <alignment vertical="center" wrapText="1"/>
      <protection hidden="1"/>
    </xf>
    <xf numFmtId="168" fontId="19" fillId="17" borderId="11" xfId="28" applyNumberFormat="1" applyFont="1" applyFill="1" applyBorder="1" applyAlignment="1" applyProtection="1">
      <alignment horizontal="right" vertical="center"/>
      <protection locked="0" hidden="1"/>
    </xf>
    <xf numFmtId="168" fontId="19" fillId="32" borderId="104" xfId="28" applyNumberFormat="1" applyFont="1" applyFill="1" applyBorder="1" applyAlignment="1" applyProtection="1">
      <alignment horizontal="right" vertical="center"/>
      <protection locked="0" hidden="1"/>
    </xf>
    <xf numFmtId="0" fontId="151" fillId="26" borderId="0" xfId="40" applyFont="1" applyFill="1" applyBorder="1" applyAlignment="1" applyProtection="1">
      <alignment horizontal="left" vertical="top"/>
      <protection hidden="1"/>
    </xf>
    <xf numFmtId="0" fontId="42" fillId="26" borderId="0" xfId="40" applyFont="1" applyFill="1" applyBorder="1" applyAlignment="1" applyProtection="1">
      <alignment horizontal="left" vertical="top"/>
      <protection hidden="1"/>
    </xf>
    <xf numFmtId="0" fontId="141" fillId="26" borderId="0" xfId="41" applyFont="1" applyFill="1" applyAlignment="1" applyProtection="1">
      <alignment vertical="top" wrapText="1"/>
      <protection hidden="1"/>
    </xf>
    <xf numFmtId="0" fontId="147" fillId="26" borderId="0" xfId="40" applyFont="1" applyFill="1" applyBorder="1" applyAlignment="1" applyProtection="1">
      <alignment horizontal="center" vertical="center"/>
      <protection hidden="1"/>
    </xf>
    <xf numFmtId="0" fontId="55" fillId="17" borderId="43" xfId="0" applyFont="1" applyFill="1" applyBorder="1" applyAlignment="1" applyProtection="1">
      <alignment vertical="top" wrapText="1"/>
      <protection hidden="1"/>
    </xf>
    <xf numFmtId="0" fontId="48" fillId="26" borderId="0" xfId="40" applyFont="1" applyFill="1" applyAlignment="1" applyProtection="1">
      <alignment horizontal="left" vertical="top"/>
      <protection hidden="1"/>
    </xf>
    <xf numFmtId="0" fontId="42" fillId="26" borderId="0" xfId="40" applyFont="1" applyFill="1" applyBorder="1" applyAlignment="1" applyProtection="1">
      <alignment horizontal="left" vertical="center"/>
      <protection hidden="1"/>
    </xf>
    <xf numFmtId="0" fontId="31" fillId="26" borderId="0" xfId="40" applyFont="1" applyFill="1" applyAlignment="1" applyProtection="1">
      <alignment horizontal="center" vertical="top" wrapText="1"/>
      <protection hidden="1"/>
    </xf>
    <xf numFmtId="3" fontId="16" fillId="24" borderId="0" xfId="41" applyNumberFormat="1" applyFont="1" applyFill="1" applyBorder="1" applyAlignment="1" applyProtection="1">
      <alignment horizontal="center" vertical="center" wrapText="1"/>
      <protection hidden="1"/>
    </xf>
    <xf numFmtId="0" fontId="41" fillId="26" borderId="0" xfId="41" applyFont="1" applyFill="1" applyBorder="1" applyAlignment="1" applyProtection="1">
      <alignment horizontal="left" vertical="center"/>
      <protection hidden="1"/>
    </xf>
    <xf numFmtId="3" fontId="16" fillId="24" borderId="64" xfId="41" applyNumberFormat="1" applyFont="1" applyFill="1" applyBorder="1" applyAlignment="1" applyProtection="1">
      <alignment horizontal="center" vertical="center" wrapText="1"/>
      <protection hidden="1"/>
    </xf>
    <xf numFmtId="0" fontId="31" fillId="26" borderId="0" xfId="42" applyFont="1" applyFill="1" applyAlignment="1" applyProtection="1">
      <alignment horizontal="left" vertical="center" wrapText="1"/>
      <protection hidden="1"/>
    </xf>
    <xf numFmtId="0" fontId="31" fillId="26" borderId="0" xfId="42" applyFont="1" applyFill="1" applyAlignment="1" applyProtection="1">
      <alignment horizontal="center" vertical="center" wrapText="1"/>
      <protection hidden="1"/>
    </xf>
    <xf numFmtId="0" fontId="41" fillId="26" borderId="0" xfId="42" applyFont="1" applyFill="1" applyAlignment="1" applyProtection="1">
      <alignment horizontal="center" vertical="center" wrapText="1"/>
      <protection hidden="1"/>
    </xf>
    <xf numFmtId="0" fontId="54" fillId="26" borderId="0" xfId="42" applyFont="1" applyFill="1" applyAlignment="1" applyProtection="1">
      <alignment vertical="center"/>
      <protection hidden="1"/>
    </xf>
    <xf numFmtId="0" fontId="41" fillId="26" borderId="0" xfId="42" applyFont="1" applyFill="1" applyAlignment="1" applyProtection="1">
      <alignment horizontal="justify" vertical="center" wrapText="1"/>
      <protection hidden="1"/>
    </xf>
    <xf numFmtId="0" fontId="109" fillId="26" borderId="0" xfId="42" applyFont="1" applyFill="1" applyAlignment="1" applyProtection="1">
      <alignment vertical="center"/>
      <protection hidden="1"/>
    </xf>
    <xf numFmtId="0" fontId="31" fillId="26" borderId="0" xfId="42" applyFont="1" applyFill="1" applyAlignment="1" applyProtection="1">
      <alignment horizontal="justify" vertical="center" wrapText="1"/>
      <protection hidden="1"/>
    </xf>
    <xf numFmtId="1" fontId="19" fillId="24" borderId="10" xfId="42" applyNumberFormat="1" applyFont="1" applyFill="1" applyBorder="1" applyAlignment="1" applyProtection="1">
      <alignment horizontal="center"/>
      <protection hidden="1"/>
    </xf>
    <xf numFmtId="0" fontId="31" fillId="29" borderId="10" xfId="42" applyFont="1" applyFill="1" applyBorder="1" applyAlignment="1" applyProtection="1">
      <alignment horizontal="center"/>
      <protection hidden="1"/>
    </xf>
    <xf numFmtId="0" fontId="19" fillId="24" borderId="10" xfId="42" applyFont="1" applyFill="1" applyBorder="1" applyAlignment="1" applyProtection="1">
      <alignment horizontal="center"/>
      <protection hidden="1"/>
    </xf>
    <xf numFmtId="0" fontId="41" fillId="29" borderId="39" xfId="42" applyFont="1" applyFill="1" applyBorder="1" applyAlignment="1" applyProtection="1">
      <alignment horizontal="center"/>
      <protection hidden="1"/>
    </xf>
    <xf numFmtId="0" fontId="20" fillId="24" borderId="39" xfId="42" applyFont="1" applyFill="1" applyBorder="1" applyAlignment="1" applyProtection="1">
      <alignment horizontal="center"/>
      <protection hidden="1"/>
    </xf>
    <xf numFmtId="0" fontId="31" fillId="26" borderId="39" xfId="42" applyFont="1" applyFill="1" applyBorder="1" applyAlignment="1" applyProtection="1">
      <alignment horizontal="center"/>
      <protection hidden="1"/>
    </xf>
    <xf numFmtId="0" fontId="120" fillId="26" borderId="0" xfId="42" applyFont="1" applyFill="1" applyBorder="1" applyProtection="1">
      <protection hidden="1"/>
    </xf>
    <xf numFmtId="0" fontId="120" fillId="26" borderId="0" xfId="42" applyFont="1" applyFill="1" applyProtection="1">
      <protection hidden="1"/>
    </xf>
    <xf numFmtId="0" fontId="120" fillId="26" borderId="0" xfId="42" applyFont="1" applyFill="1" applyBorder="1" applyAlignment="1" applyProtection="1">
      <alignment horizontal="center"/>
      <protection hidden="1"/>
    </xf>
    <xf numFmtId="0" fontId="64" fillId="26" borderId="39" xfId="42" applyFont="1" applyFill="1" applyBorder="1" applyProtection="1">
      <protection hidden="1"/>
    </xf>
    <xf numFmtId="0" fontId="64" fillId="26" borderId="60" xfId="42" applyFont="1" applyFill="1" applyBorder="1" applyProtection="1">
      <protection hidden="1"/>
    </xf>
    <xf numFmtId="0" fontId="64" fillId="26" borderId="60" xfId="42" applyFont="1" applyFill="1" applyBorder="1" applyAlignment="1" applyProtection="1">
      <alignment horizontal="center"/>
      <protection hidden="1"/>
    </xf>
    <xf numFmtId="2" fontId="64" fillId="26" borderId="60" xfId="42" applyNumberFormat="1" applyFont="1" applyFill="1" applyBorder="1" applyAlignment="1" applyProtection="1">
      <alignment horizontal="center"/>
      <protection hidden="1"/>
    </xf>
    <xf numFmtId="0" fontId="31" fillId="26" borderId="60" xfId="42" applyFont="1" applyFill="1" applyBorder="1" applyProtection="1">
      <protection hidden="1"/>
    </xf>
    <xf numFmtId="0" fontId="41" fillId="26" borderId="39" xfId="42" applyFont="1" applyFill="1" applyBorder="1" applyAlignment="1" applyProtection="1">
      <alignment horizontal="center" vertical="top" wrapText="1"/>
      <protection hidden="1"/>
    </xf>
    <xf numFmtId="0" fontId="41" fillId="26" borderId="64" xfId="42" applyFont="1" applyFill="1" applyBorder="1" applyAlignment="1" applyProtection="1">
      <alignment vertical="top" wrapText="1"/>
      <protection hidden="1"/>
    </xf>
    <xf numFmtId="0" fontId="31" fillId="26" borderId="0" xfId="42" applyFont="1" applyFill="1" applyBorder="1" applyAlignment="1" applyProtection="1">
      <alignment horizontal="center" vertical="top" wrapText="1"/>
      <protection hidden="1"/>
    </xf>
    <xf numFmtId="0" fontId="31" fillId="26" borderId="10" xfId="42" applyFont="1" applyFill="1" applyBorder="1" applyProtection="1">
      <protection hidden="1"/>
    </xf>
    <xf numFmtId="0" fontId="41" fillId="26" borderId="64" xfId="42" applyFont="1" applyFill="1" applyBorder="1" applyProtection="1">
      <protection hidden="1"/>
    </xf>
    <xf numFmtId="0" fontId="31" fillId="26" borderId="64" xfId="42" applyFont="1" applyFill="1" applyBorder="1" applyProtection="1">
      <protection hidden="1"/>
    </xf>
    <xf numFmtId="0" fontId="31" fillId="26" borderId="32" xfId="42" applyFont="1" applyFill="1" applyBorder="1" applyProtection="1">
      <protection hidden="1"/>
    </xf>
    <xf numFmtId="0" fontId="31" fillId="26" borderId="39" xfId="42" applyFont="1" applyFill="1" applyBorder="1" applyProtection="1">
      <protection hidden="1"/>
    </xf>
    <xf numFmtId="0" fontId="31" fillId="26" borderId="0" xfId="42" applyFont="1" applyFill="1" applyBorder="1" applyAlignment="1" applyProtection="1">
      <alignment horizontal="center" vertical="center" wrapText="1"/>
      <protection locked="0" hidden="1"/>
    </xf>
    <xf numFmtId="0" fontId="31" fillId="26" borderId="0" xfId="42" applyFont="1" applyFill="1" applyAlignment="1" applyProtection="1">
      <alignment horizontal="justify" vertical="center"/>
      <protection locked="0" hidden="1"/>
    </xf>
    <xf numFmtId="0" fontId="31" fillId="26" borderId="0" xfId="42" applyFont="1" applyFill="1" applyAlignment="1" applyProtection="1">
      <alignment horizontal="justify" vertical="center" wrapText="1"/>
      <protection locked="0" hidden="1"/>
    </xf>
    <xf numFmtId="1" fontId="12" fillId="17" borderId="10" xfId="42" applyNumberFormat="1" applyFont="1" applyFill="1" applyBorder="1" applyAlignment="1" applyProtection="1">
      <alignment horizontal="center"/>
      <protection locked="0" hidden="1"/>
    </xf>
    <xf numFmtId="1" fontId="19" fillId="17" borderId="10" xfId="42" applyNumberFormat="1" applyFont="1" applyFill="1" applyBorder="1" applyAlignment="1" applyProtection="1">
      <alignment horizontal="center"/>
      <protection locked="0" hidden="1"/>
    </xf>
    <xf numFmtId="0" fontId="153" fillId="26" borderId="0" xfId="41" applyFont="1" applyFill="1" applyAlignment="1" applyProtection="1">
      <alignment vertical="top" wrapText="1"/>
      <protection hidden="1"/>
    </xf>
    <xf numFmtId="0" fontId="55" fillId="0" borderId="10" xfId="40" applyFont="1" applyFill="1" applyBorder="1" applyAlignment="1" applyProtection="1">
      <alignment horizontal="left" vertical="top" wrapText="1"/>
      <protection hidden="1"/>
    </xf>
    <xf numFmtId="0" fontId="19" fillId="17" borderId="64" xfId="40" applyFont="1" applyFill="1" applyBorder="1" applyAlignment="1" applyProtection="1">
      <alignment horizontal="center" vertical="center" wrapText="1"/>
      <protection hidden="1"/>
    </xf>
    <xf numFmtId="0" fontId="29" fillId="24" borderId="53" xfId="42" applyFont="1" applyFill="1" applyBorder="1" applyAlignment="1" applyProtection="1">
      <alignment horizontal="center" vertical="center" wrapText="1"/>
      <protection hidden="1"/>
    </xf>
    <xf numFmtId="0" fontId="60" fillId="26" borderId="0" xfId="40" applyFont="1" applyFill="1" applyAlignment="1" applyProtection="1">
      <alignment horizontal="left" vertical="top"/>
      <protection hidden="1"/>
    </xf>
    <xf numFmtId="0" fontId="55" fillId="26" borderId="0" xfId="40" applyFont="1" applyFill="1" applyAlignment="1" applyProtection="1">
      <alignment horizontal="left" vertical="top"/>
      <protection hidden="1"/>
    </xf>
    <xf numFmtId="0" fontId="61" fillId="26" borderId="0" xfId="40" applyFont="1" applyFill="1" applyAlignment="1" applyProtection="1">
      <alignment horizontal="left" vertical="top"/>
      <protection hidden="1"/>
    </xf>
    <xf numFmtId="0" fontId="60" fillId="26" borderId="0" xfId="40" applyFont="1" applyFill="1" applyBorder="1" applyAlignment="1" applyProtection="1">
      <alignment horizontal="left" vertical="top"/>
      <protection hidden="1"/>
    </xf>
    <xf numFmtId="0" fontId="55" fillId="26" borderId="0" xfId="40" applyFont="1" applyFill="1" applyBorder="1" applyAlignment="1" applyProtection="1">
      <alignment horizontal="left" vertical="top"/>
      <protection hidden="1"/>
    </xf>
    <xf numFmtId="0" fontId="61" fillId="26" borderId="0" xfId="40" applyFont="1" applyFill="1" applyBorder="1" applyAlignment="1" applyProtection="1">
      <alignment horizontal="left" vertical="top"/>
      <protection hidden="1"/>
    </xf>
    <xf numFmtId="0" fontId="60" fillId="26" borderId="0" xfId="40" applyFont="1" applyFill="1" applyBorder="1" applyAlignment="1" applyProtection="1">
      <alignment horizontal="left" vertical="center"/>
      <protection hidden="1"/>
    </xf>
    <xf numFmtId="0" fontId="55" fillId="26" borderId="0" xfId="40" applyFont="1" applyFill="1" applyBorder="1" applyAlignment="1" applyProtection="1">
      <alignment horizontal="left" vertical="center"/>
      <protection hidden="1"/>
    </xf>
    <xf numFmtId="0" fontId="61" fillId="26" borderId="0" xfId="40" applyFont="1" applyFill="1" applyBorder="1" applyAlignment="1" applyProtection="1">
      <alignment horizontal="left" vertical="center"/>
      <protection hidden="1"/>
    </xf>
    <xf numFmtId="0" fontId="60" fillId="26" borderId="0" xfId="40" applyFont="1" applyFill="1" applyAlignment="1" applyProtection="1">
      <alignment horizontal="left" vertical="top" wrapText="1"/>
      <protection hidden="1"/>
    </xf>
    <xf numFmtId="0" fontId="55" fillId="26" borderId="0" xfId="40" applyFont="1" applyFill="1" applyAlignment="1" applyProtection="1">
      <alignment horizontal="left" vertical="top" wrapText="1"/>
      <protection hidden="1"/>
    </xf>
    <xf numFmtId="0" fontId="61" fillId="26" borderId="0" xfId="40" applyFont="1" applyFill="1" applyAlignment="1" applyProtection="1">
      <alignment horizontal="left" vertical="top" wrapText="1"/>
      <protection hidden="1"/>
    </xf>
    <xf numFmtId="0" fontId="41" fillId="26" borderId="79" xfId="0" applyFont="1" applyFill="1" applyBorder="1" applyAlignment="1" applyProtection="1">
      <alignment horizontal="center" vertical="center" wrapText="1"/>
      <protection hidden="1"/>
    </xf>
    <xf numFmtId="0" fontId="41" fillId="26" borderId="79" xfId="0" applyFont="1" applyFill="1" applyBorder="1" applyAlignment="1" applyProtection="1">
      <alignment horizontal="left" vertical="center" wrapText="1"/>
      <protection hidden="1"/>
    </xf>
    <xf numFmtId="0" fontId="31" fillId="17" borderId="20" xfId="0" applyFont="1" applyFill="1" applyBorder="1" applyAlignment="1">
      <alignment vertical="center"/>
    </xf>
    <xf numFmtId="0" fontId="19" fillId="17" borderId="21" xfId="0" applyFont="1" applyFill="1" applyBorder="1" applyAlignment="1" applyProtection="1">
      <alignment horizontal="center" vertical="center"/>
      <protection hidden="1"/>
    </xf>
    <xf numFmtId="0" fontId="19" fillId="17" borderId="20" xfId="0" applyFont="1" applyFill="1" applyBorder="1" applyAlignment="1" applyProtection="1">
      <alignment vertical="center"/>
      <protection hidden="1"/>
    </xf>
    <xf numFmtId="0" fontId="19" fillId="17" borderId="23" xfId="0" applyFont="1" applyFill="1" applyBorder="1" applyAlignment="1" applyProtection="1">
      <alignment vertical="center"/>
      <protection hidden="1"/>
    </xf>
    <xf numFmtId="0" fontId="19" fillId="17" borderId="24" xfId="0" applyFont="1" applyFill="1" applyBorder="1" applyAlignment="1" applyProtection="1">
      <alignment vertical="center"/>
      <protection hidden="1"/>
    </xf>
    <xf numFmtId="0" fontId="20" fillId="17" borderId="115" xfId="0" applyFont="1" applyFill="1" applyBorder="1" applyAlignment="1" applyProtection="1">
      <alignment vertical="center"/>
      <protection hidden="1"/>
    </xf>
    <xf numFmtId="0" fontId="20" fillId="17" borderId="115" xfId="0" applyFont="1" applyFill="1" applyBorder="1" applyAlignment="1" applyProtection="1">
      <alignment horizontal="center" vertical="center"/>
      <protection hidden="1"/>
    </xf>
    <xf numFmtId="0" fontId="20" fillId="17" borderId="116" xfId="0" applyFont="1" applyFill="1" applyBorder="1" applyAlignment="1" applyProtection="1">
      <alignment horizontal="center" vertical="center"/>
      <protection hidden="1"/>
    </xf>
    <xf numFmtId="0" fontId="19" fillId="17" borderId="34" xfId="0" applyFont="1" applyFill="1" applyBorder="1" applyAlignment="1" applyProtection="1">
      <alignment horizontal="center" vertical="center"/>
      <protection hidden="1"/>
    </xf>
    <xf numFmtId="0" fontId="19" fillId="17" borderId="104" xfId="0" applyFont="1" applyFill="1" applyBorder="1" applyAlignment="1" applyProtection="1">
      <alignment horizontal="center" vertical="center"/>
      <protection hidden="1"/>
    </xf>
    <xf numFmtId="0" fontId="20" fillId="17" borderId="35" xfId="0" applyFont="1" applyFill="1" applyBorder="1" applyAlignment="1" applyProtection="1">
      <alignment horizontal="center" vertical="center"/>
      <protection hidden="1"/>
    </xf>
    <xf numFmtId="9" fontId="19" fillId="0" borderId="50" xfId="0" applyNumberFormat="1" applyFont="1" applyFill="1" applyBorder="1" applyAlignment="1" applyProtection="1">
      <alignment horizontal="center" vertical="center"/>
      <protection hidden="1"/>
    </xf>
    <xf numFmtId="9" fontId="19" fillId="0" borderId="51" xfId="0" applyNumberFormat="1" applyFont="1" applyFill="1" applyBorder="1" applyAlignment="1" applyProtection="1">
      <alignment horizontal="center" vertical="center"/>
      <protection hidden="1"/>
    </xf>
    <xf numFmtId="166" fontId="20" fillId="0" borderId="52" xfId="0" applyNumberFormat="1" applyFont="1" applyFill="1" applyBorder="1" applyAlignment="1" applyProtection="1">
      <alignment horizontal="center" vertical="center"/>
      <protection hidden="1"/>
    </xf>
    <xf numFmtId="0" fontId="19" fillId="17" borderId="101" xfId="0" applyFont="1" applyFill="1" applyBorder="1" applyAlignment="1" applyProtection="1">
      <alignment vertical="center"/>
      <protection hidden="1"/>
    </xf>
    <xf numFmtId="0" fontId="19" fillId="17" borderId="12" xfId="0" applyFont="1" applyFill="1" applyBorder="1" applyAlignment="1" applyProtection="1">
      <alignment horizontal="center" vertical="center"/>
      <protection hidden="1"/>
    </xf>
    <xf numFmtId="3" fontId="19" fillId="17" borderId="21" xfId="0" applyNumberFormat="1" applyFont="1" applyFill="1" applyBorder="1" applyAlignment="1" applyProtection="1">
      <alignment horizontal="center" vertical="center"/>
      <protection hidden="1"/>
    </xf>
    <xf numFmtId="3" fontId="20" fillId="17" borderId="116" xfId="0" applyNumberFormat="1" applyFont="1" applyFill="1" applyBorder="1" applyAlignment="1" applyProtection="1">
      <alignment horizontal="center" vertical="center"/>
      <protection hidden="1"/>
    </xf>
    <xf numFmtId="0" fontId="20" fillId="17" borderId="12" xfId="0" applyFont="1" applyFill="1" applyBorder="1" applyAlignment="1" applyProtection="1">
      <alignment horizontal="center" vertical="center"/>
      <protection hidden="1"/>
    </xf>
    <xf numFmtId="0" fontId="19" fillId="17" borderId="120" xfId="0" applyFont="1" applyFill="1" applyBorder="1" applyAlignment="1" applyProtection="1">
      <alignment vertical="center"/>
      <protection hidden="1"/>
    </xf>
    <xf numFmtId="0" fontId="19" fillId="17" borderId="121" xfId="0" applyFont="1" applyFill="1" applyBorder="1" applyAlignment="1" applyProtection="1">
      <alignment horizontal="center" vertical="center"/>
      <protection hidden="1"/>
    </xf>
    <xf numFmtId="0" fontId="19" fillId="17" borderId="123" xfId="0" applyFont="1" applyFill="1" applyBorder="1" applyAlignment="1" applyProtection="1">
      <alignment horizontal="center" vertical="center"/>
      <protection hidden="1"/>
    </xf>
    <xf numFmtId="9" fontId="19" fillId="17" borderId="50" xfId="0" applyNumberFormat="1" applyFont="1" applyFill="1" applyBorder="1" applyAlignment="1" applyProtection="1">
      <alignment horizontal="center" vertical="center"/>
      <protection hidden="1"/>
    </xf>
    <xf numFmtId="9" fontId="19" fillId="17" borderId="51" xfId="0" applyNumberFormat="1" applyFont="1" applyFill="1" applyBorder="1" applyAlignment="1" applyProtection="1">
      <alignment horizontal="center" vertical="center"/>
      <protection hidden="1"/>
    </xf>
    <xf numFmtId="166" fontId="20" fillId="17" borderId="52" xfId="0" applyNumberFormat="1" applyFont="1" applyFill="1" applyBorder="1" applyAlignment="1" applyProtection="1">
      <alignment horizontal="center" vertical="center"/>
      <protection hidden="1"/>
    </xf>
    <xf numFmtId="0" fontId="19" fillId="17" borderId="49" xfId="0" applyFont="1" applyFill="1" applyBorder="1" applyAlignment="1" applyProtection="1">
      <alignment horizontal="left" vertical="center"/>
      <protection hidden="1"/>
    </xf>
    <xf numFmtId="0" fontId="20" fillId="17" borderId="111" xfId="0" applyFont="1" applyFill="1" applyBorder="1" applyAlignment="1" applyProtection="1">
      <alignment horizontal="center" vertical="center"/>
      <protection hidden="1"/>
    </xf>
    <xf numFmtId="0" fontId="20" fillId="17" borderId="52" xfId="0" applyFont="1" applyFill="1" applyBorder="1" applyAlignment="1" applyProtection="1">
      <alignment horizontal="center" vertical="center"/>
      <protection hidden="1"/>
    </xf>
    <xf numFmtId="0" fontId="49" fillId="26" borderId="0" xfId="0" applyFont="1" applyFill="1" applyBorder="1" applyAlignment="1" applyProtection="1">
      <alignment horizontal="center"/>
      <protection hidden="1"/>
    </xf>
    <xf numFmtId="0" fontId="154" fillId="26" borderId="0" xfId="0" applyFont="1" applyFill="1" applyAlignment="1" applyProtection="1">
      <alignment horizontal="left" vertical="center"/>
    </xf>
    <xf numFmtId="0" fontId="49" fillId="26" borderId="0" xfId="0" applyFont="1" applyFill="1" applyAlignment="1" applyProtection="1">
      <alignment horizontal="left" vertical="center"/>
      <protection hidden="1"/>
    </xf>
    <xf numFmtId="0" fontId="155" fillId="26" borderId="0" xfId="0" applyFont="1" applyFill="1"/>
    <xf numFmtId="0" fontId="56" fillId="26" borderId="0" xfId="40" applyFont="1" applyFill="1" applyAlignment="1" applyProtection="1">
      <alignment horizontal="left" vertical="center"/>
      <protection hidden="1"/>
    </xf>
    <xf numFmtId="0" fontId="0" fillId="26" borderId="0" xfId="0" applyFill="1" applyProtection="1">
      <protection locked="0" hidden="1"/>
    </xf>
    <xf numFmtId="0" fontId="0" fillId="26" borderId="0" xfId="0" applyFill="1" applyBorder="1" applyProtection="1">
      <protection locked="0" hidden="1"/>
    </xf>
    <xf numFmtId="0" fontId="140" fillId="26" borderId="0" xfId="41" applyFont="1" applyFill="1" applyAlignment="1" applyProtection="1">
      <alignment vertical="top" wrapText="1"/>
      <protection locked="0" hidden="1"/>
    </xf>
    <xf numFmtId="0" fontId="139" fillId="26" borderId="0" xfId="41" applyFont="1" applyFill="1" applyAlignment="1" applyProtection="1">
      <alignment vertical="top" wrapText="1"/>
      <protection locked="0" hidden="1"/>
    </xf>
    <xf numFmtId="0" fontId="141" fillId="26" borderId="0" xfId="41" applyFont="1" applyFill="1" applyAlignment="1" applyProtection="1">
      <alignment vertical="top" wrapText="1"/>
      <protection locked="0" hidden="1"/>
    </xf>
    <xf numFmtId="0" fontId="41" fillId="26" borderId="10" xfId="42" applyFont="1" applyFill="1" applyBorder="1" applyAlignment="1" applyProtection="1">
      <alignment horizontal="center" vertical="top" wrapText="1"/>
      <protection locked="0" hidden="1"/>
    </xf>
    <xf numFmtId="0" fontId="41" fillId="26" borderId="50" xfId="42" applyFont="1" applyFill="1" applyBorder="1" applyAlignment="1" applyProtection="1">
      <alignment horizontal="center" vertical="top" wrapText="1"/>
      <protection locked="0" hidden="1"/>
    </xf>
    <xf numFmtId="0" fontId="31" fillId="26" borderId="0" xfId="42" applyFont="1" applyFill="1" applyAlignment="1" applyProtection="1">
      <alignment horizontal="center"/>
      <protection locked="0" hidden="1"/>
    </xf>
    <xf numFmtId="0" fontId="31" fillId="26" borderId="0" xfId="42" applyFont="1" applyFill="1" applyAlignment="1" applyProtection="1">
      <alignment horizontal="left" vertical="center" wrapText="1"/>
      <protection locked="0" hidden="1"/>
    </xf>
    <xf numFmtId="0" fontId="31" fillId="26" borderId="0" xfId="42" applyFont="1" applyFill="1" applyAlignment="1" applyProtection="1">
      <alignment horizontal="center" vertical="center"/>
      <protection locked="0" hidden="1"/>
    </xf>
    <xf numFmtId="0" fontId="41" fillId="26" borderId="0" xfId="42" applyFont="1" applyFill="1" applyAlignment="1" applyProtection="1">
      <alignment horizontal="justify" vertical="center" wrapText="1"/>
      <protection locked="0" hidden="1"/>
    </xf>
    <xf numFmtId="0" fontId="107" fillId="26" borderId="0" xfId="41" applyFont="1" applyFill="1" applyBorder="1" applyAlignment="1" applyProtection="1">
      <alignment vertical="top" wrapText="1"/>
      <protection locked="0" hidden="1"/>
    </xf>
    <xf numFmtId="0" fontId="107" fillId="26" borderId="0" xfId="41" applyFont="1" applyFill="1" applyBorder="1" applyAlignment="1" applyProtection="1">
      <alignment horizontal="center" vertical="top" wrapText="1"/>
      <protection locked="0" hidden="1"/>
    </xf>
    <xf numFmtId="0" fontId="41" fillId="26" borderId="0" xfId="41" applyFont="1" applyFill="1" applyBorder="1" applyAlignment="1" applyProtection="1">
      <alignment vertical="center"/>
      <protection locked="0" hidden="1"/>
    </xf>
    <xf numFmtId="1" fontId="16" fillId="26" borderId="0" xfId="41" applyNumberFormat="1" applyFont="1" applyFill="1" applyBorder="1" applyAlignment="1" applyProtection="1">
      <alignment horizontal="center" vertical="center" wrapText="1"/>
      <protection locked="0" hidden="1"/>
    </xf>
    <xf numFmtId="0" fontId="14" fillId="26" borderId="0" xfId="41" applyFont="1" applyFill="1" applyAlignment="1" applyProtection="1">
      <alignment vertical="top" wrapText="1"/>
      <protection locked="0" hidden="1"/>
    </xf>
    <xf numFmtId="0" fontId="31" fillId="26" borderId="79" xfId="42" applyFont="1" applyFill="1" applyBorder="1" applyAlignment="1" applyProtection="1">
      <alignment horizontal="center"/>
      <protection locked="0" hidden="1"/>
    </xf>
    <xf numFmtId="0" fontId="31" fillId="26" borderId="0" xfId="42" applyFont="1" applyFill="1" applyBorder="1" applyAlignment="1" applyProtection="1">
      <alignment horizontal="center"/>
      <protection locked="0" hidden="1"/>
    </xf>
    <xf numFmtId="0" fontId="31" fillId="26" borderId="10" xfId="42" applyFont="1" applyFill="1" applyBorder="1" applyAlignment="1" applyProtection="1">
      <alignment horizontal="center"/>
      <protection locked="0" hidden="1"/>
    </xf>
    <xf numFmtId="0" fontId="120" fillId="26" borderId="10" xfId="42" applyFont="1" applyFill="1" applyBorder="1" applyAlignment="1" applyProtection="1">
      <alignment horizontal="center"/>
      <protection locked="0" hidden="1"/>
    </xf>
    <xf numFmtId="0" fontId="64" fillId="26" borderId="60" xfId="42" applyFont="1" applyFill="1" applyBorder="1" applyAlignment="1" applyProtection="1">
      <alignment horizontal="center"/>
      <protection locked="0" hidden="1"/>
    </xf>
    <xf numFmtId="2" fontId="64" fillId="26" borderId="60" xfId="42" applyNumberFormat="1" applyFont="1" applyFill="1" applyBorder="1" applyAlignment="1" applyProtection="1">
      <alignment horizontal="center"/>
      <protection locked="0" hidden="1"/>
    </xf>
    <xf numFmtId="0" fontId="31" fillId="26" borderId="10" xfId="42" applyFont="1" applyFill="1" applyBorder="1" applyProtection="1">
      <protection locked="0" hidden="1"/>
    </xf>
    <xf numFmtId="0" fontId="31" fillId="26" borderId="0" xfId="42" applyFont="1" applyFill="1" applyProtection="1">
      <protection locked="0" hidden="1"/>
    </xf>
    <xf numFmtId="0" fontId="41" fillId="26" borderId="0" xfId="42" applyFont="1" applyFill="1" applyAlignment="1" applyProtection="1">
      <alignment horizontal="center" vertical="center" wrapText="1"/>
      <protection locked="0" hidden="1"/>
    </xf>
    <xf numFmtId="0" fontId="31" fillId="26" borderId="0" xfId="42" applyFont="1" applyFill="1" applyAlignment="1" applyProtection="1">
      <alignment vertical="center"/>
      <protection locked="0" hidden="1"/>
    </xf>
    <xf numFmtId="0" fontId="64" fillId="26" borderId="0" xfId="42" applyFont="1" applyFill="1" applyAlignment="1" applyProtection="1">
      <alignment vertical="center"/>
      <protection locked="0" hidden="1"/>
    </xf>
    <xf numFmtId="0" fontId="63" fillId="26" borderId="0" xfId="42" applyFont="1" applyFill="1" applyBorder="1" applyAlignment="1" applyProtection="1">
      <alignment horizontal="center" vertical="center"/>
      <protection locked="0" hidden="1"/>
    </xf>
    <xf numFmtId="0" fontId="153" fillId="26" borderId="0" xfId="41" applyFont="1" applyFill="1" applyAlignment="1" applyProtection="1">
      <alignment vertical="top" wrapText="1"/>
      <protection locked="0" hidden="1"/>
    </xf>
    <xf numFmtId="0" fontId="64" fillId="26" borderId="0" xfId="42" applyFont="1" applyFill="1" applyProtection="1">
      <protection locked="0" hidden="1"/>
    </xf>
    <xf numFmtId="0" fontId="41" fillId="26" borderId="0" xfId="42" applyFont="1" applyFill="1" applyProtection="1">
      <protection locked="0" hidden="1"/>
    </xf>
    <xf numFmtId="0" fontId="41" fillId="26" borderId="0" xfId="42" applyFont="1" applyFill="1" applyAlignment="1" applyProtection="1">
      <alignment vertical="top"/>
      <protection locked="0" hidden="1"/>
    </xf>
    <xf numFmtId="2" fontId="41" fillId="26" borderId="50" xfId="42" applyNumberFormat="1" applyFont="1" applyFill="1" applyBorder="1" applyAlignment="1" applyProtection="1">
      <alignment horizontal="center" vertical="top" wrapText="1"/>
      <protection locked="0" hidden="1"/>
    </xf>
    <xf numFmtId="0" fontId="41" fillId="26" borderId="105" xfId="42" applyFont="1" applyFill="1" applyBorder="1" applyAlignment="1" applyProtection="1">
      <alignment horizontal="center" vertical="top" wrapText="1"/>
      <protection locked="0" hidden="1"/>
    </xf>
    <xf numFmtId="0" fontId="31" fillId="26" borderId="50" xfId="42" applyFont="1" applyFill="1" applyBorder="1" applyAlignment="1" applyProtection="1">
      <alignment horizontal="center" vertical="top" wrapText="1"/>
      <protection locked="0" hidden="1"/>
    </xf>
    <xf numFmtId="0" fontId="41" fillId="26" borderId="105" xfId="42" applyFont="1" applyFill="1" applyBorder="1" applyAlignment="1" applyProtection="1">
      <alignment horizontal="center" vertical="top"/>
      <protection locked="0" hidden="1"/>
    </xf>
    <xf numFmtId="0" fontId="31" fillId="26" borderId="93" xfId="42" applyFont="1" applyFill="1" applyBorder="1" applyAlignment="1" applyProtection="1">
      <alignment horizontal="center"/>
      <protection locked="0" hidden="1"/>
    </xf>
    <xf numFmtId="0" fontId="41" fillId="26" borderId="21" xfId="42" applyFont="1" applyFill="1" applyBorder="1" applyAlignment="1" applyProtection="1">
      <alignment horizontal="center"/>
      <protection locked="0" hidden="1"/>
    </xf>
    <xf numFmtId="49" fontId="41" fillId="26" borderId="80" xfId="42" applyNumberFormat="1" applyFont="1" applyFill="1" applyBorder="1" applyAlignment="1" applyProtection="1">
      <alignment horizontal="center"/>
      <protection locked="0" hidden="1"/>
    </xf>
    <xf numFmtId="0" fontId="31" fillId="26" borderId="80" xfId="42" applyFont="1" applyFill="1" applyBorder="1" applyAlignment="1" applyProtection="1">
      <alignment horizontal="center"/>
      <protection locked="0" hidden="1"/>
    </xf>
    <xf numFmtId="49" fontId="41" fillId="26" borderId="93" xfId="42" applyNumberFormat="1" applyFont="1" applyFill="1" applyBorder="1" applyAlignment="1" applyProtection="1">
      <alignment horizontal="center"/>
      <protection locked="0" hidden="1"/>
    </xf>
    <xf numFmtId="0" fontId="41" fillId="26" borderId="93" xfId="42" applyFont="1" applyFill="1" applyBorder="1" applyAlignment="1" applyProtection="1">
      <alignment horizontal="center"/>
      <protection locked="0" hidden="1"/>
    </xf>
    <xf numFmtId="0" fontId="31" fillId="26" borderId="124" xfId="42" applyFont="1" applyFill="1" applyBorder="1" applyAlignment="1" applyProtection="1">
      <alignment horizontal="center"/>
      <protection locked="0" hidden="1"/>
    </xf>
    <xf numFmtId="0" fontId="41" fillId="26" borderId="25" xfId="42" applyFont="1" applyFill="1" applyBorder="1" applyAlignment="1" applyProtection="1">
      <alignment horizontal="center"/>
      <protection locked="0" hidden="1"/>
    </xf>
    <xf numFmtId="49" fontId="41" fillId="26" borderId="124" xfId="42" applyNumberFormat="1" applyFont="1" applyFill="1" applyBorder="1" applyAlignment="1" applyProtection="1">
      <alignment horizontal="center"/>
      <protection locked="0" hidden="1"/>
    </xf>
    <xf numFmtId="0" fontId="41" fillId="26" borderId="49" xfId="42" applyFont="1" applyFill="1" applyBorder="1" applyAlignment="1" applyProtection="1">
      <alignment horizontal="center"/>
      <protection locked="0" hidden="1"/>
    </xf>
    <xf numFmtId="0" fontId="31" fillId="26" borderId="105" xfId="42" applyFont="1" applyFill="1" applyBorder="1" applyAlignment="1" applyProtection="1">
      <alignment horizontal="center"/>
      <protection locked="0" hidden="1"/>
    </xf>
    <xf numFmtId="0" fontId="41" fillId="26" borderId="0" xfId="42" applyFont="1" applyFill="1" applyAlignment="1" applyProtection="1">
      <alignment horizontal="right"/>
      <protection locked="0" hidden="1"/>
    </xf>
    <xf numFmtId="0" fontId="41" fillId="26" borderId="105" xfId="42" applyFont="1" applyFill="1" applyBorder="1" applyAlignment="1" applyProtection="1">
      <alignment horizontal="center"/>
      <protection locked="0" hidden="1"/>
    </xf>
    <xf numFmtId="0" fontId="41" fillId="26" borderId="0" xfId="42" applyFont="1" applyFill="1" applyAlignment="1" applyProtection="1">
      <alignment horizontal="center"/>
      <protection locked="0" hidden="1"/>
    </xf>
    <xf numFmtId="2" fontId="31" fillId="26" borderId="0" xfId="42" applyNumberFormat="1" applyFont="1" applyFill="1" applyAlignment="1" applyProtection="1">
      <alignment horizontal="center"/>
      <protection locked="0" hidden="1"/>
    </xf>
    <xf numFmtId="0" fontId="31" fillId="26" borderId="0" xfId="42" applyFont="1" applyFill="1" applyAlignment="1" applyProtection="1">
      <alignment horizontal="left"/>
      <protection locked="0" hidden="1"/>
    </xf>
    <xf numFmtId="0" fontId="120" fillId="26" borderId="0" xfId="42" applyFont="1" applyFill="1" applyProtection="1">
      <protection locked="0" hidden="1"/>
    </xf>
    <xf numFmtId="0" fontId="31" fillId="26" borderId="47" xfId="42" applyFont="1" applyFill="1" applyBorder="1" applyAlignment="1" applyProtection="1">
      <alignment horizontal="center"/>
      <protection locked="0" hidden="1"/>
    </xf>
    <xf numFmtId="0" fontId="41" fillId="26" borderId="43" xfId="42" applyFont="1" applyFill="1" applyBorder="1" applyAlignment="1" applyProtection="1">
      <alignment horizontal="left"/>
      <protection locked="0" hidden="1"/>
    </xf>
    <xf numFmtId="0" fontId="41" fillId="26" borderId="48" xfId="42" applyFont="1" applyFill="1" applyBorder="1" applyAlignment="1" applyProtection="1">
      <alignment horizontal="left"/>
      <protection locked="0" hidden="1"/>
    </xf>
    <xf numFmtId="0" fontId="31" fillId="26" borderId="18" xfId="42" applyFont="1" applyFill="1" applyBorder="1" applyAlignment="1" applyProtection="1">
      <alignment horizontal="center"/>
      <protection locked="0" hidden="1"/>
    </xf>
    <xf numFmtId="0" fontId="41" fillId="26" borderId="10" xfId="42" applyFont="1" applyFill="1" applyBorder="1" applyAlignment="1" applyProtection="1">
      <alignment horizontal="left"/>
      <protection locked="0" hidden="1"/>
    </xf>
    <xf numFmtId="0" fontId="41" fillId="26" borderId="19" xfId="42" applyFont="1" applyFill="1" applyBorder="1" applyAlignment="1" applyProtection="1">
      <alignment horizontal="left"/>
      <protection locked="0" hidden="1"/>
    </xf>
    <xf numFmtId="0" fontId="31" fillId="26" borderId="45" xfId="42" applyFont="1" applyFill="1" applyBorder="1" applyAlignment="1" applyProtection="1">
      <alignment horizontal="center"/>
      <protection locked="0" hidden="1"/>
    </xf>
    <xf numFmtId="0" fontId="31" fillId="26" borderId="60" xfId="42" applyFont="1" applyFill="1" applyBorder="1" applyProtection="1">
      <protection locked="0" hidden="1"/>
    </xf>
    <xf numFmtId="0" fontId="31" fillId="26" borderId="0" xfId="42" applyFont="1" applyFill="1" applyBorder="1" applyAlignment="1" applyProtection="1">
      <alignment vertical="top" wrapText="1"/>
      <protection locked="0" hidden="1"/>
    </xf>
    <xf numFmtId="0" fontId="31" fillId="26" borderId="0" xfId="42" applyFont="1" applyFill="1" applyBorder="1" applyProtection="1">
      <protection locked="0" hidden="1"/>
    </xf>
    <xf numFmtId="0" fontId="41" fillId="26" borderId="10" xfId="42" applyFont="1" applyFill="1" applyBorder="1" applyAlignment="1" applyProtection="1">
      <alignment horizontal="center"/>
      <protection locked="0" hidden="1"/>
    </xf>
    <xf numFmtId="0" fontId="31" fillId="26" borderId="32" xfId="42" applyFont="1" applyFill="1" applyBorder="1" applyProtection="1">
      <protection locked="0" hidden="1"/>
    </xf>
    <xf numFmtId="0" fontId="12" fillId="17" borderId="0" xfId="43" applyFont="1" applyFill="1" applyAlignment="1" applyProtection="1">
      <alignment vertical="top" wrapText="1"/>
      <protection hidden="1"/>
    </xf>
    <xf numFmtId="0" fontId="24" fillId="17" borderId="0" xfId="43" applyFont="1" applyFill="1" applyAlignment="1" applyProtection="1">
      <alignment vertical="top" wrapText="1"/>
      <protection hidden="1"/>
    </xf>
    <xf numFmtId="0" fontId="129" fillId="17" borderId="0" xfId="43" applyFont="1" applyFill="1" applyAlignment="1" applyProtection="1">
      <alignment vertical="top"/>
      <protection hidden="1"/>
    </xf>
    <xf numFmtId="0" fontId="12" fillId="26" borderId="0" xfId="43" applyFont="1" applyFill="1" applyAlignment="1" applyProtection="1">
      <alignment vertical="top" wrapText="1"/>
      <protection hidden="1"/>
    </xf>
    <xf numFmtId="0" fontId="130" fillId="26" borderId="0" xfId="42" applyFont="1" applyFill="1" applyAlignment="1" applyProtection="1">
      <alignment vertical="center"/>
      <protection hidden="1"/>
    </xf>
    <xf numFmtId="0" fontId="55" fillId="17" borderId="0" xfId="43" applyFont="1" applyFill="1" applyAlignment="1" applyProtection="1">
      <alignment vertical="top" wrapText="1"/>
      <protection hidden="1"/>
    </xf>
    <xf numFmtId="0" fontId="122" fillId="17" borderId="0" xfId="43" applyFont="1" applyFill="1" applyAlignment="1" applyProtection="1">
      <alignment vertical="center" wrapText="1"/>
      <protection hidden="1"/>
    </xf>
    <xf numFmtId="0" fontId="121" fillId="17" borderId="0" xfId="0" applyFont="1" applyFill="1" applyBorder="1" applyAlignment="1" applyProtection="1">
      <alignment horizontal="justify"/>
      <protection hidden="1"/>
    </xf>
    <xf numFmtId="0" fontId="121" fillId="17" borderId="0" xfId="0" applyFont="1" applyFill="1" applyBorder="1" applyAlignment="1" applyProtection="1">
      <alignment vertical="top" wrapText="1"/>
      <protection hidden="1"/>
    </xf>
    <xf numFmtId="0" fontId="134" fillId="17" borderId="0" xfId="0" applyFont="1" applyFill="1" applyBorder="1" applyAlignment="1" applyProtection="1">
      <alignment horizontal="justify"/>
      <protection hidden="1"/>
    </xf>
    <xf numFmtId="0" fontId="135" fillId="17" borderId="0" xfId="0" applyFont="1" applyFill="1" applyBorder="1" applyAlignment="1" applyProtection="1">
      <alignment vertical="top" wrapText="1"/>
      <protection hidden="1"/>
    </xf>
    <xf numFmtId="0" fontId="136" fillId="17" borderId="0" xfId="0" applyFont="1" applyFill="1" applyBorder="1" applyAlignment="1" applyProtection="1">
      <alignment vertical="top" wrapText="1"/>
      <protection hidden="1"/>
    </xf>
    <xf numFmtId="0" fontId="122" fillId="17" borderId="0" xfId="0" applyFont="1" applyFill="1" applyBorder="1" applyAlignment="1" applyProtection="1">
      <alignment vertical="top" wrapText="1"/>
      <protection hidden="1"/>
    </xf>
    <xf numFmtId="0" fontId="55" fillId="17" borderId="0" xfId="0" applyFont="1" applyFill="1" applyBorder="1" applyAlignment="1" applyProtection="1">
      <alignment vertical="top" wrapText="1"/>
      <protection hidden="1"/>
    </xf>
    <xf numFmtId="0" fontId="55" fillId="17" borderId="0" xfId="0" applyFont="1" applyFill="1" applyAlignment="1" applyProtection="1">
      <alignment vertical="top" wrapText="1"/>
      <protection hidden="1"/>
    </xf>
    <xf numFmtId="0" fontId="55" fillId="29" borderId="0" xfId="43" applyFont="1" applyFill="1" applyAlignment="1" applyProtection="1">
      <alignment vertical="top" wrapText="1"/>
      <protection hidden="1"/>
    </xf>
    <xf numFmtId="0" fontId="12" fillId="17" borderId="0" xfId="43" applyFill="1" applyAlignment="1" applyProtection="1">
      <alignment vertical="top" wrapText="1"/>
      <protection hidden="1"/>
    </xf>
    <xf numFmtId="0" fontId="133" fillId="17" borderId="0" xfId="43" applyFont="1" applyFill="1" applyAlignment="1" applyProtection="1">
      <alignment vertical="top" wrapText="1"/>
      <protection hidden="1"/>
    </xf>
    <xf numFmtId="0" fontId="14" fillId="17" borderId="0" xfId="43" quotePrefix="1" applyFont="1" applyFill="1" applyAlignment="1" applyProtection="1">
      <alignment horizontal="right" vertical="top" wrapText="1"/>
      <protection hidden="1"/>
    </xf>
    <xf numFmtId="0" fontId="12" fillId="17" borderId="0" xfId="43" applyFont="1" applyFill="1" applyAlignment="1" applyProtection="1">
      <alignment horizontal="justify" vertical="top" wrapText="1"/>
      <protection hidden="1"/>
    </xf>
    <xf numFmtId="0" fontId="14" fillId="17" borderId="0" xfId="43" applyFont="1" applyFill="1" applyAlignment="1" applyProtection="1">
      <alignment vertical="top" wrapText="1"/>
      <protection hidden="1"/>
    </xf>
    <xf numFmtId="0" fontId="15" fillId="17" borderId="0" xfId="43" applyFont="1" applyFill="1" applyAlignment="1" applyProtection="1">
      <alignment horizontal="justify" wrapText="1"/>
      <protection hidden="1"/>
    </xf>
    <xf numFmtId="0" fontId="112" fillId="17" borderId="0" xfId="43" applyFont="1" applyFill="1" applyAlignment="1" applyProtection="1">
      <alignment vertical="top" wrapText="1"/>
      <protection hidden="1"/>
    </xf>
    <xf numFmtId="0" fontId="134" fillId="17" borderId="33" xfId="0" applyFont="1" applyFill="1" applyBorder="1" applyAlignment="1" applyProtection="1">
      <alignment horizontal="justify" vertical="top" wrapText="1"/>
      <protection hidden="1"/>
    </xf>
    <xf numFmtId="0" fontId="61" fillId="17" borderId="34" xfId="0" applyFont="1" applyFill="1" applyBorder="1" applyAlignment="1" applyProtection="1">
      <alignment horizontal="justify" vertical="top" wrapText="1"/>
      <protection hidden="1"/>
    </xf>
    <xf numFmtId="0" fontId="110" fillId="17" borderId="0" xfId="43" applyFont="1" applyFill="1" applyAlignment="1" applyProtection="1">
      <alignment vertical="top" wrapText="1"/>
      <protection hidden="1"/>
    </xf>
    <xf numFmtId="0" fontId="134" fillId="17" borderId="35" xfId="0" applyFont="1" applyFill="1" applyBorder="1" applyAlignment="1" applyProtection="1">
      <alignment horizontal="justify" vertical="top" wrapText="1"/>
      <protection hidden="1"/>
    </xf>
    <xf numFmtId="0" fontId="16" fillId="17" borderId="0" xfId="43" applyFont="1" applyFill="1" applyAlignment="1" applyProtection="1">
      <alignment horizontal="justify" vertical="top" wrapText="1"/>
      <protection hidden="1"/>
    </xf>
    <xf numFmtId="0" fontId="15" fillId="17" borderId="0" xfId="43" applyFont="1" applyFill="1" applyAlignment="1" applyProtection="1">
      <alignment vertical="top" wrapText="1"/>
      <protection hidden="1"/>
    </xf>
    <xf numFmtId="0" fontId="15" fillId="17" borderId="0" xfId="43" applyFont="1" applyFill="1" applyAlignment="1" applyProtection="1">
      <alignment horizontal="justify" vertical="top" wrapText="1"/>
      <protection hidden="1"/>
    </xf>
    <xf numFmtId="0" fontId="12" fillId="17" borderId="0" xfId="43" applyFont="1" applyFill="1" applyAlignment="1" applyProtection="1">
      <alignment horizontal="justify"/>
      <protection hidden="1"/>
    </xf>
    <xf numFmtId="0" fontId="13" fillId="17" borderId="0" xfId="35" applyFill="1" applyBorder="1" applyAlignment="1" applyProtection="1">
      <alignment horizontal="justify"/>
      <protection hidden="1"/>
    </xf>
    <xf numFmtId="0" fontId="90" fillId="17" borderId="0" xfId="0" applyFont="1" applyFill="1" applyAlignment="1" applyProtection="1">
      <alignment horizontal="justify" vertical="top" wrapText="1"/>
      <protection hidden="1"/>
    </xf>
    <xf numFmtId="0" fontId="17" fillId="17" borderId="0" xfId="43" applyFont="1" applyFill="1" applyAlignment="1" applyProtection="1">
      <alignment horizontal="justify" vertical="top" wrapText="1"/>
      <protection hidden="1"/>
    </xf>
    <xf numFmtId="0" fontId="131" fillId="17" borderId="0" xfId="43" applyFont="1" applyFill="1" applyBorder="1" applyAlignment="1" applyProtection="1">
      <alignment vertical="top" wrapText="1"/>
      <protection hidden="1"/>
    </xf>
    <xf numFmtId="0" fontId="15" fillId="17" borderId="0" xfId="43" applyFont="1" applyFill="1" applyBorder="1" applyAlignment="1" applyProtection="1">
      <alignment horizontal="justify" vertical="top" wrapText="1"/>
      <protection hidden="1"/>
    </xf>
    <xf numFmtId="0" fontId="16" fillId="17" borderId="0" xfId="43" applyFont="1" applyFill="1" applyBorder="1" applyAlignment="1" applyProtection="1">
      <alignment horizontal="justify" vertical="top" wrapText="1"/>
      <protection hidden="1"/>
    </xf>
    <xf numFmtId="0" fontId="16" fillId="17" borderId="0" xfId="43" applyFont="1" applyFill="1" applyAlignment="1" applyProtection="1">
      <alignment vertical="top" wrapText="1"/>
      <protection hidden="1"/>
    </xf>
    <xf numFmtId="0" fontId="12" fillId="17" borderId="0" xfId="43" applyFont="1" applyFill="1" applyBorder="1" applyAlignment="1" applyProtection="1">
      <alignment horizontal="justify" vertical="top" wrapText="1"/>
      <protection hidden="1"/>
    </xf>
    <xf numFmtId="0" fontId="124" fillId="17" borderId="0" xfId="43" applyFont="1" applyFill="1" applyBorder="1" applyAlignment="1" applyProtection="1">
      <alignment horizontal="justify"/>
      <protection hidden="1"/>
    </xf>
    <xf numFmtId="0" fontId="90" fillId="17" borderId="0" xfId="43" applyFont="1" applyFill="1" applyBorder="1" applyAlignment="1" applyProtection="1">
      <alignment horizontal="justify"/>
      <protection hidden="1"/>
    </xf>
    <xf numFmtId="0" fontId="12" fillId="17" borderId="0" xfId="43" applyFont="1" applyFill="1" applyBorder="1" applyAlignment="1" applyProtection="1">
      <alignment horizontal="justify"/>
      <protection hidden="1"/>
    </xf>
    <xf numFmtId="0" fontId="132" fillId="17" borderId="0" xfId="43" applyFont="1" applyFill="1" applyAlignment="1" applyProtection="1">
      <alignment horizontal="justify" vertical="top" wrapText="1"/>
      <protection hidden="1"/>
    </xf>
    <xf numFmtId="0" fontId="17" fillId="17" borderId="0" xfId="0" applyFont="1" applyFill="1" applyAlignment="1" applyProtection="1">
      <alignment horizontal="justify" vertical="top" wrapText="1"/>
      <protection hidden="1"/>
    </xf>
    <xf numFmtId="0" fontId="12" fillId="17" borderId="0" xfId="0" applyFont="1" applyFill="1" applyAlignment="1" applyProtection="1">
      <alignment horizontal="justify"/>
      <protection hidden="1"/>
    </xf>
    <xf numFmtId="0" fontId="124" fillId="17" borderId="0" xfId="43" applyFont="1" applyFill="1" applyAlignment="1" applyProtection="1">
      <alignment horizontal="justify"/>
      <protection hidden="1"/>
    </xf>
    <xf numFmtId="0" fontId="17" fillId="17" borderId="0" xfId="42" applyFont="1" applyFill="1" applyProtection="1">
      <protection hidden="1"/>
    </xf>
    <xf numFmtId="0" fontId="12" fillId="17" borderId="0" xfId="42" applyFill="1" applyProtection="1">
      <protection hidden="1"/>
    </xf>
    <xf numFmtId="0" fontId="123" fillId="17" borderId="0" xfId="42" applyFont="1" applyFill="1" applyProtection="1">
      <protection hidden="1"/>
    </xf>
    <xf numFmtId="0" fontId="18" fillId="17" borderId="0" xfId="42" applyFont="1" applyFill="1" applyBorder="1" applyAlignment="1" applyProtection="1">
      <alignment horizontal="justify" wrapText="1"/>
      <protection hidden="1"/>
    </xf>
    <xf numFmtId="0" fontId="124" fillId="17" borderId="0" xfId="42" applyFont="1" applyFill="1" applyBorder="1" applyProtection="1">
      <protection hidden="1"/>
    </xf>
    <xf numFmtId="0" fontId="18" fillId="17" borderId="0" xfId="42" applyFont="1" applyFill="1" applyBorder="1" applyAlignment="1" applyProtection="1">
      <alignment horizontal="justify" vertical="center" wrapText="1"/>
      <protection hidden="1"/>
    </xf>
    <xf numFmtId="0" fontId="125" fillId="17" borderId="0" xfId="42" applyFont="1" applyFill="1" applyProtection="1">
      <protection hidden="1"/>
    </xf>
    <xf numFmtId="0" fontId="126" fillId="17" borderId="0" xfId="42" applyFont="1" applyFill="1" applyAlignment="1" applyProtection="1">
      <alignment horizontal="left" vertical="center"/>
      <protection hidden="1"/>
    </xf>
    <xf numFmtId="0" fontId="12" fillId="17" borderId="0" xfId="42" applyFont="1" applyFill="1" applyProtection="1">
      <protection hidden="1"/>
    </xf>
    <xf numFmtId="0" fontId="127" fillId="17" borderId="0" xfId="42" applyFont="1" applyFill="1" applyProtection="1">
      <protection hidden="1"/>
    </xf>
    <xf numFmtId="0" fontId="128" fillId="17" borderId="0" xfId="42" applyFont="1" applyFill="1" applyProtection="1">
      <protection hidden="1"/>
    </xf>
    <xf numFmtId="0" fontId="157" fillId="17" borderId="34" xfId="0" applyFont="1" applyFill="1" applyBorder="1" applyAlignment="1" applyProtection="1">
      <alignment horizontal="center" vertical="center"/>
      <protection hidden="1"/>
    </xf>
    <xf numFmtId="0" fontId="157" fillId="17" borderId="0" xfId="0" applyFont="1" applyFill="1" applyBorder="1" applyAlignment="1" applyProtection="1">
      <alignment horizontal="center" vertical="center"/>
      <protection hidden="1"/>
    </xf>
    <xf numFmtId="0" fontId="149" fillId="24" borderId="108" xfId="40" applyFont="1" applyFill="1" applyBorder="1" applyAlignment="1" applyProtection="1">
      <alignment horizontal="left" vertical="top" wrapText="1"/>
      <protection hidden="1"/>
    </xf>
    <xf numFmtId="0" fontId="156" fillId="17" borderId="21" xfId="0" applyFont="1" applyFill="1" applyBorder="1" applyAlignment="1" applyProtection="1">
      <alignment horizontal="center" vertical="center"/>
      <protection hidden="1"/>
    </xf>
    <xf numFmtId="0" fontId="31" fillId="26" borderId="0" xfId="40" applyFont="1" applyFill="1" applyAlignment="1" applyProtection="1">
      <alignment horizontal="left" vertical="top"/>
      <protection locked="0" hidden="1"/>
    </xf>
    <xf numFmtId="0" fontId="42" fillId="26" borderId="0" xfId="40" applyFont="1" applyFill="1" applyAlignment="1" applyProtection="1">
      <alignment horizontal="left" vertical="top" wrapText="1"/>
      <protection locked="0" hidden="1"/>
    </xf>
    <xf numFmtId="9" fontId="31" fillId="26" borderId="0" xfId="0" applyNumberFormat="1" applyFont="1" applyFill="1" applyBorder="1" applyAlignment="1">
      <alignment vertical="center"/>
    </xf>
    <xf numFmtId="1" fontId="29" fillId="24" borderId="53" xfId="41" applyNumberFormat="1" applyFont="1" applyFill="1" applyBorder="1" applyAlignment="1" applyProtection="1">
      <alignment horizontal="center" vertical="center"/>
      <protection hidden="1"/>
    </xf>
    <xf numFmtId="0" fontId="47" fillId="26" borderId="0" xfId="0" applyFont="1" applyFill="1" applyBorder="1" applyProtection="1">
      <protection locked="0" hidden="1"/>
    </xf>
    <xf numFmtId="2" fontId="47" fillId="26" borderId="0" xfId="0" applyNumberFormat="1" applyFont="1" applyFill="1" applyBorder="1" applyAlignment="1" applyProtection="1">
      <alignment horizontal="left"/>
      <protection locked="0" hidden="1"/>
    </xf>
    <xf numFmtId="0" fontId="47" fillId="26" borderId="0" xfId="0" applyFont="1" applyFill="1" applyBorder="1" applyAlignment="1" applyProtection="1">
      <alignment vertical="center"/>
      <protection locked="0" hidden="1"/>
    </xf>
    <xf numFmtId="0" fontId="47" fillId="26" borderId="0" xfId="0" applyFont="1" applyFill="1" applyBorder="1" applyProtection="1">
      <protection hidden="1"/>
    </xf>
    <xf numFmtId="0" fontId="102" fillId="26" borderId="0" xfId="39" applyFont="1" applyFill="1" applyBorder="1" applyProtection="1">
      <protection hidden="1"/>
    </xf>
    <xf numFmtId="0" fontId="47" fillId="26" borderId="0" xfId="0" applyFont="1" applyFill="1" applyBorder="1" applyAlignment="1" applyProtection="1">
      <alignment horizontal="center"/>
      <protection hidden="1"/>
    </xf>
    <xf numFmtId="0" fontId="102" fillId="26" borderId="0" xfId="0" applyFont="1" applyFill="1" applyAlignment="1" applyProtection="1">
      <alignment horizontal="center"/>
      <protection hidden="1"/>
    </xf>
    <xf numFmtId="0" fontId="47" fillId="26" borderId="0" xfId="0" applyFont="1" applyFill="1" applyAlignment="1" applyProtection="1">
      <alignment horizontal="center"/>
      <protection hidden="1"/>
    </xf>
    <xf numFmtId="0" fontId="102" fillId="26" borderId="0" xfId="39" applyFont="1" applyFill="1" applyAlignment="1" applyProtection="1">
      <alignment horizontal="center"/>
      <protection hidden="1"/>
    </xf>
    <xf numFmtId="0" fontId="47" fillId="26" borderId="0" xfId="0" applyFont="1" applyFill="1" applyBorder="1" applyAlignment="1" applyProtection="1">
      <alignment horizontal="left"/>
      <protection hidden="1"/>
    </xf>
    <xf numFmtId="0" fontId="12" fillId="26" borderId="0" xfId="0" applyFont="1" applyFill="1" applyAlignment="1" applyProtection="1">
      <protection hidden="1"/>
    </xf>
    <xf numFmtId="0" fontId="12" fillId="26" borderId="0" xfId="39" applyFill="1" applyAlignment="1" applyProtection="1">
      <protection hidden="1"/>
    </xf>
    <xf numFmtId="0" fontId="31" fillId="30" borderId="0" xfId="0" applyFont="1" applyFill="1" applyAlignment="1" applyProtection="1">
      <protection hidden="1"/>
    </xf>
    <xf numFmtId="0" fontId="12" fillId="17" borderId="0" xfId="43" applyFont="1" applyFill="1" applyAlignment="1" applyProtection="1">
      <alignment vertical="top"/>
      <protection hidden="1"/>
    </xf>
    <xf numFmtId="2" fontId="12" fillId="24" borderId="19" xfId="42" applyNumberFormat="1" applyFont="1" applyFill="1" applyBorder="1" applyAlignment="1" applyProtection="1">
      <alignment horizontal="center" vertical="top" wrapText="1"/>
      <protection hidden="1"/>
    </xf>
    <xf numFmtId="2" fontId="12" fillId="24" borderId="22" xfId="42" applyNumberFormat="1" applyFont="1" applyFill="1" applyBorder="1" applyAlignment="1" applyProtection="1">
      <alignment horizontal="center" vertical="top" wrapText="1"/>
      <protection hidden="1"/>
    </xf>
    <xf numFmtId="0" fontId="18" fillId="17" borderId="41" xfId="0" applyFont="1" applyFill="1" applyBorder="1" applyAlignment="1" applyProtection="1">
      <alignment horizontal="center" vertical="center" wrapText="1"/>
      <protection hidden="1"/>
    </xf>
    <xf numFmtId="0" fontId="16" fillId="17" borderId="93" xfId="0" applyFont="1" applyFill="1" applyBorder="1" applyAlignment="1" applyProtection="1">
      <alignment horizontal="left" vertical="top" wrapText="1"/>
      <protection hidden="1"/>
    </xf>
    <xf numFmtId="0" fontId="66" fillId="17" borderId="18" xfId="42" applyFont="1" applyFill="1" applyBorder="1" applyAlignment="1" applyProtection="1">
      <alignment horizontal="center" vertical="center"/>
      <protection locked="0"/>
    </xf>
    <xf numFmtId="0" fontId="66" fillId="17" borderId="19" xfId="42" applyFont="1" applyFill="1" applyBorder="1" applyAlignment="1" applyProtection="1">
      <alignment horizontal="center" vertical="center"/>
      <protection locked="0"/>
    </xf>
    <xf numFmtId="0" fontId="66" fillId="17" borderId="45" xfId="42" applyFont="1" applyFill="1" applyBorder="1" applyAlignment="1" applyProtection="1">
      <alignment horizontal="center" vertical="center"/>
      <protection locked="0"/>
    </xf>
    <xf numFmtId="0" fontId="66" fillId="17" borderId="22" xfId="42" applyFont="1" applyFill="1" applyBorder="1" applyAlignment="1" applyProtection="1">
      <alignment horizontal="center" vertical="center"/>
      <protection locked="0"/>
    </xf>
    <xf numFmtId="0" fontId="66" fillId="17" borderId="64" xfId="42" applyFont="1" applyFill="1" applyBorder="1" applyAlignment="1" applyProtection="1">
      <alignment horizontal="center" vertical="center"/>
      <protection locked="0"/>
    </xf>
    <xf numFmtId="0" fontId="66" fillId="17" borderId="73" xfId="42" applyFont="1" applyFill="1" applyBorder="1" applyAlignment="1" applyProtection="1">
      <alignment horizontal="center" vertical="center"/>
      <protection locked="0"/>
    </xf>
    <xf numFmtId="0" fontId="28" fillId="17" borderId="0" xfId="42" applyFont="1" applyFill="1" applyProtection="1">
      <protection hidden="1"/>
    </xf>
    <xf numFmtId="0" fontId="31" fillId="26" borderId="0" xfId="39" applyFont="1" applyFill="1" applyAlignment="1" applyProtection="1">
      <alignment horizontal="center"/>
      <protection hidden="1"/>
    </xf>
    <xf numFmtId="0" fontId="19" fillId="0" borderId="113" xfId="40" applyNumberFormat="1" applyFont="1" applyFill="1" applyBorder="1" applyAlignment="1" applyProtection="1">
      <alignment horizontal="left" vertical="top" wrapText="1"/>
      <protection locked="0"/>
    </xf>
    <xf numFmtId="0" fontId="19" fillId="0" borderId="19" xfId="40" applyNumberFormat="1" applyFont="1" applyFill="1" applyBorder="1" applyAlignment="1" applyProtection="1">
      <alignment horizontal="left" vertical="top" wrapText="1"/>
      <protection locked="0"/>
    </xf>
    <xf numFmtId="0" fontId="19" fillId="17" borderId="48" xfId="40" applyNumberFormat="1" applyFont="1" applyFill="1" applyBorder="1" applyAlignment="1" applyProtection="1">
      <alignment horizontal="left" vertical="top" wrapText="1"/>
      <protection locked="0"/>
    </xf>
    <xf numFmtId="0" fontId="19" fillId="0" borderId="48" xfId="40" applyNumberFormat="1" applyFont="1" applyFill="1" applyBorder="1" applyAlignment="1" applyProtection="1">
      <alignment horizontal="left" vertical="top" wrapText="1"/>
      <protection locked="0"/>
    </xf>
    <xf numFmtId="0" fontId="66" fillId="17" borderId="14" xfId="40" applyNumberFormat="1" applyFont="1" applyFill="1" applyBorder="1" applyAlignment="1" applyProtection="1">
      <alignment horizontal="left" vertical="top" wrapText="1"/>
      <protection locked="0"/>
    </xf>
    <xf numFmtId="0" fontId="32" fillId="17" borderId="10" xfId="40" applyNumberFormat="1" applyFont="1" applyFill="1" applyBorder="1" applyAlignment="1" applyProtection="1">
      <alignment horizontal="left" vertical="top" wrapText="1"/>
      <protection locked="0"/>
    </xf>
    <xf numFmtId="0" fontId="32" fillId="0" borderId="19" xfId="40" applyNumberFormat="1" applyFont="1" applyFill="1" applyBorder="1" applyAlignment="1" applyProtection="1">
      <alignment horizontal="left" vertical="top" wrapText="1"/>
      <protection locked="0"/>
    </xf>
    <xf numFmtId="0" fontId="12" fillId="24" borderId="10" xfId="0" applyFont="1" applyFill="1" applyBorder="1" applyAlignment="1" applyProtection="1">
      <alignment horizontal="left" vertical="top" wrapText="1"/>
      <protection hidden="1"/>
    </xf>
    <xf numFmtId="0" fontId="18" fillId="17" borderId="37" xfId="0" applyFont="1" applyFill="1" applyBorder="1" applyAlignment="1" applyProtection="1">
      <alignment horizontal="center" vertical="center" wrapText="1"/>
      <protection hidden="1"/>
    </xf>
    <xf numFmtId="0" fontId="66" fillId="17" borderId="113" xfId="40" applyNumberFormat="1" applyFont="1" applyFill="1" applyBorder="1" applyAlignment="1" applyProtection="1">
      <alignment horizontal="left" vertical="top" wrapText="1"/>
      <protection locked="0"/>
    </xf>
    <xf numFmtId="0" fontId="12" fillId="33" borderId="10" xfId="0" applyFont="1" applyFill="1" applyBorder="1" applyAlignment="1" applyProtection="1">
      <alignment horizontal="left" vertical="top" wrapText="1"/>
      <protection hidden="1"/>
    </xf>
    <xf numFmtId="0" fontId="18" fillId="17" borderId="64" xfId="52" applyFont="1" applyFill="1" applyBorder="1" applyAlignment="1" applyProtection="1">
      <alignment horizontal="center" vertical="center" wrapText="1"/>
      <protection hidden="1"/>
    </xf>
    <xf numFmtId="0" fontId="18" fillId="17" borderId="10" xfId="52" applyFont="1" applyFill="1" applyBorder="1" applyAlignment="1" applyProtection="1">
      <alignment horizontal="center" vertical="center" wrapText="1"/>
      <protection hidden="1"/>
    </xf>
    <xf numFmtId="0" fontId="12" fillId="0" borderId="10" xfId="0" applyFont="1" applyFill="1" applyBorder="1" applyAlignment="1" applyProtection="1">
      <alignment horizontal="left" vertical="top" wrapText="1"/>
      <protection hidden="1"/>
    </xf>
    <xf numFmtId="0" fontId="18" fillId="0" borderId="10" xfId="0" applyFont="1" applyFill="1" applyBorder="1" applyAlignment="1" applyProtection="1">
      <alignment horizontal="center" vertical="center" wrapText="1"/>
      <protection hidden="1"/>
    </xf>
    <xf numFmtId="0" fontId="12" fillId="0" borderId="10" xfId="40" applyFont="1" applyFill="1" applyBorder="1" applyAlignment="1" applyProtection="1">
      <alignment vertical="top" wrapText="1"/>
      <protection hidden="1"/>
    </xf>
    <xf numFmtId="0" fontId="163" fillId="26" borderId="0" xfId="0" applyFont="1" applyFill="1" applyProtection="1">
      <protection hidden="1"/>
    </xf>
    <xf numFmtId="0" fontId="11" fillId="26" borderId="0" xfId="0" applyFont="1" applyFill="1" applyProtection="1">
      <protection hidden="1"/>
    </xf>
    <xf numFmtId="0" fontId="163" fillId="26" borderId="0" xfId="0" applyFont="1" applyFill="1" applyAlignment="1" applyProtection="1">
      <alignment horizontal="center"/>
      <protection hidden="1"/>
    </xf>
    <xf numFmtId="0" fontId="165" fillId="26" borderId="0" xfId="0" applyFont="1" applyFill="1" applyProtection="1">
      <protection hidden="1"/>
    </xf>
    <xf numFmtId="9" fontId="163" fillId="26" borderId="0" xfId="48" applyFont="1" applyFill="1" applyAlignment="1" applyProtection="1">
      <alignment horizontal="center"/>
      <protection hidden="1"/>
    </xf>
    <xf numFmtId="0" fontId="166" fillId="26" borderId="0" xfId="39" applyFont="1" applyFill="1" applyProtection="1">
      <protection hidden="1"/>
    </xf>
    <xf numFmtId="0" fontId="167" fillId="26" borderId="0" xfId="39" applyFont="1" applyFill="1" applyProtection="1">
      <protection hidden="1"/>
    </xf>
    <xf numFmtId="0" fontId="62" fillId="26" borderId="0" xfId="39" applyFont="1" applyFill="1" applyProtection="1">
      <protection hidden="1"/>
    </xf>
    <xf numFmtId="0" fontId="168" fillId="26" borderId="0" xfId="39" applyFont="1" applyFill="1" applyProtection="1">
      <protection hidden="1"/>
    </xf>
    <xf numFmtId="0" fontId="169" fillId="26" borderId="0" xfId="39" applyFont="1" applyFill="1" applyProtection="1">
      <protection hidden="1"/>
    </xf>
    <xf numFmtId="0" fontId="167" fillId="26" borderId="0" xfId="39" applyFont="1" applyFill="1" applyBorder="1" applyProtection="1">
      <protection hidden="1"/>
    </xf>
    <xf numFmtId="0" fontId="170" fillId="26" borderId="0" xfId="45" applyFont="1" applyFill="1" applyBorder="1" applyAlignment="1" applyProtection="1">
      <alignment vertical="top"/>
    </xf>
    <xf numFmtId="9" fontId="166" fillId="26" borderId="0" xfId="39" applyNumberFormat="1" applyFont="1" applyFill="1" applyProtection="1">
      <protection hidden="1"/>
    </xf>
    <xf numFmtId="0" fontId="31" fillId="26" borderId="0" xfId="39" applyFont="1" applyFill="1" applyAlignment="1" applyProtection="1">
      <alignment horizontal="left"/>
      <protection hidden="1"/>
    </xf>
    <xf numFmtId="0" fontId="163" fillId="26" borderId="0" xfId="0" applyFont="1" applyFill="1" applyAlignment="1" applyProtection="1">
      <alignment horizontal="left"/>
      <protection hidden="1"/>
    </xf>
    <xf numFmtId="0" fontId="166" fillId="26" borderId="0" xfId="39" applyNumberFormat="1" applyFont="1" applyFill="1" applyProtection="1">
      <protection hidden="1"/>
    </xf>
    <xf numFmtId="0" fontId="166" fillId="26" borderId="0" xfId="39" applyFont="1" applyFill="1" applyAlignment="1" applyProtection="1">
      <alignment horizontal="right"/>
      <protection hidden="1"/>
    </xf>
    <xf numFmtId="165" fontId="166" fillId="26" borderId="0" xfId="39" applyNumberFormat="1" applyFont="1" applyFill="1" applyProtection="1">
      <protection hidden="1"/>
    </xf>
    <xf numFmtId="3" fontId="166" fillId="26" borderId="0" xfId="39" applyNumberFormat="1" applyFont="1" applyFill="1" applyProtection="1">
      <protection hidden="1"/>
    </xf>
    <xf numFmtId="3" fontId="166" fillId="26" borderId="62" xfId="39" applyNumberFormat="1" applyFont="1" applyFill="1" applyBorder="1" applyProtection="1">
      <protection hidden="1"/>
    </xf>
    <xf numFmtId="9" fontId="166" fillId="26" borderId="0" xfId="39" applyNumberFormat="1" applyFont="1" applyFill="1" applyAlignment="1" applyProtection="1">
      <alignment horizontal="right"/>
      <protection hidden="1"/>
    </xf>
    <xf numFmtId="168" fontId="166" fillId="26" borderId="0" xfId="28" applyNumberFormat="1" applyFont="1" applyFill="1" applyProtection="1">
      <protection hidden="1"/>
    </xf>
    <xf numFmtId="0" fontId="18" fillId="17" borderId="71" xfId="0" applyFont="1" applyFill="1" applyBorder="1" applyAlignment="1" applyProtection="1">
      <alignment horizontal="center" vertical="center" wrapText="1"/>
      <protection hidden="1"/>
    </xf>
    <xf numFmtId="0" fontId="167" fillId="26" borderId="0" xfId="39" applyFont="1" applyFill="1" applyAlignment="1" applyProtection="1">
      <alignment horizontal="center" wrapText="1"/>
      <protection hidden="1"/>
    </xf>
    <xf numFmtId="0" fontId="166" fillId="26" borderId="0" xfId="39" applyFont="1" applyFill="1" applyAlignment="1" applyProtection="1">
      <alignment horizontal="center"/>
      <protection hidden="1"/>
    </xf>
    <xf numFmtId="166" fontId="166" fillId="26" borderId="0" xfId="39" applyNumberFormat="1" applyFont="1" applyFill="1" applyProtection="1">
      <protection hidden="1"/>
    </xf>
    <xf numFmtId="0" fontId="20" fillId="17" borderId="138" xfId="40" applyFont="1" applyFill="1" applyBorder="1" applyAlignment="1" applyProtection="1">
      <alignment vertical="top" wrapText="1"/>
      <protection hidden="1"/>
    </xf>
    <xf numFmtId="0" fontId="20" fillId="17" borderId="140" xfId="40" applyFont="1" applyFill="1" applyBorder="1" applyAlignment="1" applyProtection="1">
      <alignment vertical="top" wrapText="1"/>
      <protection hidden="1"/>
    </xf>
    <xf numFmtId="0" fontId="19" fillId="17" borderId="141" xfId="40" applyFont="1" applyFill="1" applyBorder="1" applyAlignment="1" applyProtection="1">
      <alignment vertical="top" wrapText="1"/>
      <protection hidden="1"/>
    </xf>
    <xf numFmtId="0" fontId="55" fillId="17" borderId="137" xfId="0" applyFont="1" applyFill="1" applyBorder="1" applyAlignment="1" applyProtection="1">
      <alignment vertical="top" wrapText="1"/>
      <protection hidden="1"/>
    </xf>
    <xf numFmtId="0" fontId="16" fillId="17" borderId="136" xfId="40" applyFont="1" applyFill="1" applyBorder="1" applyAlignment="1" applyProtection="1">
      <alignment vertical="top" wrapText="1"/>
      <protection hidden="1"/>
    </xf>
    <xf numFmtId="0" fontId="55" fillId="17" borderId="134" xfId="0" applyFont="1" applyFill="1" applyBorder="1" applyAlignment="1" applyProtection="1">
      <alignment vertical="top" wrapText="1"/>
      <protection hidden="1"/>
    </xf>
    <xf numFmtId="0" fontId="16" fillId="17" borderId="135" xfId="40" applyFont="1" applyFill="1" applyBorder="1" applyAlignment="1" applyProtection="1">
      <alignment vertical="top" wrapText="1"/>
      <protection hidden="1"/>
    </xf>
    <xf numFmtId="0" fontId="12" fillId="24" borderId="10" xfId="0" applyFont="1" applyFill="1" applyBorder="1" applyAlignment="1" applyProtection="1">
      <alignment vertical="top" wrapText="1"/>
      <protection hidden="1"/>
    </xf>
    <xf numFmtId="0" fontId="150" fillId="26" borderId="0" xfId="40" applyFont="1" applyFill="1" applyBorder="1" applyAlignment="1" applyProtection="1">
      <alignment vertical="center" wrapText="1"/>
      <protection hidden="1"/>
    </xf>
    <xf numFmtId="0" fontId="31" fillId="26" borderId="0" xfId="40" applyFont="1" applyFill="1" applyBorder="1" applyAlignment="1" applyProtection="1">
      <alignment horizontal="left" vertical="top" wrapText="1"/>
      <protection hidden="1"/>
    </xf>
    <xf numFmtId="0" fontId="31" fillId="26" borderId="0" xfId="40" applyFont="1" applyFill="1" applyBorder="1" applyAlignment="1" applyProtection="1">
      <alignment horizontal="center" vertical="top" wrapText="1"/>
      <protection hidden="1"/>
    </xf>
    <xf numFmtId="0" fontId="12" fillId="17" borderId="43" xfId="52" applyFont="1" applyFill="1" applyBorder="1" applyAlignment="1" applyProtection="1">
      <alignment vertical="top" wrapText="1"/>
      <protection hidden="1"/>
    </xf>
    <xf numFmtId="0" fontId="16" fillId="17" borderId="41" xfId="40" applyFont="1" applyFill="1" applyBorder="1" applyAlignment="1" applyProtection="1">
      <alignment vertical="top" wrapText="1"/>
      <protection hidden="1"/>
    </xf>
    <xf numFmtId="0" fontId="16" fillId="17" borderId="80" xfId="40" applyFont="1" applyFill="1" applyBorder="1" applyAlignment="1" applyProtection="1">
      <alignment vertical="top" wrapText="1"/>
      <protection hidden="1"/>
    </xf>
    <xf numFmtId="0" fontId="12" fillId="17" borderId="81" xfId="52" applyFont="1" applyFill="1" applyBorder="1" applyAlignment="1" applyProtection="1">
      <alignment vertical="top" wrapText="1"/>
      <protection hidden="1"/>
    </xf>
    <xf numFmtId="0" fontId="12" fillId="17" borderId="10" xfId="40" applyFont="1" applyFill="1" applyBorder="1" applyAlignment="1" applyProtection="1">
      <alignment horizontal="center" vertical="center" wrapText="1"/>
      <protection hidden="1"/>
    </xf>
    <xf numFmtId="0" fontId="41" fillId="26" borderId="0" xfId="40" applyFont="1" applyFill="1" applyBorder="1" applyAlignment="1" applyProtection="1">
      <alignment horizontal="left" vertical="top" wrapText="1"/>
      <protection hidden="1"/>
    </xf>
    <xf numFmtId="0" fontId="41" fillId="26" borderId="0" xfId="40" applyFont="1" applyFill="1" applyBorder="1" applyAlignment="1" applyProtection="1">
      <alignment horizontal="left" vertical="center" wrapText="1"/>
      <protection hidden="1"/>
    </xf>
    <xf numFmtId="0" fontId="66" fillId="17" borderId="48" xfId="40" applyNumberFormat="1" applyFont="1" applyFill="1" applyBorder="1" applyAlignment="1" applyProtection="1">
      <alignment horizontal="left" vertical="top" wrapText="1"/>
      <protection locked="0"/>
    </xf>
    <xf numFmtId="0" fontId="16" fillId="0" borderId="10" xfId="40" applyFont="1" applyFill="1" applyBorder="1" applyAlignment="1" applyProtection="1">
      <alignment vertical="top" wrapText="1"/>
      <protection hidden="1"/>
    </xf>
    <xf numFmtId="0" fontId="150" fillId="26" borderId="20" xfId="40" applyFont="1" applyFill="1" applyBorder="1" applyAlignment="1" applyProtection="1">
      <alignment horizontal="left" vertical="center" wrapText="1"/>
      <protection hidden="1"/>
    </xf>
    <xf numFmtId="0" fontId="12" fillId="17" borderId="43" xfId="0" applyFont="1" applyFill="1" applyBorder="1" applyAlignment="1" applyProtection="1">
      <alignment vertical="top" wrapText="1"/>
      <protection hidden="1"/>
    </xf>
    <xf numFmtId="0" fontId="12" fillId="17" borderId="94" xfId="0" applyFont="1" applyFill="1" applyBorder="1" applyAlignment="1" applyProtection="1">
      <alignment vertical="top" wrapText="1"/>
      <protection hidden="1"/>
    </xf>
    <xf numFmtId="0" fontId="31" fillId="26" borderId="0" xfId="40" applyFont="1" applyFill="1" applyBorder="1" applyAlignment="1" applyProtection="1">
      <alignment horizontal="left" vertical="top" wrapText="1"/>
      <protection hidden="1"/>
    </xf>
    <xf numFmtId="0" fontId="20" fillId="17" borderId="47" xfId="40" applyFont="1" applyFill="1" applyBorder="1" applyAlignment="1" applyProtection="1">
      <alignment vertical="top" wrapText="1"/>
      <protection hidden="1"/>
    </xf>
    <xf numFmtId="0" fontId="12" fillId="17" borderId="10" xfId="0" applyFont="1" applyFill="1" applyBorder="1" applyAlignment="1" applyProtection="1">
      <alignment vertical="top" wrapText="1"/>
      <protection hidden="1"/>
    </xf>
    <xf numFmtId="0" fontId="20" fillId="35" borderId="45" xfId="40" applyFont="1" applyFill="1" applyBorder="1" applyAlignment="1" applyProtection="1">
      <alignment vertical="top" wrapText="1"/>
      <protection hidden="1"/>
    </xf>
    <xf numFmtId="0" fontId="12" fillId="35" borderId="46" xfId="0" applyFont="1" applyFill="1" applyBorder="1" applyAlignment="1" applyProtection="1">
      <alignment vertical="top" wrapText="1"/>
      <protection hidden="1"/>
    </xf>
    <xf numFmtId="0" fontId="12" fillId="17" borderId="10" xfId="0" applyFont="1" applyFill="1" applyBorder="1" applyAlignment="1" applyProtection="1">
      <alignment horizontal="center" vertical="center" wrapText="1"/>
      <protection hidden="1"/>
    </xf>
    <xf numFmtId="0" fontId="12" fillId="0" borderId="43" xfId="0" applyFont="1" applyFill="1" applyBorder="1" applyAlignment="1" applyProtection="1">
      <alignment horizontal="left" vertical="top" wrapText="1"/>
      <protection hidden="1"/>
    </xf>
    <xf numFmtId="0" fontId="12" fillId="35" borderId="96" xfId="0" applyFont="1" applyFill="1" applyBorder="1" applyAlignment="1" applyProtection="1">
      <alignment horizontal="left" vertical="top" wrapText="1"/>
      <protection hidden="1"/>
    </xf>
    <xf numFmtId="0" fontId="12" fillId="0" borderId="10" xfId="0" applyFont="1" applyFill="1" applyBorder="1" applyAlignment="1" applyProtection="1">
      <alignment horizontal="center" vertical="center" wrapText="1"/>
      <protection hidden="1"/>
    </xf>
    <xf numFmtId="0" fontId="16" fillId="35" borderId="10" xfId="0" applyFont="1" applyFill="1" applyBorder="1" applyAlignment="1" applyProtection="1">
      <alignment horizontal="left" vertical="top" wrapText="1"/>
      <protection hidden="1"/>
    </xf>
    <xf numFmtId="0" fontId="101" fillId="17" borderId="0" xfId="43" applyFont="1" applyFill="1" applyAlignment="1" applyProtection="1">
      <alignment vertical="top"/>
      <protection hidden="1"/>
    </xf>
    <xf numFmtId="0" fontId="31" fillId="26" borderId="0" xfId="42" applyFont="1" applyFill="1" applyAlignment="1" applyProtection="1">
      <alignment horizontal="justify" vertical="top" wrapText="1"/>
      <protection hidden="1"/>
    </xf>
    <xf numFmtId="0" fontId="31" fillId="26" borderId="0" xfId="42" applyFont="1" applyFill="1" applyBorder="1" applyAlignment="1" applyProtection="1">
      <alignment vertical="top" wrapText="1"/>
      <protection hidden="1"/>
    </xf>
    <xf numFmtId="0" fontId="41" fillId="26" borderId="0" xfId="42" applyFont="1" applyFill="1" applyBorder="1" applyAlignment="1" applyProtection="1">
      <alignment horizontal="center" vertical="top" wrapText="1"/>
      <protection hidden="1"/>
    </xf>
    <xf numFmtId="0" fontId="65" fillId="26" borderId="0" xfId="42" applyFont="1" applyFill="1" applyAlignment="1" applyProtection="1">
      <alignment horizontal="center"/>
      <protection hidden="1"/>
    </xf>
    <xf numFmtId="0" fontId="86" fillId="17" borderId="0" xfId="0" applyFont="1" applyFill="1" applyBorder="1" applyAlignment="1" applyProtection="1">
      <alignment horizontal="justify"/>
      <protection hidden="1"/>
    </xf>
    <xf numFmtId="0" fontId="86" fillId="17" borderId="0" xfId="0" applyFont="1" applyFill="1" applyAlignment="1" applyProtection="1">
      <alignment horizontal="justify"/>
      <protection hidden="1"/>
    </xf>
    <xf numFmtId="0" fontId="149" fillId="33" borderId="40" xfId="40" applyFont="1" applyFill="1" applyBorder="1" applyAlignment="1" applyProtection="1">
      <alignment horizontal="center" vertical="center" wrapText="1"/>
      <protection hidden="1"/>
    </xf>
    <xf numFmtId="0" fontId="20" fillId="17" borderId="142" xfId="0" applyFont="1" applyFill="1" applyBorder="1" applyAlignment="1" applyProtection="1">
      <alignment horizontal="center" vertical="center"/>
      <protection hidden="1"/>
    </xf>
    <xf numFmtId="0" fontId="20" fillId="17" borderId="71" xfId="40" applyFont="1" applyFill="1" applyBorder="1" applyAlignment="1" applyProtection="1">
      <alignment vertical="top" wrapText="1"/>
      <protection hidden="1"/>
    </xf>
    <xf numFmtId="0" fontId="52" fillId="26" borderId="0" xfId="42" applyFont="1" applyFill="1" applyAlignment="1" applyProtection="1">
      <alignment horizontal="left" vertical="center"/>
      <protection hidden="1"/>
    </xf>
    <xf numFmtId="0" fontId="44" fillId="26" borderId="0" xfId="41" applyFont="1" applyFill="1" applyBorder="1" applyAlignment="1" applyProtection="1">
      <alignment vertical="center"/>
      <protection hidden="1"/>
    </xf>
    <xf numFmtId="0" fontId="166" fillId="26" borderId="0" xfId="39" applyFont="1" applyFill="1" applyAlignment="1" applyProtection="1">
      <alignment wrapText="1"/>
      <protection hidden="1"/>
    </xf>
    <xf numFmtId="0" fontId="12" fillId="24" borderId="125" xfId="0" applyFont="1" applyFill="1" applyBorder="1" applyAlignment="1" applyProtection="1">
      <alignment vertical="top" wrapText="1"/>
      <protection hidden="1"/>
    </xf>
    <xf numFmtId="0" fontId="12" fillId="24" borderId="43" xfId="0" applyFont="1" applyFill="1" applyBorder="1" applyAlignment="1" applyProtection="1">
      <alignment vertical="top" wrapText="1"/>
      <protection hidden="1"/>
    </xf>
    <xf numFmtId="0" fontId="150" fillId="26" borderId="0" xfId="40" applyFont="1" applyFill="1" applyBorder="1" applyAlignment="1" applyProtection="1">
      <alignment horizontal="center" vertical="center" wrapText="1"/>
      <protection hidden="1"/>
    </xf>
    <xf numFmtId="0" fontId="16" fillId="33" borderId="10" xfId="0" applyFont="1" applyFill="1" applyBorder="1" applyAlignment="1" applyProtection="1">
      <alignment horizontal="left" vertical="top" wrapText="1"/>
      <protection hidden="1"/>
    </xf>
    <xf numFmtId="0" fontId="12" fillId="33" borderId="10" xfId="0" applyFont="1" applyFill="1" applyBorder="1" applyAlignment="1" applyProtection="1">
      <alignment horizontal="left" vertical="center" wrapText="1"/>
      <protection hidden="1"/>
    </xf>
    <xf numFmtId="0" fontId="12" fillId="33" borderId="10" xfId="0" applyFont="1" applyFill="1" applyBorder="1" applyAlignment="1" applyProtection="1">
      <alignment horizontal="center" vertical="center" wrapText="1"/>
      <protection hidden="1"/>
    </xf>
    <xf numFmtId="0" fontId="12" fillId="33" borderId="98" xfId="0" applyFont="1" applyFill="1" applyBorder="1" applyAlignment="1" applyProtection="1">
      <alignment horizontal="left" vertical="top" wrapText="1"/>
      <protection hidden="1"/>
    </xf>
    <xf numFmtId="0" fontId="12" fillId="33" borderId="99" xfId="0" applyFont="1" applyFill="1" applyBorder="1" applyAlignment="1" applyProtection="1">
      <alignment horizontal="left" vertical="top" wrapText="1"/>
      <protection hidden="1"/>
    </xf>
    <xf numFmtId="0" fontId="12" fillId="33" borderId="61" xfId="0" applyFont="1" applyFill="1" applyBorder="1" applyAlignment="1" applyProtection="1">
      <alignment horizontal="left" vertical="center" wrapText="1"/>
      <protection hidden="1"/>
    </xf>
    <xf numFmtId="0" fontId="12" fillId="33" borderId="44" xfId="0" applyFont="1" applyFill="1" applyBorder="1" applyAlignment="1" applyProtection="1">
      <alignment horizontal="left" vertical="top" wrapText="1"/>
      <protection hidden="1"/>
    </xf>
    <xf numFmtId="0" fontId="12" fillId="33" borderId="10" xfId="0" applyFont="1" applyFill="1" applyBorder="1" applyAlignment="1" applyProtection="1">
      <alignment vertical="top" wrapText="1"/>
      <protection hidden="1"/>
    </xf>
    <xf numFmtId="0" fontId="12" fillId="33" borderId="10" xfId="40" applyFont="1" applyFill="1" applyBorder="1" applyAlignment="1" applyProtection="1">
      <alignment horizontal="center" vertical="center" wrapText="1"/>
      <protection hidden="1"/>
    </xf>
    <xf numFmtId="0" fontId="12" fillId="33" borderId="71" xfId="0" applyFont="1" applyFill="1" applyBorder="1" applyAlignment="1" applyProtection="1">
      <alignment vertical="top" wrapText="1"/>
      <protection hidden="1"/>
    </xf>
    <xf numFmtId="0" fontId="20" fillId="33" borderId="10" xfId="40" applyFont="1" applyFill="1" applyBorder="1" applyAlignment="1" applyProtection="1">
      <alignment horizontal="center" vertical="center" wrapText="1"/>
      <protection hidden="1"/>
    </xf>
    <xf numFmtId="0" fontId="12" fillId="17" borderId="10" xfId="54" applyFont="1" applyFill="1" applyBorder="1" applyAlignment="1" applyProtection="1">
      <alignment horizontal="center" vertical="center" wrapText="1"/>
      <protection hidden="1"/>
    </xf>
    <xf numFmtId="0" fontId="12" fillId="17" borderId="43" xfId="54" applyFont="1" applyFill="1" applyBorder="1" applyAlignment="1" applyProtection="1">
      <alignment horizontal="center" vertical="center" wrapText="1"/>
      <protection hidden="1"/>
    </xf>
    <xf numFmtId="0" fontId="31" fillId="26" borderId="0" xfId="40" applyFont="1" applyFill="1" applyBorder="1" applyAlignment="1" applyProtection="1">
      <alignment horizontal="left" vertical="top" wrapText="1"/>
      <protection hidden="1"/>
    </xf>
    <xf numFmtId="0" fontId="17" fillId="26" borderId="0" xfId="40" applyFont="1" applyFill="1" applyBorder="1" applyAlignment="1" applyProtection="1">
      <alignment horizontal="left" vertical="center" wrapText="1"/>
      <protection hidden="1"/>
    </xf>
    <xf numFmtId="0" fontId="12" fillId="17" borderId="10" xfId="52" applyFont="1" applyFill="1" applyBorder="1" applyAlignment="1" applyProtection="1">
      <alignment horizontal="center" vertical="center" wrapText="1"/>
      <protection hidden="1"/>
    </xf>
    <xf numFmtId="0" fontId="16" fillId="35" borderId="10" xfId="52" applyFont="1" applyFill="1" applyBorder="1" applyAlignment="1" applyProtection="1">
      <alignment horizontal="left" vertical="top" wrapText="1"/>
      <protection hidden="1"/>
    </xf>
    <xf numFmtId="0" fontId="12" fillId="0" borderId="94" xfId="52" applyFont="1" applyFill="1" applyBorder="1" applyAlignment="1" applyProtection="1">
      <alignment horizontal="center" vertical="center" wrapText="1"/>
      <protection hidden="1"/>
    </xf>
    <xf numFmtId="0" fontId="40" fillId="17" borderId="0" xfId="43" applyFont="1" applyFill="1" applyAlignment="1" applyProtection="1">
      <alignment vertical="top" wrapText="1"/>
      <protection hidden="1"/>
    </xf>
    <xf numFmtId="0" fontId="124" fillId="17" borderId="0" xfId="43" applyFont="1" applyFill="1" applyAlignment="1" applyProtection="1">
      <alignment vertical="top" wrapText="1"/>
      <protection hidden="1"/>
    </xf>
    <xf numFmtId="0" fontId="31" fillId="26" borderId="79" xfId="42" applyFont="1" applyFill="1" applyBorder="1" applyAlignment="1" applyProtection="1">
      <alignment vertical="top"/>
      <protection hidden="1"/>
    </xf>
    <xf numFmtId="0" fontId="31" fillId="26" borderId="49" xfId="42" applyFont="1" applyFill="1" applyBorder="1" applyAlignment="1" applyProtection="1">
      <alignment vertical="top"/>
      <protection hidden="1"/>
    </xf>
    <xf numFmtId="0" fontId="16" fillId="0" borderId="71" xfId="40" applyFont="1" applyFill="1" applyBorder="1" applyAlignment="1" applyProtection="1">
      <alignment horizontal="left" vertical="top" wrapText="1"/>
      <protection hidden="1"/>
    </xf>
    <xf numFmtId="0" fontId="12" fillId="0" borderId="71" xfId="52" applyFont="1" applyFill="1" applyBorder="1" applyAlignment="1" applyProtection="1">
      <alignment horizontal="left" vertical="top" wrapText="1"/>
      <protection hidden="1"/>
    </xf>
    <xf numFmtId="0" fontId="12" fillId="0" borderId="10" xfId="52" applyFont="1" applyFill="1" applyBorder="1" applyAlignment="1" applyProtection="1">
      <alignment horizontal="left" vertical="top" wrapText="1"/>
      <protection hidden="1"/>
    </xf>
    <xf numFmtId="3" fontId="20" fillId="24" borderId="10" xfId="40" applyNumberFormat="1" applyFont="1" applyFill="1" applyBorder="1" applyAlignment="1" applyProtection="1">
      <alignment horizontal="center" vertical="center" wrapText="1"/>
      <protection hidden="1"/>
    </xf>
    <xf numFmtId="0" fontId="31" fillId="26" borderId="0" xfId="40" applyFont="1" applyFill="1" applyBorder="1" applyAlignment="1" applyProtection="1">
      <alignment horizontal="left" vertical="top" wrapText="1"/>
      <protection hidden="1"/>
    </xf>
    <xf numFmtId="0" fontId="31" fillId="26" borderId="0" xfId="42" applyFont="1" applyFill="1" applyAlignment="1" applyProtection="1">
      <alignment vertical="top"/>
      <protection hidden="1"/>
    </xf>
    <xf numFmtId="0" fontId="31" fillId="26" borderId="0" xfId="42" applyFont="1" applyFill="1" applyBorder="1" applyAlignment="1" applyProtection="1">
      <alignment vertical="top"/>
      <protection hidden="1"/>
    </xf>
    <xf numFmtId="0" fontId="31" fillId="26" borderId="0" xfId="42" applyFont="1" applyFill="1" applyBorder="1" applyAlignment="1" applyProtection="1">
      <alignment vertical="center"/>
      <protection hidden="1"/>
    </xf>
    <xf numFmtId="0" fontId="31" fillId="26" borderId="0" xfId="42" applyFont="1" applyFill="1" applyBorder="1" applyAlignment="1" applyProtection="1">
      <alignment horizontal="left" vertical="center" wrapText="1"/>
      <protection hidden="1"/>
    </xf>
    <xf numFmtId="0" fontId="31" fillId="26" borderId="0" xfId="42" applyFont="1" applyFill="1" applyAlignment="1" applyProtection="1">
      <alignment vertical="center"/>
      <protection hidden="1"/>
    </xf>
    <xf numFmtId="0" fontId="31" fillId="26" borderId="0" xfId="42" applyFont="1" applyFill="1" applyBorder="1" applyAlignment="1" applyProtection="1">
      <alignment horizontal="center" vertical="top"/>
      <protection hidden="1"/>
    </xf>
    <xf numFmtId="0" fontId="31" fillId="26" borderId="0" xfId="42" applyFont="1" applyFill="1" applyProtection="1">
      <protection hidden="1"/>
    </xf>
    <xf numFmtId="0" fontId="31" fillId="26" borderId="0" xfId="42" applyFont="1" applyFill="1" applyAlignment="1" applyProtection="1">
      <protection hidden="1"/>
    </xf>
    <xf numFmtId="0" fontId="107" fillId="26" borderId="0" xfId="42" applyFont="1" applyFill="1" applyAlignment="1" applyProtection="1">
      <alignment horizontal="left" vertical="top" wrapText="1"/>
      <protection hidden="1"/>
    </xf>
    <xf numFmtId="0" fontId="87" fillId="26" borderId="0" xfId="42" applyFont="1" applyFill="1" applyAlignment="1" applyProtection="1">
      <alignment horizontal="center" vertical="center" wrapText="1"/>
      <protection hidden="1"/>
    </xf>
    <xf numFmtId="0" fontId="117" fillId="26" borderId="0" xfId="42" applyFont="1" applyFill="1" applyAlignment="1" applyProtection="1">
      <alignment horizontal="left" vertical="top" wrapText="1"/>
      <protection hidden="1"/>
    </xf>
    <xf numFmtId="0" fontId="116" fillId="26" borderId="0" xfId="42" applyFont="1" applyFill="1" applyAlignment="1" applyProtection="1">
      <alignment horizontal="center" vertical="center"/>
      <protection hidden="1"/>
    </xf>
    <xf numFmtId="0" fontId="65" fillId="26" borderId="53" xfId="42" applyFont="1" applyFill="1" applyBorder="1" applyProtection="1">
      <protection hidden="1"/>
    </xf>
    <xf numFmtId="0" fontId="107" fillId="26" borderId="0" xfId="42" applyFont="1" applyFill="1" applyProtection="1">
      <protection hidden="1"/>
    </xf>
    <xf numFmtId="0" fontId="107" fillId="26" borderId="0" xfId="42" applyFont="1" applyFill="1" applyAlignment="1" applyProtection="1">
      <alignment horizontal="center"/>
      <protection hidden="1"/>
    </xf>
    <xf numFmtId="0" fontId="107" fillId="26" borderId="0" xfId="42" applyFont="1" applyFill="1" applyAlignment="1" applyProtection="1">
      <alignment horizontal="left"/>
      <protection hidden="1"/>
    </xf>
    <xf numFmtId="0" fontId="65" fillId="26" borderId="0" xfId="42" applyFont="1" applyFill="1" applyProtection="1">
      <protection hidden="1"/>
    </xf>
    <xf numFmtId="0" fontId="64" fillId="26" borderId="0" xfId="42" applyFont="1" applyFill="1" applyProtection="1">
      <protection hidden="1"/>
    </xf>
    <xf numFmtId="0" fontId="64" fillId="26" borderId="0" xfId="42" applyFont="1" applyFill="1" applyAlignment="1" applyProtection="1">
      <alignment vertical="top"/>
      <protection hidden="1"/>
    </xf>
    <xf numFmtId="0" fontId="65" fillId="26" borderId="0" xfId="42" applyFont="1" applyFill="1" applyBorder="1" applyAlignment="1" applyProtection="1">
      <alignment horizontal="center"/>
      <protection hidden="1"/>
    </xf>
    <xf numFmtId="0" fontId="41" fillId="26" borderId="0" xfId="42" applyFont="1" applyFill="1" applyBorder="1" applyAlignment="1" applyProtection="1">
      <alignment horizontal="center" vertical="center" wrapText="1"/>
      <protection hidden="1"/>
    </xf>
    <xf numFmtId="0" fontId="64" fillId="26" borderId="0" xfId="42" applyFont="1" applyFill="1" applyBorder="1" applyAlignment="1" applyProtection="1">
      <alignment horizontal="center" vertical="center" wrapText="1"/>
      <protection hidden="1"/>
    </xf>
    <xf numFmtId="0" fontId="65" fillId="26" borderId="0" xfId="42" applyFont="1" applyFill="1" applyAlignment="1" applyProtection="1">
      <alignment vertical="center"/>
      <protection hidden="1"/>
    </xf>
    <xf numFmtId="0" fontId="41" fillId="26" borderId="0" xfId="42" applyFont="1" applyFill="1" applyBorder="1" applyAlignment="1" applyProtection="1">
      <alignment horizontal="left" vertical="center" wrapText="1"/>
      <protection hidden="1"/>
    </xf>
    <xf numFmtId="0" fontId="41" fillId="26" borderId="15" xfId="42" applyFont="1" applyFill="1" applyBorder="1" applyAlignment="1" applyProtection="1">
      <alignment vertical="center"/>
      <protection hidden="1"/>
    </xf>
    <xf numFmtId="0" fontId="31" fillId="26" borderId="16" xfId="42" applyFont="1" applyFill="1" applyBorder="1" applyAlignment="1" applyProtection="1">
      <alignment vertical="center"/>
      <protection hidden="1"/>
    </xf>
    <xf numFmtId="0" fontId="31" fillId="26" borderId="17" xfId="42" applyFont="1" applyFill="1" applyBorder="1" applyAlignment="1" applyProtection="1">
      <alignment vertical="center"/>
      <protection hidden="1"/>
    </xf>
    <xf numFmtId="0" fontId="41" fillId="26" borderId="17" xfId="42" applyFont="1" applyFill="1" applyBorder="1" applyAlignment="1" applyProtection="1">
      <alignment horizontal="center" vertical="center" wrapText="1"/>
      <protection hidden="1"/>
    </xf>
    <xf numFmtId="0" fontId="31" fillId="26" borderId="20" xfId="42" applyFont="1" applyFill="1" applyBorder="1" applyAlignment="1" applyProtection="1">
      <alignment vertical="center"/>
      <protection hidden="1"/>
    </xf>
    <xf numFmtId="0" fontId="31" fillId="26" borderId="21" xfId="42" applyFont="1" applyFill="1" applyBorder="1" applyAlignment="1" applyProtection="1">
      <alignment vertical="center"/>
      <protection hidden="1"/>
    </xf>
    <xf numFmtId="0" fontId="41" fillId="26" borderId="20" xfId="42" applyFont="1" applyFill="1" applyBorder="1" applyAlignment="1" applyProtection="1">
      <alignment vertical="center"/>
      <protection hidden="1"/>
    </xf>
    <xf numFmtId="0" fontId="31" fillId="26" borderId="0" xfId="42" applyFont="1" applyFill="1" applyBorder="1" applyAlignment="1" applyProtection="1">
      <alignment horizontal="center" vertical="center"/>
      <protection hidden="1"/>
    </xf>
    <xf numFmtId="0" fontId="41" fillId="26" borderId="21" xfId="42" applyFont="1" applyFill="1" applyBorder="1" applyAlignment="1" applyProtection="1">
      <alignment vertical="center"/>
      <protection hidden="1"/>
    </xf>
    <xf numFmtId="0" fontId="41" fillId="26" borderId="20" xfId="42" applyFont="1" applyFill="1" applyBorder="1" applyAlignment="1" applyProtection="1">
      <alignment horizontal="center" vertical="center"/>
      <protection hidden="1"/>
    </xf>
    <xf numFmtId="0" fontId="31" fillId="26" borderId="21" xfId="42" applyFont="1" applyFill="1" applyBorder="1" applyAlignment="1" applyProtection="1">
      <alignment horizontal="center" vertical="center"/>
      <protection hidden="1"/>
    </xf>
    <xf numFmtId="0" fontId="31" fillId="26" borderId="20" xfId="42" applyFont="1" applyFill="1" applyBorder="1" applyAlignment="1" applyProtection="1">
      <alignment horizontal="center" vertical="center"/>
      <protection hidden="1"/>
    </xf>
    <xf numFmtId="0" fontId="31" fillId="26" borderId="24" xfId="42" applyFont="1" applyFill="1" applyBorder="1" applyAlignment="1" applyProtection="1">
      <alignment horizontal="left" vertical="center" wrapText="1"/>
      <protection hidden="1"/>
    </xf>
    <xf numFmtId="0" fontId="31" fillId="26" borderId="20" xfId="42" applyFont="1" applyFill="1" applyBorder="1" applyAlignment="1" applyProtection="1">
      <alignment horizontal="center" vertical="top"/>
      <protection hidden="1"/>
    </xf>
    <xf numFmtId="0" fontId="31" fillId="26" borderId="21" xfId="42" applyFont="1" applyFill="1" applyBorder="1" applyAlignment="1" applyProtection="1">
      <alignment horizontal="center" vertical="top"/>
      <protection hidden="1"/>
    </xf>
    <xf numFmtId="0" fontId="41" fillId="26" borderId="0" xfId="42" applyFont="1" applyFill="1" applyBorder="1" applyAlignment="1" applyProtection="1">
      <alignment vertical="center" wrapText="1"/>
      <protection hidden="1"/>
    </xf>
    <xf numFmtId="0" fontId="31" fillId="26" borderId="95" xfId="42" applyFont="1" applyFill="1" applyBorder="1" applyAlignment="1" applyProtection="1">
      <alignment horizontal="center" vertical="top"/>
      <protection hidden="1"/>
    </xf>
    <xf numFmtId="0" fontId="31" fillId="26" borderId="108" xfId="42" applyFont="1" applyFill="1" applyBorder="1" applyAlignment="1" applyProtection="1">
      <alignment horizontal="center" vertical="top"/>
      <protection hidden="1"/>
    </xf>
    <xf numFmtId="0" fontId="31" fillId="26" borderId="56" xfId="42" applyFont="1" applyFill="1" applyBorder="1" applyAlignment="1" applyProtection="1">
      <alignment horizontal="center" vertical="top"/>
      <protection hidden="1"/>
    </xf>
    <xf numFmtId="0" fontId="31" fillId="26" borderId="75" xfId="42" applyFont="1" applyFill="1" applyBorder="1" applyAlignment="1" applyProtection="1">
      <alignment horizontal="center" vertical="top"/>
      <protection hidden="1"/>
    </xf>
    <xf numFmtId="0" fontId="66" fillId="26" borderId="109" xfId="42" applyFont="1" applyFill="1" applyBorder="1" applyAlignment="1" applyProtection="1">
      <alignment horizontal="center"/>
      <protection hidden="1"/>
    </xf>
    <xf numFmtId="0" fontId="65" fillId="26" borderId="20" xfId="42" applyFont="1" applyFill="1" applyBorder="1" applyProtection="1">
      <protection hidden="1"/>
    </xf>
    <xf numFmtId="0" fontId="65" fillId="26" borderId="0" xfId="42" applyFont="1" applyFill="1" applyBorder="1" applyProtection="1">
      <protection hidden="1"/>
    </xf>
    <xf numFmtId="0" fontId="65" fillId="26" borderId="21" xfId="42" applyFont="1" applyFill="1" applyBorder="1" applyProtection="1">
      <protection hidden="1"/>
    </xf>
    <xf numFmtId="0" fontId="41" fillId="26" borderId="16" xfId="42" applyFont="1" applyFill="1" applyBorder="1" applyAlignment="1" applyProtection="1">
      <alignment horizontal="left" vertical="center" wrapText="1"/>
      <protection hidden="1"/>
    </xf>
    <xf numFmtId="0" fontId="31" fillId="26" borderId="23" xfId="42" applyFont="1" applyFill="1" applyBorder="1" applyAlignment="1" applyProtection="1">
      <alignment vertical="center"/>
      <protection hidden="1"/>
    </xf>
    <xf numFmtId="0" fontId="31" fillId="26" borderId="25" xfId="42" applyFont="1" applyFill="1" applyBorder="1" applyAlignment="1" applyProtection="1">
      <alignment horizontal="center" vertical="center"/>
      <protection hidden="1"/>
    </xf>
    <xf numFmtId="0" fontId="31" fillId="26" borderId="0" xfId="42" applyFont="1" applyFill="1" applyAlignment="1" applyProtection="1">
      <alignment horizontal="center"/>
      <protection hidden="1"/>
    </xf>
    <xf numFmtId="0" fontId="41" fillId="26" borderId="24" xfId="42" applyFont="1" applyFill="1" applyBorder="1" applyAlignment="1" applyProtection="1">
      <alignment horizontal="left" vertical="center" wrapText="1"/>
      <protection hidden="1"/>
    </xf>
    <xf numFmtId="0" fontId="32" fillId="26" borderId="110" xfId="42" applyFont="1" applyFill="1" applyBorder="1" applyAlignment="1" applyProtection="1">
      <alignment horizontal="center"/>
      <protection hidden="1"/>
    </xf>
    <xf numFmtId="0" fontId="31" fillId="26" borderId="23" xfId="42" applyFont="1" applyFill="1" applyBorder="1" applyAlignment="1" applyProtection="1">
      <alignment horizontal="center" vertical="top"/>
      <protection hidden="1"/>
    </xf>
    <xf numFmtId="0" fontId="31" fillId="26" borderId="24" xfId="42" applyFont="1" applyFill="1" applyBorder="1" applyAlignment="1" applyProtection="1">
      <alignment horizontal="center" vertical="top"/>
      <protection hidden="1"/>
    </xf>
    <xf numFmtId="0" fontId="31" fillId="26" borderId="25" xfId="42" applyFont="1" applyFill="1" applyBorder="1" applyAlignment="1" applyProtection="1">
      <alignment horizontal="center" vertical="top"/>
      <protection hidden="1"/>
    </xf>
    <xf numFmtId="0" fontId="31" fillId="26" borderId="0" xfId="42" applyFont="1" applyFill="1" applyBorder="1" applyProtection="1">
      <protection hidden="1"/>
    </xf>
    <xf numFmtId="0" fontId="31" fillId="26" borderId="0" xfId="42" applyFont="1" applyFill="1" applyBorder="1" applyAlignment="1" applyProtection="1">
      <alignment horizontal="center"/>
      <protection hidden="1"/>
    </xf>
    <xf numFmtId="0" fontId="41" fillId="26" borderId="34" xfId="42" applyFont="1" applyFill="1" applyBorder="1" applyProtection="1">
      <protection hidden="1"/>
    </xf>
    <xf numFmtId="0" fontId="41" fillId="26" borderId="21" xfId="42" applyFont="1" applyFill="1" applyBorder="1" applyProtection="1">
      <protection hidden="1"/>
    </xf>
    <xf numFmtId="0" fontId="41" fillId="26" borderId="0" xfId="42" applyFont="1" applyFill="1" applyProtection="1">
      <protection hidden="1"/>
    </xf>
    <xf numFmtId="0" fontId="41" fillId="26" borderId="49" xfId="42" applyFont="1" applyFill="1" applyBorder="1" applyAlignment="1" applyProtection="1">
      <alignment horizontal="left" vertical="top"/>
      <protection hidden="1"/>
    </xf>
    <xf numFmtId="0" fontId="31" fillId="26" borderId="105" xfId="42" applyFont="1" applyFill="1" applyBorder="1" applyAlignment="1" applyProtection="1">
      <alignment horizontal="center" vertical="top"/>
      <protection hidden="1"/>
    </xf>
    <xf numFmtId="0" fontId="41" fillId="26" borderId="53" xfId="42" applyFont="1" applyFill="1" applyBorder="1" applyAlignment="1" applyProtection="1">
      <alignment horizontal="center" vertical="top"/>
      <protection hidden="1"/>
    </xf>
    <xf numFmtId="0" fontId="41" fillId="26" borderId="105" xfId="42" applyFont="1" applyFill="1" applyBorder="1" applyAlignment="1" applyProtection="1">
      <alignment horizontal="center" vertical="top"/>
      <protection hidden="1"/>
    </xf>
    <xf numFmtId="0" fontId="64" fillId="26" borderId="49" xfId="42" applyFont="1" applyFill="1" applyBorder="1" applyAlignment="1" applyProtection="1">
      <alignment horizontal="right" vertical="center"/>
      <protection hidden="1"/>
    </xf>
    <xf numFmtId="0" fontId="64" fillId="26" borderId="105" xfId="42" applyFont="1" applyFill="1" applyBorder="1" applyAlignment="1" applyProtection="1">
      <alignment horizontal="center" vertical="center"/>
      <protection hidden="1"/>
    </xf>
    <xf numFmtId="0" fontId="41" fillId="26" borderId="0" xfId="42" applyFont="1" applyFill="1" applyAlignment="1" applyProtection="1">
      <alignment vertical="top"/>
      <protection hidden="1"/>
    </xf>
    <xf numFmtId="0" fontId="20" fillId="17" borderId="10" xfId="40" applyFont="1" applyFill="1" applyBorder="1" applyAlignment="1" applyProtection="1">
      <alignment horizontal="left" vertical="top" wrapText="1"/>
      <protection hidden="1"/>
    </xf>
    <xf numFmtId="3" fontId="19" fillId="24" borderId="153" xfId="45" applyNumberFormat="1" applyFont="1" applyFill="1" applyBorder="1" applyAlignment="1" applyProtection="1">
      <alignment horizontal="right" vertical="center" wrapText="1"/>
      <protection hidden="1"/>
    </xf>
    <xf numFmtId="3" fontId="19" fillId="17" borderId="71" xfId="28" applyNumberFormat="1" applyFont="1" applyFill="1" applyBorder="1" applyAlignment="1" applyProtection="1">
      <alignment horizontal="center" vertical="center"/>
      <protection locked="0" hidden="1"/>
    </xf>
    <xf numFmtId="1" fontId="16" fillId="17" borderId="50" xfId="28" applyNumberFormat="1" applyFont="1" applyFill="1" applyBorder="1" applyAlignment="1" applyProtection="1">
      <alignment horizontal="center" vertical="center"/>
      <protection locked="0" hidden="1"/>
    </xf>
    <xf numFmtId="3" fontId="20" fillId="17" borderId="51" xfId="28" applyNumberFormat="1" applyFont="1" applyFill="1" applyBorder="1" applyAlignment="1" applyProtection="1">
      <alignment horizontal="center" vertical="center"/>
      <protection locked="0" hidden="1"/>
    </xf>
    <xf numFmtId="1" fontId="0" fillId="26" borderId="0" xfId="0" applyNumberFormat="1" applyFill="1" applyProtection="1">
      <protection hidden="1"/>
    </xf>
    <xf numFmtId="0" fontId="31" fillId="26" borderId="156" xfId="45" applyFont="1" applyFill="1" applyBorder="1" applyAlignment="1" applyProtection="1">
      <alignment horizontal="center" vertical="top" wrapText="1"/>
    </xf>
    <xf numFmtId="0" fontId="31" fillId="26" borderId="157" xfId="45" applyFont="1" applyFill="1" applyBorder="1" applyAlignment="1" applyProtection="1">
      <alignment horizontal="center" vertical="top" wrapText="1"/>
    </xf>
    <xf numFmtId="0" fontId="31" fillId="26" borderId="158" xfId="45" applyFont="1" applyFill="1" applyBorder="1" applyAlignment="1" applyProtection="1">
      <alignment horizontal="center" vertical="top" wrapText="1"/>
    </xf>
    <xf numFmtId="0" fontId="163" fillId="26" borderId="159" xfId="0" applyFont="1" applyFill="1" applyBorder="1" applyAlignment="1" applyProtection="1">
      <alignment horizontal="center"/>
      <protection hidden="1"/>
    </xf>
    <xf numFmtId="0" fontId="163" fillId="26" borderId="0" xfId="0" applyFont="1" applyFill="1" applyBorder="1" applyAlignment="1" applyProtection="1">
      <alignment horizontal="center"/>
      <protection hidden="1"/>
    </xf>
    <xf numFmtId="0" fontId="163" fillId="26" borderId="160" xfId="0" applyFont="1" applyFill="1" applyBorder="1" applyAlignment="1" applyProtection="1">
      <alignment horizontal="center"/>
      <protection hidden="1"/>
    </xf>
    <xf numFmtId="1" fontId="163" fillId="26" borderId="159" xfId="0" applyNumberFormat="1" applyFont="1" applyFill="1" applyBorder="1" applyAlignment="1" applyProtection="1">
      <alignment horizontal="center"/>
      <protection hidden="1"/>
    </xf>
    <xf numFmtId="1" fontId="163" fillId="26" borderId="0" xfId="0" applyNumberFormat="1" applyFont="1" applyFill="1" applyBorder="1" applyAlignment="1" applyProtection="1">
      <alignment horizontal="center"/>
      <protection hidden="1"/>
    </xf>
    <xf numFmtId="1" fontId="163" fillId="26" borderId="160" xfId="0" applyNumberFormat="1" applyFont="1" applyFill="1" applyBorder="1" applyAlignment="1" applyProtection="1">
      <alignment horizontal="center"/>
      <protection hidden="1"/>
    </xf>
    <xf numFmtId="1" fontId="163" fillId="26" borderId="161" xfId="0" applyNumberFormat="1" applyFont="1" applyFill="1" applyBorder="1" applyAlignment="1" applyProtection="1">
      <alignment horizontal="center"/>
      <protection hidden="1"/>
    </xf>
    <xf numFmtId="1" fontId="163" fillId="26" borderId="162" xfId="0" applyNumberFormat="1" applyFont="1" applyFill="1" applyBorder="1" applyAlignment="1" applyProtection="1">
      <alignment horizontal="center"/>
      <protection hidden="1"/>
    </xf>
    <xf numFmtId="1" fontId="163" fillId="26" borderId="163" xfId="0" applyNumberFormat="1" applyFont="1" applyFill="1" applyBorder="1" applyAlignment="1" applyProtection="1">
      <alignment horizontal="center"/>
      <protection hidden="1"/>
    </xf>
    <xf numFmtId="166" fontId="55" fillId="17" borderId="18" xfId="28" applyNumberFormat="1" applyFont="1" applyFill="1" applyBorder="1" applyAlignment="1" applyProtection="1">
      <alignment horizontal="center" vertical="center"/>
      <protection locked="0" hidden="1"/>
    </xf>
    <xf numFmtId="166" fontId="55" fillId="17" borderId="72" xfId="28" applyNumberFormat="1" applyFont="1" applyFill="1" applyBorder="1" applyAlignment="1" applyProtection="1">
      <alignment horizontal="center" vertical="center"/>
      <protection locked="0" hidden="1"/>
    </xf>
    <xf numFmtId="0" fontId="0" fillId="26" borderId="157" xfId="0" applyFill="1" applyBorder="1" applyProtection="1">
      <protection hidden="1"/>
    </xf>
    <xf numFmtId="0" fontId="163" fillId="26" borderId="168" xfId="0" applyFont="1" applyFill="1" applyBorder="1" applyAlignment="1" applyProtection="1">
      <alignment horizontal="center"/>
      <protection hidden="1"/>
    </xf>
    <xf numFmtId="0" fontId="163" fillId="26" borderId="168" xfId="0" applyFont="1" applyFill="1" applyBorder="1" applyAlignment="1" applyProtection="1">
      <alignment horizontal="center" wrapText="1"/>
      <protection hidden="1"/>
    </xf>
    <xf numFmtId="0" fontId="0" fillId="26" borderId="167" xfId="0" applyFill="1" applyBorder="1" applyAlignment="1" applyProtection="1">
      <alignment vertical="center"/>
      <protection hidden="1"/>
    </xf>
    <xf numFmtId="0" fontId="0" fillId="26" borderId="168" xfId="0" applyFill="1" applyBorder="1" applyAlignment="1" applyProtection="1">
      <alignment vertical="center"/>
      <protection locked="0" hidden="1"/>
    </xf>
    <xf numFmtId="0" fontId="163" fillId="26" borderId="168" xfId="0" applyFont="1" applyFill="1" applyBorder="1" applyAlignment="1" applyProtection="1">
      <alignment horizontal="center" vertical="center"/>
      <protection locked="0" hidden="1"/>
    </xf>
    <xf numFmtId="0" fontId="163" fillId="26" borderId="168" xfId="0" applyFont="1" applyFill="1" applyBorder="1" applyAlignment="1" applyProtection="1">
      <alignment horizontal="center" vertical="center" wrapText="1"/>
      <protection locked="0" hidden="1"/>
    </xf>
    <xf numFmtId="0" fontId="163" fillId="26" borderId="167" xfId="0" applyFont="1" applyFill="1" applyBorder="1" applyProtection="1">
      <protection hidden="1"/>
    </xf>
    <xf numFmtId="1" fontId="163" fillId="26" borderId="167" xfId="0" applyNumberFormat="1" applyFont="1" applyFill="1" applyBorder="1" applyProtection="1">
      <protection hidden="1"/>
    </xf>
    <xf numFmtId="9" fontId="163" fillId="26" borderId="167" xfId="48" applyFont="1" applyFill="1" applyBorder="1" applyAlignment="1" applyProtection="1">
      <alignment horizontal="center"/>
      <protection hidden="1"/>
    </xf>
    <xf numFmtId="1" fontId="163" fillId="26" borderId="167" xfId="48" applyNumberFormat="1" applyFont="1" applyFill="1" applyBorder="1" applyAlignment="1" applyProtection="1">
      <alignment horizontal="center"/>
      <protection hidden="1"/>
    </xf>
    <xf numFmtId="0" fontId="163" fillId="26" borderId="169" xfId="0" applyFont="1" applyFill="1" applyBorder="1" applyProtection="1">
      <protection hidden="1"/>
    </xf>
    <xf numFmtId="1" fontId="163" fillId="26" borderId="169" xfId="0" applyNumberFormat="1" applyFont="1" applyFill="1" applyBorder="1" applyProtection="1">
      <protection hidden="1"/>
    </xf>
    <xf numFmtId="9" fontId="163" fillId="26" borderId="169" xfId="48" applyFont="1" applyFill="1" applyBorder="1" applyAlignment="1" applyProtection="1">
      <alignment horizontal="center"/>
      <protection hidden="1"/>
    </xf>
    <xf numFmtId="1" fontId="163" fillId="26" borderId="169" xfId="48" applyNumberFormat="1" applyFont="1" applyFill="1" applyBorder="1" applyAlignment="1" applyProtection="1">
      <alignment horizontal="center"/>
      <protection hidden="1"/>
    </xf>
    <xf numFmtId="0" fontId="163" fillId="26" borderId="168" xfId="0" applyFont="1" applyFill="1" applyBorder="1" applyProtection="1">
      <protection hidden="1"/>
    </xf>
    <xf numFmtId="1" fontId="163" fillId="26" borderId="168" xfId="0" applyNumberFormat="1" applyFont="1" applyFill="1" applyBorder="1" applyProtection="1">
      <protection hidden="1"/>
    </xf>
    <xf numFmtId="9" fontId="163" fillId="26" borderId="168" xfId="48" applyFont="1" applyFill="1" applyBorder="1" applyAlignment="1" applyProtection="1">
      <alignment horizontal="center"/>
      <protection hidden="1"/>
    </xf>
    <xf numFmtId="1" fontId="163" fillId="26" borderId="168" xfId="48" applyNumberFormat="1" applyFont="1" applyFill="1" applyBorder="1" applyAlignment="1" applyProtection="1">
      <alignment horizontal="center"/>
      <protection hidden="1"/>
    </xf>
    <xf numFmtId="0" fontId="163" fillId="26" borderId="156" xfId="0" applyFont="1" applyFill="1" applyBorder="1" applyProtection="1">
      <protection hidden="1"/>
    </xf>
    <xf numFmtId="0" fontId="163" fillId="26" borderId="158" xfId="0" applyFont="1" applyFill="1" applyBorder="1" applyProtection="1">
      <protection hidden="1"/>
    </xf>
    <xf numFmtId="0" fontId="163" fillId="26" borderId="159" xfId="0" applyFont="1" applyFill="1" applyBorder="1" applyProtection="1">
      <protection hidden="1"/>
    </xf>
    <xf numFmtId="0" fontId="163" fillId="26" borderId="160" xfId="0" applyFont="1" applyFill="1" applyBorder="1" applyProtection="1">
      <protection hidden="1"/>
    </xf>
    <xf numFmtId="0" fontId="163" fillId="26" borderId="161" xfId="0" applyFont="1" applyFill="1" applyBorder="1" applyProtection="1">
      <protection hidden="1"/>
    </xf>
    <xf numFmtId="0" fontId="0" fillId="26" borderId="162" xfId="0" applyFill="1" applyBorder="1" applyProtection="1">
      <protection hidden="1"/>
    </xf>
    <xf numFmtId="0" fontId="163" fillId="26" borderId="163" xfId="0" applyFont="1" applyFill="1" applyBorder="1" applyProtection="1">
      <protection hidden="1"/>
    </xf>
    <xf numFmtId="0" fontId="41" fillId="26" borderId="20" xfId="42" applyFont="1" applyFill="1" applyBorder="1" applyAlignment="1" applyProtection="1">
      <alignment horizontal="center" vertical="center" wrapText="1"/>
      <protection hidden="1"/>
    </xf>
    <xf numFmtId="0" fontId="41" fillId="26" borderId="0" xfId="42" applyFont="1" applyFill="1" applyBorder="1" applyAlignment="1" applyProtection="1">
      <alignment horizontal="center" vertical="center"/>
      <protection hidden="1"/>
    </xf>
    <xf numFmtId="0" fontId="41" fillId="26" borderId="21" xfId="42" applyFont="1" applyFill="1" applyBorder="1" applyAlignment="1" applyProtection="1">
      <alignment horizontal="center" vertical="center"/>
      <protection hidden="1"/>
    </xf>
    <xf numFmtId="0" fontId="31" fillId="26" borderId="0" xfId="42" applyFont="1" applyFill="1" applyAlignment="1" applyProtection="1">
      <alignment horizontal="justify" vertical="top" wrapText="1"/>
      <protection hidden="1"/>
    </xf>
    <xf numFmtId="0" fontId="65" fillId="26" borderId="0" xfId="42" applyFont="1" applyFill="1" applyAlignment="1" applyProtection="1">
      <alignment horizontal="center"/>
      <protection hidden="1"/>
    </xf>
    <xf numFmtId="0" fontId="86" fillId="17" borderId="0" xfId="0" applyFont="1" applyFill="1" applyBorder="1" applyAlignment="1" applyProtection="1">
      <alignment vertical="top" wrapText="1"/>
      <protection hidden="1"/>
    </xf>
    <xf numFmtId="0" fontId="12" fillId="35" borderId="0" xfId="43" applyFont="1" applyFill="1" applyAlignment="1" applyProtection="1">
      <alignment vertical="top" wrapText="1"/>
      <protection hidden="1"/>
    </xf>
    <xf numFmtId="0" fontId="12" fillId="35" borderId="0" xfId="0" applyNumberFormat="1" applyFont="1" applyFill="1" applyAlignment="1" applyProtection="1">
      <alignment horizontal="justify"/>
      <protection hidden="1"/>
    </xf>
    <xf numFmtId="0" fontId="12" fillId="0" borderId="0" xfId="59" applyFont="1"/>
    <xf numFmtId="0" fontId="11" fillId="0" borderId="0" xfId="59"/>
    <xf numFmtId="0" fontId="86" fillId="34" borderId="0" xfId="59" applyFont="1" applyFill="1" applyBorder="1" applyAlignment="1">
      <alignment horizontal="left"/>
    </xf>
    <xf numFmtId="0" fontId="86" fillId="34" borderId="0" xfId="59" applyFont="1" applyFill="1" applyBorder="1" applyAlignment="1">
      <alignment horizontal="center"/>
    </xf>
    <xf numFmtId="1" fontId="69" fillId="0" borderId="0" xfId="44" applyNumberFormat="1"/>
    <xf numFmtId="0" fontId="11" fillId="0" borderId="0" xfId="59" applyFill="1"/>
    <xf numFmtId="3" fontId="20" fillId="24" borderId="44" xfId="40" applyNumberFormat="1" applyFont="1" applyFill="1" applyBorder="1" applyAlignment="1" applyProtection="1">
      <alignment horizontal="center" vertical="center" wrapText="1"/>
      <protection hidden="1"/>
    </xf>
    <xf numFmtId="0" fontId="206" fillId="37" borderId="0" xfId="35" applyFont="1" applyFill="1" applyAlignment="1" applyProtection="1"/>
    <xf numFmtId="166" fontId="86" fillId="34" borderId="0" xfId="59" applyNumberFormat="1" applyFont="1" applyFill="1" applyBorder="1" applyAlignment="1">
      <alignment horizontal="center"/>
    </xf>
    <xf numFmtId="3" fontId="16" fillId="24" borderId="48" xfId="41" applyNumberFormat="1" applyFont="1" applyFill="1" applyBorder="1" applyAlignment="1" applyProtection="1">
      <alignment horizontal="center" vertical="center" wrapText="1"/>
      <protection hidden="1"/>
    </xf>
    <xf numFmtId="3" fontId="29" fillId="24" borderId="52" xfId="41" applyNumberFormat="1" applyFont="1" applyFill="1" applyBorder="1" applyAlignment="1" applyProtection="1">
      <alignment horizontal="center" vertical="center" wrapText="1"/>
      <protection hidden="1"/>
    </xf>
    <xf numFmtId="9" fontId="29" fillId="24" borderId="114" xfId="42" applyNumberFormat="1" applyFont="1" applyFill="1" applyBorder="1" applyAlignment="1" applyProtection="1">
      <alignment horizontal="center" vertical="center"/>
      <protection hidden="1"/>
    </xf>
    <xf numFmtId="9" fontId="12" fillId="26" borderId="0" xfId="42" applyNumberFormat="1" applyFont="1" applyFill="1" applyBorder="1" applyAlignment="1" applyProtection="1">
      <alignment vertical="top"/>
      <protection hidden="1"/>
    </xf>
    <xf numFmtId="9" fontId="12" fillId="24" borderId="13" xfId="42" applyNumberFormat="1" applyFont="1" applyFill="1" applyBorder="1" applyAlignment="1" applyProtection="1">
      <alignment horizontal="center" vertical="top" wrapText="1"/>
      <protection hidden="1"/>
    </xf>
    <xf numFmtId="0" fontId="12" fillId="24" borderId="44" xfId="42" applyNumberFormat="1" applyFont="1" applyFill="1" applyBorder="1" applyAlignment="1" applyProtection="1">
      <alignment horizontal="center" vertical="top" wrapText="1"/>
      <protection hidden="1"/>
    </xf>
    <xf numFmtId="2" fontId="12" fillId="24" borderId="14" xfId="42" applyNumberFormat="1" applyFont="1" applyFill="1" applyBorder="1" applyAlignment="1" applyProtection="1">
      <alignment horizontal="center" vertical="top" wrapText="1"/>
      <protection hidden="1"/>
    </xf>
    <xf numFmtId="0" fontId="64" fillId="26" borderId="0" xfId="42" applyFont="1" applyFill="1" applyBorder="1" applyAlignment="1" applyProtection="1">
      <alignment vertical="top"/>
      <protection hidden="1"/>
    </xf>
    <xf numFmtId="1" fontId="12" fillId="26" borderId="0" xfId="42" applyNumberFormat="1" applyFont="1" applyFill="1" applyBorder="1" applyAlignment="1" applyProtection="1">
      <alignment vertical="top"/>
      <protection hidden="1"/>
    </xf>
    <xf numFmtId="0" fontId="16" fillId="26" borderId="0" xfId="42" applyFont="1" applyFill="1" applyBorder="1" applyAlignment="1" applyProtection="1">
      <alignment horizontal="center" vertical="top"/>
      <protection hidden="1"/>
    </xf>
    <xf numFmtId="1" fontId="29" fillId="24" borderId="52" xfId="41" applyNumberFormat="1" applyFont="1" applyFill="1" applyBorder="1" applyAlignment="1" applyProtection="1">
      <alignment horizontal="center" vertical="center" wrapText="1"/>
      <protection hidden="1"/>
    </xf>
    <xf numFmtId="0" fontId="12" fillId="17" borderId="44" xfId="0" applyFont="1" applyFill="1" applyBorder="1" applyAlignment="1" applyProtection="1">
      <alignment horizontal="left" vertical="top" wrapText="1"/>
      <protection hidden="1"/>
    </xf>
    <xf numFmtId="0" fontId="16" fillId="17" borderId="39" xfId="0" applyFont="1" applyFill="1" applyBorder="1" applyAlignment="1" applyProtection="1">
      <alignment horizontal="left" vertical="top" wrapText="1"/>
      <protection hidden="1"/>
    </xf>
    <xf numFmtId="0" fontId="16" fillId="17" borderId="41" xfId="0" applyFont="1" applyFill="1" applyBorder="1" applyAlignment="1" applyProtection="1">
      <alignment horizontal="left" vertical="top" wrapText="1"/>
      <protection hidden="1"/>
    </xf>
    <xf numFmtId="0" fontId="12" fillId="24" borderId="43" xfId="0" applyNumberFormat="1" applyFont="1" applyFill="1" applyBorder="1" applyAlignment="1" applyProtection="1">
      <alignment horizontal="left" vertical="top" wrapText="1"/>
      <protection hidden="1"/>
    </xf>
    <xf numFmtId="0" fontId="12" fillId="17" borderId="10" xfId="52" applyFont="1" applyFill="1" applyBorder="1" applyAlignment="1" applyProtection="1">
      <alignment horizontal="left" vertical="top" wrapText="1"/>
      <protection hidden="1"/>
    </xf>
    <xf numFmtId="0" fontId="12" fillId="24" borderId="61" xfId="52" applyFont="1" applyFill="1" applyBorder="1" applyAlignment="1" applyProtection="1">
      <alignment horizontal="left" vertical="top" wrapText="1"/>
      <protection hidden="1"/>
    </xf>
    <xf numFmtId="0" fontId="12" fillId="24" borderId="10" xfId="52" quotePrefix="1" applyNumberFormat="1" applyFont="1" applyFill="1" applyBorder="1" applyAlignment="1" applyProtection="1">
      <alignment horizontal="left" vertical="top" wrapText="1"/>
      <protection hidden="1"/>
    </xf>
    <xf numFmtId="0" fontId="12" fillId="33" borderId="10" xfId="52" applyFont="1" applyFill="1" applyBorder="1" applyAlignment="1" applyProtection="1">
      <alignment horizontal="center" vertical="center" wrapText="1"/>
      <protection hidden="1"/>
    </xf>
    <xf numFmtId="0" fontId="16" fillId="33" borderId="56" xfId="40" applyFont="1" applyFill="1" applyBorder="1" applyAlignment="1" applyProtection="1">
      <alignment horizontal="left" vertical="top" wrapText="1"/>
      <protection hidden="1"/>
    </xf>
    <xf numFmtId="0" fontId="12" fillId="33" borderId="61" xfId="52" applyFont="1" applyFill="1" applyBorder="1" applyAlignment="1" applyProtection="1">
      <alignment horizontal="left" vertical="center" wrapText="1"/>
      <protection hidden="1"/>
    </xf>
    <xf numFmtId="0" fontId="19" fillId="33" borderId="10" xfId="40" applyFont="1" applyFill="1" applyBorder="1" applyAlignment="1" applyProtection="1">
      <alignment horizontal="center" vertical="center" wrapText="1"/>
      <protection hidden="1"/>
    </xf>
    <xf numFmtId="0" fontId="12" fillId="24" borderId="40" xfId="52" applyFont="1" applyFill="1" applyBorder="1" applyAlignment="1" applyProtection="1">
      <alignment horizontal="left" vertical="top" wrapText="1"/>
      <protection hidden="1"/>
    </xf>
    <xf numFmtId="0" fontId="12" fillId="35" borderId="97" xfId="52" applyFont="1" applyFill="1" applyBorder="1" applyAlignment="1" applyProtection="1">
      <alignment horizontal="left" vertical="top" wrapText="1"/>
      <protection hidden="1"/>
    </xf>
    <xf numFmtId="0" fontId="12" fillId="35" borderId="10" xfId="52" applyFont="1" applyFill="1" applyBorder="1" applyAlignment="1" applyProtection="1">
      <alignment horizontal="left" vertical="top" wrapText="1"/>
      <protection hidden="1"/>
    </xf>
    <xf numFmtId="0" fontId="12" fillId="24" borderId="0" xfId="52" applyFont="1" applyFill="1" applyBorder="1" applyAlignment="1" applyProtection="1">
      <alignment horizontal="left" vertical="top" wrapText="1"/>
      <protection hidden="1"/>
    </xf>
    <xf numFmtId="0" fontId="12" fillId="33" borderId="94" xfId="52" applyFont="1" applyFill="1" applyBorder="1" applyAlignment="1" applyProtection="1">
      <alignment vertical="top" wrapText="1"/>
      <protection hidden="1"/>
    </xf>
    <xf numFmtId="0" fontId="12" fillId="33" borderId="43" xfId="52" applyFont="1" applyFill="1" applyBorder="1" applyAlignment="1" applyProtection="1">
      <alignment vertical="top" wrapText="1"/>
      <protection hidden="1"/>
    </xf>
    <xf numFmtId="0" fontId="12" fillId="17" borderId="10" xfId="52" applyFont="1" applyFill="1" applyBorder="1" applyAlignment="1" applyProtection="1">
      <alignment vertical="top" wrapText="1"/>
      <protection hidden="1"/>
    </xf>
    <xf numFmtId="0" fontId="12" fillId="17" borderId="37" xfId="52" applyFont="1" applyFill="1" applyBorder="1" applyAlignment="1" applyProtection="1">
      <alignment vertical="top" wrapText="1"/>
      <protection hidden="1"/>
    </xf>
    <xf numFmtId="0" fontId="12" fillId="33" borderId="71" xfId="52" applyFont="1" applyFill="1" applyBorder="1" applyAlignment="1" applyProtection="1">
      <alignment vertical="top" wrapText="1"/>
      <protection hidden="1"/>
    </xf>
    <xf numFmtId="0" fontId="12" fillId="17" borderId="10" xfId="40" applyFont="1" applyFill="1" applyBorder="1" applyAlignment="1" applyProtection="1">
      <alignment vertical="top" wrapText="1"/>
      <protection hidden="1"/>
    </xf>
    <xf numFmtId="0" fontId="16" fillId="24" borderId="94" xfId="40" applyFont="1" applyFill="1" applyBorder="1" applyAlignment="1" applyProtection="1">
      <alignment vertical="top" wrapText="1"/>
      <protection hidden="1"/>
    </xf>
    <xf numFmtId="0" fontId="6" fillId="33" borderId="10" xfId="52" applyFont="1" applyFill="1" applyBorder="1" applyAlignment="1" applyProtection="1">
      <alignment vertical="top" wrapText="1"/>
      <protection hidden="1"/>
    </xf>
    <xf numFmtId="0" fontId="19" fillId="17" borderId="139" xfId="40" applyFont="1" applyFill="1" applyBorder="1" applyAlignment="1" applyProtection="1">
      <alignment vertical="top" wrapText="1"/>
      <protection hidden="1"/>
    </xf>
    <xf numFmtId="0" fontId="12" fillId="24" borderId="81" xfId="52" applyFont="1" applyFill="1" applyBorder="1" applyAlignment="1" applyProtection="1">
      <alignment horizontal="left" vertical="top" wrapText="1"/>
      <protection hidden="1"/>
    </xf>
    <xf numFmtId="0" fontId="12" fillId="35" borderId="10" xfId="52" applyFont="1" applyFill="1" applyBorder="1" applyAlignment="1" applyProtection="1">
      <alignment vertical="top" wrapText="1"/>
      <protection hidden="1"/>
    </xf>
    <xf numFmtId="0" fontId="16" fillId="24" borderId="10" xfId="40" applyFont="1" applyFill="1" applyBorder="1" applyAlignment="1" applyProtection="1">
      <alignment vertical="top" wrapText="1"/>
      <protection hidden="1"/>
    </xf>
    <xf numFmtId="0" fontId="16" fillId="33" borderId="18" xfId="40" applyFont="1" applyFill="1" applyBorder="1" applyAlignment="1" applyProtection="1">
      <alignment vertical="top" wrapText="1"/>
      <protection hidden="1"/>
    </xf>
    <xf numFmtId="0" fontId="19" fillId="33" borderId="10" xfId="40" applyFont="1" applyFill="1" applyBorder="1" applyAlignment="1" applyProtection="1">
      <alignment horizontal="left" vertical="top" wrapText="1"/>
      <protection hidden="1"/>
    </xf>
    <xf numFmtId="0" fontId="19" fillId="33" borderId="43" xfId="40" applyFont="1" applyFill="1" applyBorder="1" applyAlignment="1" applyProtection="1">
      <alignment horizontal="left" vertical="top" wrapText="1"/>
      <protection hidden="1"/>
    </xf>
    <xf numFmtId="0" fontId="12" fillId="33" borderId="10" xfId="40" applyFont="1" applyFill="1" applyBorder="1" applyAlignment="1" applyProtection="1">
      <alignment horizontal="left" vertical="top" wrapText="1"/>
      <protection hidden="1"/>
    </xf>
    <xf numFmtId="0" fontId="171" fillId="33" borderId="14" xfId="52" applyFont="1" applyFill="1" applyBorder="1" applyAlignment="1" applyProtection="1">
      <alignment horizontal="left" vertical="top" wrapText="1"/>
      <protection hidden="1"/>
    </xf>
    <xf numFmtId="0" fontId="12" fillId="33" borderId="61" xfId="52" applyFont="1" applyFill="1" applyBorder="1" applyAlignment="1" applyProtection="1">
      <alignment horizontal="left" vertical="top" wrapText="1"/>
      <protection hidden="1"/>
    </xf>
    <xf numFmtId="0" fontId="12" fillId="33" borderId="10" xfId="52" applyFont="1" applyFill="1" applyBorder="1" applyAlignment="1" applyProtection="1">
      <alignment horizontal="left" vertical="top" wrapText="1" readingOrder="1"/>
      <protection hidden="1"/>
    </xf>
    <xf numFmtId="0" fontId="12" fillId="24" borderId="10" xfId="52" applyFont="1" applyFill="1" applyBorder="1" applyAlignment="1" applyProtection="1">
      <alignment horizontal="left" vertical="top" wrapText="1"/>
      <protection hidden="1"/>
    </xf>
    <xf numFmtId="0" fontId="31" fillId="26" borderId="0" xfId="40" applyFont="1" applyFill="1" applyBorder="1" applyAlignment="1" applyProtection="1">
      <alignment horizontal="left" vertical="top" wrapText="1"/>
      <protection hidden="1"/>
    </xf>
    <xf numFmtId="0" fontId="17" fillId="26" borderId="0" xfId="40" applyFont="1" applyFill="1" applyBorder="1" applyAlignment="1" applyProtection="1">
      <alignment horizontal="left" vertical="center" wrapText="1"/>
      <protection hidden="1"/>
    </xf>
    <xf numFmtId="0" fontId="12" fillId="33" borderId="43" xfId="40" applyFont="1" applyFill="1" applyBorder="1" applyAlignment="1" applyProtection="1">
      <alignment horizontal="left" vertical="top" wrapText="1"/>
      <protection hidden="1"/>
    </xf>
    <xf numFmtId="0" fontId="19" fillId="17" borderId="10" xfId="40" applyFont="1" applyFill="1" applyBorder="1" applyAlignment="1" applyProtection="1">
      <alignment horizontal="center" vertical="center" wrapText="1"/>
      <protection hidden="1"/>
    </xf>
    <xf numFmtId="0" fontId="12" fillId="24" borderId="43" xfId="40" applyFont="1" applyFill="1" applyBorder="1" applyAlignment="1" applyProtection="1">
      <alignment vertical="top" wrapText="1"/>
      <protection hidden="1"/>
    </xf>
    <xf numFmtId="0" fontId="12" fillId="24" borderId="10" xfId="40" applyFont="1" applyFill="1" applyBorder="1" applyAlignment="1" applyProtection="1">
      <alignment vertical="top" wrapText="1"/>
      <protection hidden="1"/>
    </xf>
    <xf numFmtId="0" fontId="12" fillId="24" borderId="10" xfId="110" applyFont="1" applyFill="1" applyBorder="1" applyAlignment="1" applyProtection="1">
      <alignment horizontal="left" vertical="top" wrapText="1"/>
      <protection hidden="1"/>
    </xf>
    <xf numFmtId="0" fontId="31" fillId="26" borderId="0" xfId="40" applyFont="1" applyFill="1" applyBorder="1" applyAlignment="1" applyProtection="1">
      <alignment horizontal="left" vertical="top" wrapText="1"/>
      <protection hidden="1"/>
    </xf>
    <xf numFmtId="0" fontId="150" fillId="26" borderId="0" xfId="40" applyFont="1" applyFill="1" applyBorder="1" applyAlignment="1" applyProtection="1">
      <alignment horizontal="left" vertical="center" wrapText="1"/>
      <protection hidden="1"/>
    </xf>
    <xf numFmtId="0" fontId="12" fillId="24" borderId="43" xfId="40" applyNumberFormat="1" applyFont="1" applyFill="1" applyBorder="1" applyAlignment="1" applyProtection="1">
      <alignment vertical="top" wrapText="1"/>
      <protection hidden="1"/>
    </xf>
    <xf numFmtId="0" fontId="12" fillId="24" borderId="71" xfId="40" applyFont="1" applyFill="1" applyBorder="1" applyAlignment="1" applyProtection="1">
      <alignment vertical="top" wrapText="1"/>
      <protection hidden="1"/>
    </xf>
    <xf numFmtId="0" fontId="12" fillId="24" borderId="10" xfId="52" applyFont="1" applyFill="1" applyBorder="1" applyAlignment="1" applyProtection="1">
      <alignment vertical="top" wrapText="1"/>
      <protection hidden="1"/>
    </xf>
    <xf numFmtId="0" fontId="12" fillId="0" borderId="10" xfId="109" applyFont="1" applyFill="1" applyBorder="1" applyAlignment="1" applyProtection="1">
      <alignment vertical="top" wrapText="1"/>
      <protection hidden="1"/>
    </xf>
    <xf numFmtId="0" fontId="12" fillId="0" borderId="10" xfId="52" applyFont="1" applyFill="1" applyBorder="1" applyAlignment="1" applyProtection="1">
      <alignment vertical="top" wrapText="1"/>
      <protection hidden="1"/>
    </xf>
    <xf numFmtId="0" fontId="12" fillId="33" borderId="10" xfId="52" applyFont="1" applyFill="1" applyBorder="1" applyAlignment="1" applyProtection="1">
      <alignment vertical="top" wrapText="1"/>
      <protection hidden="1"/>
    </xf>
    <xf numFmtId="0" fontId="12" fillId="24" borderId="10" xfId="110" applyFont="1" applyFill="1" applyBorder="1" applyAlignment="1" applyProtection="1">
      <alignment vertical="top" wrapText="1"/>
      <protection hidden="1"/>
    </xf>
    <xf numFmtId="0" fontId="12" fillId="24" borderId="71" xfId="40" applyFont="1" applyFill="1" applyBorder="1" applyAlignment="1" applyProtection="1">
      <alignment horizontal="left" vertical="top" wrapText="1"/>
      <protection hidden="1"/>
    </xf>
    <xf numFmtId="0" fontId="12" fillId="24" borderId="43" xfId="40" applyFont="1" applyFill="1" applyBorder="1" applyAlignment="1" applyProtection="1">
      <alignment horizontal="left" vertical="top" wrapText="1"/>
      <protection hidden="1"/>
    </xf>
    <xf numFmtId="0" fontId="20" fillId="33" borderId="13" xfId="40" applyFont="1" applyFill="1" applyBorder="1" applyAlignment="1" applyProtection="1">
      <alignment horizontal="left" vertical="top" wrapText="1"/>
      <protection hidden="1"/>
    </xf>
    <xf numFmtId="0" fontId="20" fillId="33" borderId="18" xfId="40" applyFont="1" applyFill="1" applyBorder="1" applyAlignment="1" applyProtection="1">
      <alignment horizontal="left" vertical="top" wrapText="1"/>
      <protection hidden="1"/>
    </xf>
    <xf numFmtId="0" fontId="16" fillId="33" borderId="18" xfId="40" applyFont="1" applyFill="1" applyBorder="1" applyAlignment="1" applyProtection="1">
      <alignment horizontal="left" vertical="top" wrapText="1"/>
      <protection hidden="1"/>
    </xf>
    <xf numFmtId="0" fontId="16" fillId="33" borderId="43" xfId="40" applyFont="1" applyFill="1" applyBorder="1" applyAlignment="1" applyProtection="1">
      <alignment horizontal="left" vertical="top" wrapText="1"/>
      <protection hidden="1"/>
    </xf>
    <xf numFmtId="0" fontId="20" fillId="0" borderId="80" xfId="40" applyFont="1" applyFill="1" applyBorder="1" applyAlignment="1" applyProtection="1">
      <alignment horizontal="left" vertical="top" wrapText="1"/>
      <protection hidden="1"/>
    </xf>
    <xf numFmtId="0" fontId="19" fillId="0" borderId="81" xfId="40" applyFont="1" applyFill="1" applyBorder="1" applyAlignment="1" applyProtection="1">
      <alignment horizontal="left" vertical="top" wrapText="1"/>
      <protection hidden="1"/>
    </xf>
    <xf numFmtId="0" fontId="156" fillId="0" borderId="81" xfId="40" applyFont="1" applyFill="1" applyBorder="1" applyAlignment="1" applyProtection="1">
      <alignment horizontal="center" vertical="center" wrapText="1"/>
      <protection hidden="1"/>
    </xf>
    <xf numFmtId="0" fontId="20" fillId="0" borderId="72" xfId="40" applyFont="1" applyFill="1" applyBorder="1" applyAlignment="1" applyProtection="1">
      <alignment vertical="top" wrapText="1"/>
      <protection hidden="1"/>
    </xf>
    <xf numFmtId="0" fontId="19" fillId="0" borderId="71" xfId="40" applyFont="1" applyFill="1" applyBorder="1" applyAlignment="1" applyProtection="1">
      <alignment vertical="top" wrapText="1"/>
      <protection hidden="1"/>
    </xf>
    <xf numFmtId="0" fontId="20" fillId="0" borderId="41" xfId="40" applyFont="1" applyFill="1" applyBorder="1" applyAlignment="1" applyProtection="1">
      <alignment vertical="top" wrapText="1"/>
      <protection hidden="1"/>
    </xf>
    <xf numFmtId="0" fontId="19" fillId="0" borderId="43" xfId="40" applyFont="1" applyFill="1" applyBorder="1" applyAlignment="1" applyProtection="1">
      <alignment vertical="top" wrapText="1"/>
      <protection hidden="1"/>
    </xf>
    <xf numFmtId="0" fontId="19" fillId="0" borderId="64" xfId="40" applyFont="1" applyFill="1" applyBorder="1" applyAlignment="1" applyProtection="1">
      <alignment horizontal="center" vertical="center" wrapText="1"/>
      <protection hidden="1"/>
    </xf>
    <xf numFmtId="0" fontId="12" fillId="0" borderId="64" xfId="40" applyFont="1" applyFill="1" applyBorder="1" applyAlignment="1" applyProtection="1">
      <alignment horizontal="center" vertical="center" wrapText="1"/>
      <protection hidden="1"/>
    </xf>
    <xf numFmtId="0" fontId="41" fillId="64" borderId="49" xfId="0" applyFont="1" applyFill="1" applyBorder="1" applyAlignment="1" applyProtection="1">
      <alignment vertical="center" wrapText="1"/>
      <protection hidden="1"/>
    </xf>
    <xf numFmtId="0" fontId="41" fillId="64" borderId="79" xfId="0" applyFont="1" applyFill="1" applyBorder="1" applyAlignment="1" applyProtection="1">
      <alignment vertical="center" wrapText="1"/>
      <protection hidden="1"/>
    </xf>
    <xf numFmtId="0" fontId="41" fillId="64" borderId="79" xfId="0" applyFont="1" applyFill="1" applyBorder="1" applyAlignment="1" applyProtection="1">
      <alignment horizontal="center" vertical="center" wrapText="1"/>
      <protection hidden="1"/>
    </xf>
    <xf numFmtId="0" fontId="41" fillId="64" borderId="111" xfId="0" applyFont="1" applyFill="1" applyBorder="1" applyAlignment="1" applyProtection="1">
      <alignment horizontal="center" vertical="center" wrapText="1"/>
      <protection hidden="1"/>
    </xf>
    <xf numFmtId="0" fontId="41" fillId="64" borderId="51" xfId="0" applyFont="1" applyFill="1" applyBorder="1" applyAlignment="1" applyProtection="1">
      <alignment horizontal="center" vertical="center" wrapText="1"/>
      <protection hidden="1"/>
    </xf>
    <xf numFmtId="0" fontId="41" fillId="64" borderId="52" xfId="0" applyFont="1" applyFill="1" applyBorder="1" applyAlignment="1" applyProtection="1">
      <alignment horizontal="center" vertical="center" wrapText="1"/>
      <protection hidden="1"/>
    </xf>
    <xf numFmtId="0" fontId="64" fillId="64" borderId="54" xfId="0" applyFont="1" applyFill="1" applyBorder="1" applyAlignment="1" applyProtection="1">
      <alignment vertical="center"/>
      <protection hidden="1"/>
    </xf>
    <xf numFmtId="0" fontId="31" fillId="64" borderId="100" xfId="0" applyFont="1" applyFill="1" applyBorder="1" applyAlignment="1" applyProtection="1">
      <alignment vertical="center"/>
      <protection hidden="1"/>
    </xf>
    <xf numFmtId="0" fontId="31" fillId="64" borderId="100" xfId="0" applyFont="1" applyFill="1" applyBorder="1" applyAlignment="1" applyProtection="1">
      <alignment horizontal="center" vertical="center"/>
      <protection hidden="1"/>
    </xf>
    <xf numFmtId="0" fontId="31" fillId="64" borderId="74" xfId="0" applyFont="1" applyFill="1" applyBorder="1" applyAlignment="1" applyProtection="1">
      <alignment horizontal="center" vertical="center"/>
      <protection hidden="1"/>
    </xf>
    <xf numFmtId="0" fontId="31" fillId="64" borderId="55" xfId="0" applyFont="1" applyFill="1" applyBorder="1" applyAlignment="1" applyProtection="1">
      <alignment horizontal="center" vertical="center"/>
      <protection hidden="1"/>
    </xf>
    <xf numFmtId="0" fontId="64" fillId="64" borderId="117" xfId="0" applyFont="1" applyFill="1" applyBorder="1" applyAlignment="1" applyProtection="1">
      <alignment vertical="center"/>
      <protection hidden="1"/>
    </xf>
    <xf numFmtId="0" fontId="31" fillId="64" borderId="118" xfId="0" applyFont="1" applyFill="1" applyBorder="1" applyAlignment="1" applyProtection="1">
      <alignment vertical="center"/>
      <protection hidden="1"/>
    </xf>
    <xf numFmtId="0" fontId="31" fillId="64" borderId="118" xfId="0" applyFont="1" applyFill="1" applyBorder="1" applyAlignment="1" applyProtection="1">
      <alignment horizontal="center" vertical="center"/>
      <protection hidden="1"/>
    </xf>
    <xf numFmtId="0" fontId="31" fillId="64" borderId="119" xfId="0" applyFont="1" applyFill="1" applyBorder="1" applyAlignment="1" applyProtection="1">
      <alignment horizontal="center" vertical="center"/>
      <protection hidden="1"/>
    </xf>
    <xf numFmtId="0" fontId="31" fillId="64" borderId="122" xfId="0" applyFont="1" applyFill="1" applyBorder="1" applyAlignment="1" applyProtection="1">
      <alignment horizontal="center" vertical="center"/>
      <protection hidden="1"/>
    </xf>
    <xf numFmtId="0" fontId="144" fillId="64" borderId="53" xfId="40" applyFont="1" applyFill="1" applyBorder="1" applyAlignment="1" applyProtection="1">
      <alignment horizontal="center" vertical="center" wrapText="1"/>
      <protection hidden="1"/>
    </xf>
    <xf numFmtId="0" fontId="144" fillId="64" borderId="53" xfId="40" applyFont="1" applyFill="1" applyBorder="1" applyAlignment="1" applyProtection="1">
      <alignment horizontal="center" vertical="center"/>
      <protection hidden="1"/>
    </xf>
    <xf numFmtId="166" fontId="109" fillId="64" borderId="53" xfId="45" applyNumberFormat="1" applyFont="1" applyFill="1" applyBorder="1" applyAlignment="1" applyProtection="1">
      <alignment horizontal="center" vertical="center"/>
      <protection hidden="1"/>
    </xf>
    <xf numFmtId="0" fontId="41" fillId="64" borderId="80" xfId="40" applyFont="1" applyFill="1" applyBorder="1" applyAlignment="1" applyProtection="1">
      <alignment horizontal="left" vertical="center" wrapText="1"/>
      <protection hidden="1"/>
    </xf>
    <xf numFmtId="0" fontId="41" fillId="64" borderId="81" xfId="40" applyFont="1" applyFill="1" applyBorder="1" applyAlignment="1" applyProtection="1">
      <alignment horizontal="left" vertical="center" wrapText="1"/>
      <protection hidden="1"/>
    </xf>
    <xf numFmtId="0" fontId="41" fillId="64" borderId="81" xfId="40" applyFont="1" applyFill="1" applyBorder="1" applyAlignment="1" applyProtection="1">
      <alignment horizontal="center" vertical="center" wrapText="1"/>
      <protection hidden="1"/>
    </xf>
    <xf numFmtId="0" fontId="41" fillId="64" borderId="82" xfId="40" applyFont="1" applyFill="1" applyBorder="1" applyAlignment="1" applyProtection="1">
      <alignment horizontal="left" vertical="center" wrapText="1"/>
      <protection hidden="1"/>
    </xf>
    <xf numFmtId="0" fontId="44" fillId="64" borderId="49" xfId="40" applyFont="1" applyFill="1" applyBorder="1" applyAlignment="1" applyProtection="1">
      <alignment horizontal="right" vertical="top" wrapText="1"/>
      <protection hidden="1"/>
    </xf>
    <xf numFmtId="0" fontId="44" fillId="64" borderId="79" xfId="40" applyFont="1" applyFill="1" applyBorder="1" applyAlignment="1" applyProtection="1">
      <alignment horizontal="right" vertical="top" wrapText="1"/>
      <protection hidden="1"/>
    </xf>
    <xf numFmtId="0" fontId="49" fillId="64" borderId="79" xfId="40" applyFont="1" applyFill="1" applyBorder="1" applyAlignment="1" applyProtection="1">
      <alignment horizontal="right" vertical="center" wrapText="1"/>
      <protection hidden="1"/>
    </xf>
    <xf numFmtId="0" fontId="56" fillId="64" borderId="51" xfId="40" applyFont="1" applyFill="1" applyBorder="1" applyAlignment="1" applyProtection="1">
      <alignment horizontal="center" vertical="center" wrapText="1"/>
      <protection hidden="1"/>
    </xf>
    <xf numFmtId="0" fontId="57" fillId="64" borderId="52" xfId="40" applyFont="1" applyFill="1" applyBorder="1" applyAlignment="1" applyProtection="1">
      <alignment horizontal="left" vertical="center" wrapText="1"/>
      <protection hidden="1"/>
    </xf>
    <xf numFmtId="0" fontId="44" fillId="64" borderId="10" xfId="41" applyFont="1" applyFill="1" applyBorder="1" applyAlignment="1" applyProtection="1">
      <alignment vertical="center"/>
      <protection hidden="1"/>
    </xf>
    <xf numFmtId="0" fontId="41" fillId="64" borderId="50" xfId="41" applyFont="1" applyFill="1" applyBorder="1" applyAlignment="1" applyProtection="1">
      <alignment horizontal="left" vertical="center" wrapText="1"/>
      <protection hidden="1"/>
    </xf>
    <xf numFmtId="0" fontId="41" fillId="64" borderId="51" xfId="41" applyFont="1" applyFill="1" applyBorder="1" applyAlignment="1" applyProtection="1">
      <alignment horizontal="left" vertical="center" wrapText="1"/>
      <protection hidden="1"/>
    </xf>
    <xf numFmtId="0" fontId="41" fillId="64" borderId="52" xfId="41" applyFont="1" applyFill="1" applyBorder="1" applyAlignment="1" applyProtection="1">
      <alignment horizontal="center" vertical="center" wrapText="1"/>
      <protection hidden="1"/>
    </xf>
    <xf numFmtId="0" fontId="41" fillId="64" borderId="52" xfId="41" applyFont="1" applyFill="1" applyBorder="1" applyAlignment="1" applyProtection="1">
      <alignment horizontal="center" vertical="center"/>
      <protection hidden="1"/>
    </xf>
    <xf numFmtId="0" fontId="43" fillId="64" borderId="50" xfId="40" applyFont="1" applyFill="1" applyBorder="1" applyAlignment="1" applyProtection="1">
      <alignment horizontal="left" vertical="center" wrapText="1"/>
      <protection hidden="1"/>
    </xf>
    <xf numFmtId="0" fontId="43" fillId="64" borderId="51" xfId="40" applyFont="1" applyFill="1" applyBorder="1" applyAlignment="1" applyProtection="1">
      <alignment horizontal="left" vertical="center" wrapText="1"/>
      <protection hidden="1"/>
    </xf>
    <xf numFmtId="0" fontId="43" fillId="64" borderId="51" xfId="40" applyFont="1" applyFill="1" applyBorder="1" applyAlignment="1" applyProtection="1">
      <alignment horizontal="center" vertical="center" wrapText="1"/>
      <protection hidden="1"/>
    </xf>
    <xf numFmtId="0" fontId="41" fillId="64" borderId="52" xfId="40" applyFont="1" applyFill="1" applyBorder="1" applyAlignment="1" applyProtection="1">
      <alignment horizontal="left" vertical="center" wrapText="1"/>
      <protection hidden="1"/>
    </xf>
    <xf numFmtId="0" fontId="65" fillId="64" borderId="52" xfId="40" applyFont="1" applyFill="1" applyBorder="1" applyAlignment="1" applyProtection="1">
      <alignment horizontal="left" vertical="center" wrapText="1"/>
      <protection hidden="1"/>
    </xf>
    <xf numFmtId="0" fontId="29" fillId="64" borderId="10" xfId="41" applyFont="1" applyFill="1" applyBorder="1" applyAlignment="1" applyProtection="1">
      <alignment horizontal="center" vertical="center"/>
      <protection hidden="1"/>
    </xf>
    <xf numFmtId="0" fontId="31" fillId="64" borderId="10" xfId="42" applyFont="1" applyFill="1" applyBorder="1" applyAlignment="1" applyProtection="1">
      <alignment vertical="top" wrapText="1"/>
      <protection hidden="1"/>
    </xf>
    <xf numFmtId="0" fontId="44" fillId="64" borderId="71" xfId="42" applyFont="1" applyFill="1" applyBorder="1" applyProtection="1">
      <protection hidden="1"/>
    </xf>
    <xf numFmtId="0" fontId="31" fillId="64" borderId="74" xfId="42" applyFont="1" applyFill="1" applyBorder="1" applyAlignment="1" applyProtection="1">
      <alignment horizontal="center"/>
      <protection locked="0" hidden="1"/>
    </xf>
    <xf numFmtId="0" fontId="31" fillId="64" borderId="13" xfId="42" applyFont="1" applyFill="1" applyBorder="1" applyAlignment="1" applyProtection="1">
      <alignment horizontal="center"/>
      <protection locked="0" hidden="1"/>
    </xf>
    <xf numFmtId="0" fontId="64" fillId="64" borderId="43" xfId="42" applyFont="1" applyFill="1" applyBorder="1" applyAlignment="1" applyProtection="1">
      <alignment vertical="top"/>
      <protection hidden="1"/>
    </xf>
    <xf numFmtId="0" fontId="41" fillId="64" borderId="102" xfId="42" applyFont="1" applyFill="1" applyBorder="1" applyAlignment="1" applyProtection="1">
      <alignment horizontal="center" vertical="top" wrapText="1"/>
      <protection locked="0" hidden="1"/>
    </xf>
    <xf numFmtId="0" fontId="41" fillId="64" borderId="72" xfId="42" applyFont="1" applyFill="1" applyBorder="1" applyAlignment="1" applyProtection="1">
      <alignment horizontal="center" vertical="top" wrapText="1"/>
      <protection locked="0" hidden="1"/>
    </xf>
    <xf numFmtId="0" fontId="41" fillId="64" borderId="10" xfId="42" applyFont="1" applyFill="1" applyBorder="1" applyAlignment="1" applyProtection="1">
      <alignment horizontal="center" vertical="center" wrapText="1"/>
      <protection hidden="1"/>
    </xf>
    <xf numFmtId="0" fontId="41" fillId="64" borderId="75" xfId="42" applyFont="1" applyFill="1" applyBorder="1" applyAlignment="1" applyProtection="1">
      <alignment horizontal="center" vertical="top" wrapText="1"/>
      <protection hidden="1"/>
    </xf>
    <xf numFmtId="0" fontId="31" fillId="64" borderId="43" xfId="42" applyFont="1" applyFill="1" applyBorder="1" applyProtection="1">
      <protection hidden="1"/>
    </xf>
    <xf numFmtId="0" fontId="31" fillId="64" borderId="10" xfId="42" applyFont="1" applyFill="1" applyBorder="1" applyAlignment="1" applyProtection="1">
      <alignment horizontal="center"/>
      <protection locked="0" hidden="1"/>
    </xf>
    <xf numFmtId="0" fontId="41" fillId="64" borderId="10" xfId="42" applyFont="1" applyFill="1" applyBorder="1" applyAlignment="1" applyProtection="1">
      <alignment horizontal="center"/>
      <protection locked="0" hidden="1"/>
    </xf>
    <xf numFmtId="0" fontId="31" fillId="64" borderId="10" xfId="42" applyFont="1" applyFill="1" applyBorder="1" applyProtection="1">
      <protection hidden="1"/>
    </xf>
    <xf numFmtId="0" fontId="41" fillId="64" borderId="10" xfId="42" applyFont="1" applyFill="1" applyBorder="1" applyAlignment="1" applyProtection="1">
      <alignment horizontal="right"/>
      <protection hidden="1"/>
    </xf>
    <xf numFmtId="0" fontId="31" fillId="64" borderId="10" xfId="42" applyFont="1" applyFill="1" applyBorder="1" applyAlignment="1" applyProtection="1">
      <alignment horizontal="justify" vertical="center" wrapText="1"/>
      <protection hidden="1"/>
    </xf>
    <xf numFmtId="0" fontId="44" fillId="64" borderId="10" xfId="42" applyFont="1" applyFill="1" applyBorder="1" applyAlignment="1" applyProtection="1">
      <alignment horizontal="left" vertical="center" wrapText="1"/>
      <protection hidden="1"/>
    </xf>
    <xf numFmtId="0" fontId="41" fillId="64" borderId="50" xfId="40" applyFont="1" applyFill="1" applyBorder="1" applyAlignment="1" applyProtection="1">
      <alignment horizontal="left" vertical="center" wrapText="1"/>
      <protection hidden="1"/>
    </xf>
    <xf numFmtId="0" fontId="41" fillId="64" borderId="51" xfId="40" applyFont="1" applyFill="1" applyBorder="1" applyAlignment="1" applyProtection="1">
      <alignment horizontal="left" vertical="center" wrapText="1"/>
      <protection hidden="1"/>
    </xf>
    <xf numFmtId="0" fontId="41" fillId="64" borderId="51" xfId="40" applyFont="1" applyFill="1" applyBorder="1" applyAlignment="1" applyProtection="1">
      <alignment horizontal="center" vertical="center" wrapText="1"/>
      <protection hidden="1"/>
    </xf>
    <xf numFmtId="0" fontId="64" fillId="64" borderId="52" xfId="40" applyFont="1" applyFill="1" applyBorder="1" applyAlignment="1" applyProtection="1">
      <alignment horizontal="left" vertical="center" wrapText="1"/>
      <protection hidden="1"/>
    </xf>
    <xf numFmtId="0" fontId="67" fillId="64" borderId="52" xfId="40" applyFont="1" applyFill="1" applyBorder="1" applyAlignment="1" applyProtection="1">
      <alignment horizontal="left" vertical="center" wrapText="1"/>
      <protection hidden="1"/>
    </xf>
    <xf numFmtId="0" fontId="43" fillId="64" borderId="80" xfId="40" applyFont="1" applyFill="1" applyBorder="1" applyAlignment="1" applyProtection="1">
      <alignment horizontal="left" vertical="center" wrapText="1"/>
      <protection hidden="1"/>
    </xf>
    <xf numFmtId="0" fontId="43" fillId="64" borderId="81" xfId="40" applyFont="1" applyFill="1" applyBorder="1" applyAlignment="1" applyProtection="1">
      <alignment horizontal="left" vertical="center" wrapText="1"/>
      <protection hidden="1"/>
    </xf>
    <xf numFmtId="0" fontId="43" fillId="64" borderId="81" xfId="40" applyFont="1" applyFill="1" applyBorder="1" applyAlignment="1" applyProtection="1">
      <alignment horizontal="center" vertical="center" wrapText="1"/>
      <protection hidden="1"/>
    </xf>
    <xf numFmtId="0" fontId="64" fillId="64" borderId="15" xfId="42" applyFont="1" applyFill="1" applyBorder="1" applyProtection="1">
      <protection hidden="1"/>
    </xf>
    <xf numFmtId="0" fontId="64" fillId="64" borderId="47" xfId="42" applyFont="1" applyFill="1" applyBorder="1" applyAlignment="1" applyProtection="1">
      <alignment horizontal="center" vertical="center"/>
      <protection hidden="1"/>
    </xf>
    <xf numFmtId="0" fontId="64" fillId="64" borderId="48" xfId="42" applyFont="1" applyFill="1" applyBorder="1" applyAlignment="1" applyProtection="1">
      <alignment horizontal="center" vertical="center"/>
      <protection hidden="1"/>
    </xf>
    <xf numFmtId="0" fontId="65" fillId="64" borderId="11" xfId="42" applyFont="1" applyFill="1" applyBorder="1" applyAlignment="1" applyProtection="1">
      <alignment vertical="center"/>
      <protection hidden="1"/>
    </xf>
    <xf numFmtId="0" fontId="65" fillId="64" borderId="19" xfId="42" applyFont="1" applyFill="1" applyBorder="1" applyAlignment="1" applyProtection="1">
      <alignment horizontal="center" vertical="center"/>
      <protection hidden="1"/>
    </xf>
    <xf numFmtId="0" fontId="66" fillId="64" borderId="19" xfId="42" applyFont="1" applyFill="1" applyBorder="1" applyAlignment="1" applyProtection="1">
      <alignment horizontal="center" vertical="center"/>
      <protection hidden="1"/>
    </xf>
    <xf numFmtId="0" fontId="65" fillId="64" borderId="12" xfId="42" applyFont="1" applyFill="1" applyBorder="1" applyAlignment="1" applyProtection="1">
      <alignment vertical="center"/>
      <protection hidden="1"/>
    </xf>
    <xf numFmtId="0" fontId="65" fillId="64" borderId="45" xfId="42" applyFont="1" applyFill="1" applyBorder="1" applyAlignment="1" applyProtection="1">
      <alignment horizontal="center" vertical="center"/>
      <protection hidden="1"/>
    </xf>
    <xf numFmtId="0" fontId="65" fillId="64" borderId="22" xfId="42" applyFont="1" applyFill="1" applyBorder="1" applyAlignment="1" applyProtection="1">
      <alignment horizontal="center" vertical="center"/>
      <protection hidden="1"/>
    </xf>
    <xf numFmtId="0" fontId="66" fillId="64" borderId="45" xfId="42" applyFont="1" applyFill="1" applyBorder="1" applyAlignment="1" applyProtection="1">
      <alignment horizontal="center" vertical="center"/>
      <protection hidden="1"/>
    </xf>
    <xf numFmtId="0" fontId="66" fillId="64" borderId="22" xfId="42" applyFont="1" applyFill="1" applyBorder="1" applyAlignment="1" applyProtection="1">
      <alignment horizontal="center" vertical="center"/>
      <protection hidden="1"/>
    </xf>
    <xf numFmtId="0" fontId="64" fillId="64" borderId="49" xfId="42" applyFont="1" applyFill="1" applyBorder="1" applyProtection="1">
      <protection hidden="1"/>
    </xf>
    <xf numFmtId="0" fontId="65" fillId="64" borderId="79" xfId="42" applyFont="1" applyFill="1" applyBorder="1" applyAlignment="1" applyProtection="1">
      <alignment horizontal="center"/>
      <protection hidden="1"/>
    </xf>
    <xf numFmtId="0" fontId="65" fillId="64" borderId="105" xfId="42" applyFont="1" applyFill="1" applyBorder="1" applyAlignment="1" applyProtection="1">
      <alignment horizontal="center"/>
      <protection hidden="1"/>
    </xf>
    <xf numFmtId="0" fontId="64" fillId="64" borderId="41" xfId="42" applyFont="1" applyFill="1" applyBorder="1" applyAlignment="1" applyProtection="1">
      <alignment horizontal="center" vertical="center"/>
      <protection hidden="1"/>
    </xf>
    <xf numFmtId="0" fontId="64" fillId="64" borderId="49" xfId="0" applyFont="1" applyFill="1" applyBorder="1" applyAlignment="1" applyProtection="1">
      <alignment horizontal="left" vertical="center"/>
      <protection hidden="1"/>
    </xf>
    <xf numFmtId="0" fontId="0" fillId="64" borderId="79" xfId="0" applyFill="1" applyBorder="1" applyAlignment="1" applyProtection="1">
      <alignment vertical="center"/>
      <protection hidden="1"/>
    </xf>
    <xf numFmtId="166" fontId="19" fillId="64" borderId="18" xfId="28" applyNumberFormat="1" applyFont="1" applyFill="1" applyBorder="1" applyAlignment="1" applyProtection="1">
      <alignment horizontal="center" vertical="center"/>
      <protection hidden="1"/>
    </xf>
    <xf numFmtId="3" fontId="19" fillId="64" borderId="19" xfId="28" applyNumberFormat="1" applyFont="1" applyFill="1" applyBorder="1" applyAlignment="1" applyProtection="1">
      <alignment horizontal="center" vertical="center"/>
      <protection hidden="1"/>
    </xf>
    <xf numFmtId="3" fontId="19" fillId="64" borderId="10" xfId="28" applyNumberFormat="1" applyFont="1" applyFill="1" applyBorder="1" applyAlignment="1" applyProtection="1">
      <alignment horizontal="center" vertical="center"/>
      <protection hidden="1"/>
    </xf>
    <xf numFmtId="0" fontId="31" fillId="65" borderId="56" xfId="0" applyFont="1" applyFill="1" applyBorder="1" applyAlignment="1" applyProtection="1">
      <alignment vertical="center"/>
      <protection hidden="1"/>
    </xf>
    <xf numFmtId="0" fontId="0" fillId="64" borderId="62" xfId="0" applyFill="1" applyBorder="1" applyAlignment="1" applyProtection="1">
      <alignment vertical="center"/>
      <protection hidden="1"/>
    </xf>
    <xf numFmtId="0" fontId="31" fillId="65" borderId="101" xfId="0" applyFont="1" applyFill="1" applyBorder="1" applyAlignment="1" applyProtection="1">
      <alignment vertical="center"/>
      <protection hidden="1"/>
    </xf>
    <xf numFmtId="0" fontId="0" fillId="64" borderId="60" xfId="0" applyFill="1" applyBorder="1" applyAlignment="1" applyProtection="1">
      <alignment vertical="center"/>
      <protection hidden="1"/>
    </xf>
    <xf numFmtId="166" fontId="19" fillId="64" borderId="72" xfId="28" applyNumberFormat="1" applyFont="1" applyFill="1" applyBorder="1" applyAlignment="1" applyProtection="1">
      <alignment horizontal="center" vertical="center"/>
      <protection hidden="1"/>
    </xf>
    <xf numFmtId="3" fontId="19" fillId="64" borderId="113" xfId="28" applyNumberFormat="1" applyFont="1" applyFill="1" applyBorder="1" applyAlignment="1" applyProtection="1">
      <alignment horizontal="center" vertical="center"/>
      <protection hidden="1"/>
    </xf>
    <xf numFmtId="3" fontId="19" fillId="64" borderId="71" xfId="28" applyNumberFormat="1" applyFont="1" applyFill="1" applyBorder="1" applyAlignment="1" applyProtection="1">
      <alignment horizontal="center" vertical="center"/>
      <protection hidden="1"/>
    </xf>
    <xf numFmtId="0" fontId="41" fillId="65" borderId="49" xfId="0" applyFont="1" applyFill="1" applyBorder="1" applyAlignment="1" applyProtection="1">
      <alignment vertical="center"/>
      <protection hidden="1"/>
    </xf>
    <xf numFmtId="0" fontId="10" fillId="64" borderId="79" xfId="0" applyFont="1" applyFill="1" applyBorder="1" applyAlignment="1" applyProtection="1">
      <alignment vertical="center"/>
      <protection hidden="1"/>
    </xf>
    <xf numFmtId="166" fontId="20" fillId="64" borderId="50" xfId="28" applyNumberFormat="1" applyFont="1" applyFill="1" applyBorder="1" applyAlignment="1" applyProtection="1">
      <alignment horizontal="center" vertical="center"/>
      <protection hidden="1"/>
    </xf>
    <xf numFmtId="3" fontId="20" fillId="64" borderId="52" xfId="28" applyNumberFormat="1" applyFont="1" applyFill="1" applyBorder="1" applyAlignment="1" applyProtection="1">
      <alignment horizontal="center" vertical="center"/>
      <protection hidden="1"/>
    </xf>
    <xf numFmtId="3" fontId="20" fillId="64" borderId="51" xfId="28" applyNumberFormat="1" applyFont="1" applyFill="1" applyBorder="1" applyAlignment="1" applyProtection="1">
      <alignment horizontal="center" vertical="center"/>
      <protection hidden="1"/>
    </xf>
    <xf numFmtId="0" fontId="44" fillId="64" borderId="49" xfId="41" applyFont="1" applyFill="1" applyBorder="1" applyAlignment="1" applyProtection="1">
      <alignment vertical="center"/>
      <protection hidden="1"/>
    </xf>
    <xf numFmtId="0" fontId="54" fillId="64" borderId="79" xfId="41" applyFont="1" applyFill="1" applyBorder="1" applyAlignment="1" applyProtection="1">
      <alignment horizontal="right" vertical="center"/>
      <protection hidden="1"/>
    </xf>
    <xf numFmtId="0" fontId="31" fillId="64" borderId="54" xfId="39" applyFont="1" applyFill="1" applyBorder="1" applyProtection="1">
      <protection hidden="1"/>
    </xf>
    <xf numFmtId="0" fontId="31" fillId="64" borderId="100" xfId="39" applyFont="1" applyFill="1" applyBorder="1" applyProtection="1">
      <protection hidden="1"/>
    </xf>
    <xf numFmtId="0" fontId="31" fillId="64" borderId="56" xfId="39" applyFont="1" applyFill="1" applyBorder="1" applyProtection="1">
      <protection hidden="1"/>
    </xf>
    <xf numFmtId="0" fontId="31" fillId="64" borderId="62" xfId="39" applyFont="1" applyFill="1" applyBorder="1" applyProtection="1">
      <protection hidden="1"/>
    </xf>
    <xf numFmtId="0" fontId="31" fillId="64" borderId="57" xfId="39" applyFont="1" applyFill="1" applyBorder="1" applyProtection="1">
      <protection hidden="1"/>
    </xf>
    <xf numFmtId="0" fontId="31" fillId="64" borderId="103" xfId="39" applyFont="1" applyFill="1" applyBorder="1" applyProtection="1">
      <protection hidden="1"/>
    </xf>
    <xf numFmtId="0" fontId="64" fillId="64" borderId="79" xfId="0" applyFont="1" applyFill="1" applyBorder="1" applyAlignment="1" applyProtection="1">
      <alignment vertical="center"/>
      <protection hidden="1"/>
    </xf>
    <xf numFmtId="0" fontId="92" fillId="64" borderId="104" xfId="0" applyFont="1" applyFill="1" applyBorder="1" applyAlignment="1" applyProtection="1">
      <alignment horizontal="center" vertical="center" wrapText="1"/>
      <protection hidden="1"/>
    </xf>
    <xf numFmtId="0" fontId="12" fillId="64" borderId="56" xfId="39" applyFill="1" applyBorder="1" applyAlignment="1" applyProtection="1">
      <alignment vertical="center"/>
      <protection hidden="1"/>
    </xf>
    <xf numFmtId="0" fontId="12" fillId="64" borderId="62" xfId="39" applyFill="1" applyBorder="1" applyAlignment="1" applyProtection="1">
      <alignment vertical="center"/>
      <protection hidden="1"/>
    </xf>
    <xf numFmtId="0" fontId="31" fillId="64" borderId="62" xfId="39" applyFont="1" applyFill="1" applyBorder="1" applyAlignment="1" applyProtection="1">
      <alignment horizontal="right" vertical="center"/>
      <protection hidden="1"/>
    </xf>
    <xf numFmtId="2" fontId="31" fillId="64" borderId="11" xfId="39" applyNumberFormat="1" applyFont="1" applyFill="1" applyBorder="1" applyAlignment="1" applyProtection="1">
      <alignment vertical="center"/>
      <protection hidden="1"/>
    </xf>
    <xf numFmtId="2" fontId="31" fillId="64" borderId="18" xfId="39" applyNumberFormat="1" applyFont="1" applyFill="1" applyBorder="1" applyAlignment="1" applyProtection="1">
      <alignment vertical="center"/>
      <protection hidden="1"/>
    </xf>
    <xf numFmtId="170" fontId="31" fillId="64" borderId="19" xfId="28" applyNumberFormat="1" applyFont="1" applyFill="1" applyBorder="1" applyAlignment="1" applyProtection="1">
      <alignment vertical="center"/>
      <protection hidden="1"/>
    </xf>
    <xf numFmtId="168" fontId="19" fillId="64" borderId="19" xfId="28" applyNumberFormat="1" applyFont="1" applyFill="1" applyBorder="1" applyAlignment="1" applyProtection="1">
      <alignment horizontal="right" vertical="center" wrapText="1"/>
      <protection hidden="1"/>
    </xf>
    <xf numFmtId="168" fontId="41" fillId="64" borderId="104" xfId="28" applyNumberFormat="1" applyFont="1" applyFill="1" applyBorder="1" applyAlignment="1" applyProtection="1">
      <alignment vertical="center"/>
      <protection hidden="1"/>
    </xf>
    <xf numFmtId="168" fontId="41" fillId="64" borderId="47" xfId="28" applyNumberFormat="1" applyFont="1" applyFill="1" applyBorder="1" applyAlignment="1" applyProtection="1">
      <alignment vertical="center"/>
      <protection hidden="1"/>
    </xf>
    <xf numFmtId="168" fontId="19" fillId="64" borderId="11" xfId="28" applyNumberFormat="1" applyFont="1" applyFill="1" applyBorder="1" applyAlignment="1" applyProtection="1">
      <alignment horizontal="right" vertical="center"/>
      <protection hidden="1"/>
    </xf>
    <xf numFmtId="3" fontId="19" fillId="64" borderId="18" xfId="28" applyNumberFormat="1" applyFont="1" applyFill="1" applyBorder="1" applyAlignment="1" applyProtection="1">
      <alignment horizontal="right" vertical="center" wrapText="1"/>
      <protection hidden="1"/>
    </xf>
    <xf numFmtId="168" fontId="31" fillId="64" borderId="12" xfId="28" applyNumberFormat="1" applyFont="1" applyFill="1" applyBorder="1" applyAlignment="1" applyProtection="1">
      <alignment horizontal="right" vertical="center"/>
      <protection hidden="1"/>
    </xf>
    <xf numFmtId="168" fontId="41" fillId="64" borderId="47" xfId="28" applyNumberFormat="1" applyFont="1" applyFill="1" applyBorder="1" applyAlignment="1" applyProtection="1">
      <alignment horizontal="right" vertical="center"/>
      <protection hidden="1"/>
    </xf>
    <xf numFmtId="168" fontId="31" fillId="64" borderId="48" xfId="28" applyNumberFormat="1" applyFont="1" applyFill="1" applyBorder="1" applyAlignment="1" applyProtection="1">
      <alignment vertical="center"/>
      <protection hidden="1"/>
    </xf>
    <xf numFmtId="0" fontId="31" fillId="64" borderId="79" xfId="0" applyFont="1" applyFill="1" applyBorder="1" applyAlignment="1" applyProtection="1">
      <alignment vertical="center"/>
      <protection hidden="1"/>
    </xf>
    <xf numFmtId="0" fontId="12" fillId="64" borderId="79" xfId="39" applyFill="1" applyBorder="1" applyAlignment="1" applyProtection="1">
      <alignment vertical="center"/>
      <protection hidden="1"/>
    </xf>
    <xf numFmtId="0" fontId="31" fillId="64" borderId="105" xfId="0" applyFont="1" applyFill="1" applyBorder="1" applyAlignment="1" applyProtection="1">
      <alignment horizontal="right" vertical="center"/>
      <protection hidden="1"/>
    </xf>
    <xf numFmtId="0" fontId="0" fillId="64" borderId="95" xfId="0" applyFill="1" applyBorder="1" applyProtection="1">
      <protection hidden="1"/>
    </xf>
    <xf numFmtId="0" fontId="31" fillId="64" borderId="32" xfId="0" applyFont="1" applyFill="1" applyBorder="1" applyAlignment="1" applyProtection="1">
      <protection hidden="1"/>
    </xf>
    <xf numFmtId="0" fontId="31" fillId="64" borderId="41" xfId="0" applyFont="1" applyFill="1" applyBorder="1" applyAlignment="1" applyProtection="1">
      <protection hidden="1"/>
    </xf>
    <xf numFmtId="0" fontId="93" fillId="64" borderId="41" xfId="0" applyFont="1" applyFill="1" applyBorder="1" applyAlignment="1" applyProtection="1">
      <alignment horizontal="right"/>
      <protection hidden="1"/>
    </xf>
    <xf numFmtId="0" fontId="93" fillId="64" borderId="43" xfId="39" applyFont="1" applyFill="1" applyBorder="1" applyAlignment="1" applyProtection="1">
      <alignment horizontal="right" wrapText="1"/>
      <protection hidden="1"/>
    </xf>
    <xf numFmtId="0" fontId="93" fillId="64" borderId="43" xfId="0" applyFont="1" applyFill="1" applyBorder="1" applyAlignment="1" applyProtection="1">
      <alignment horizontal="right" wrapText="1"/>
      <protection hidden="1"/>
    </xf>
    <xf numFmtId="3" fontId="93" fillId="64" borderId="48" xfId="0" applyNumberFormat="1" applyFont="1" applyFill="1" applyBorder="1" applyAlignment="1" applyProtection="1">
      <alignment horizontal="right" wrapText="1"/>
      <protection hidden="1"/>
    </xf>
    <xf numFmtId="0" fontId="31" fillId="64" borderId="46" xfId="39" applyFont="1" applyFill="1" applyBorder="1" applyProtection="1">
      <protection hidden="1"/>
    </xf>
    <xf numFmtId="3" fontId="31" fillId="64" borderId="46" xfId="0" applyNumberFormat="1" applyFont="1" applyFill="1" applyBorder="1" applyAlignment="1" applyProtection="1">
      <alignment horizontal="right" indent="1"/>
      <protection hidden="1"/>
    </xf>
    <xf numFmtId="4" fontId="31" fillId="64" borderId="22" xfId="0" applyNumberFormat="1" applyFont="1" applyFill="1" applyBorder="1" applyAlignment="1" applyProtection="1">
      <alignment horizontal="right" indent="1"/>
      <protection hidden="1"/>
    </xf>
    <xf numFmtId="0" fontId="31" fillId="64" borderId="79" xfId="0" applyFont="1" applyFill="1" applyBorder="1" applyAlignment="1" applyProtection="1">
      <alignment horizontal="right" vertical="center"/>
      <protection hidden="1"/>
    </xf>
    <xf numFmtId="1" fontId="31" fillId="64" borderId="105" xfId="0" applyNumberFormat="1" applyFont="1" applyFill="1" applyBorder="1" applyAlignment="1" applyProtection="1">
      <alignment horizontal="center" vertical="center"/>
      <protection hidden="1"/>
    </xf>
    <xf numFmtId="0" fontId="12" fillId="64" borderId="10" xfId="39" applyFill="1" applyBorder="1" applyProtection="1">
      <protection hidden="1"/>
    </xf>
    <xf numFmtId="3" fontId="31" fillId="64" borderId="10" xfId="0" applyNumberFormat="1" applyFont="1" applyFill="1" applyBorder="1" applyAlignment="1" applyProtection="1">
      <alignment horizontal="right" indent="1"/>
      <protection hidden="1"/>
    </xf>
    <xf numFmtId="3" fontId="31" fillId="64" borderId="19" xfId="0" applyNumberFormat="1" applyFont="1" applyFill="1" applyBorder="1" applyAlignment="1" applyProtection="1">
      <alignment horizontal="right" indent="1"/>
      <protection hidden="1"/>
    </xf>
    <xf numFmtId="0" fontId="31" fillId="64" borderId="10" xfId="39" applyFont="1" applyFill="1" applyBorder="1" applyProtection="1">
      <protection hidden="1"/>
    </xf>
    <xf numFmtId="0" fontId="31" fillId="64" borderId="10" xfId="0" applyFont="1" applyFill="1" applyBorder="1" applyAlignment="1" applyProtection="1">
      <alignment horizontal="center" vertical="center" wrapText="1"/>
      <protection hidden="1"/>
    </xf>
    <xf numFmtId="0" fontId="31" fillId="64" borderId="19" xfId="0" applyFont="1" applyFill="1" applyBorder="1" applyAlignment="1" applyProtection="1">
      <alignment horizontal="center" vertical="center" wrapText="1"/>
      <protection hidden="1"/>
    </xf>
    <xf numFmtId="0" fontId="12" fillId="64" borderId="46" xfId="39" applyFill="1" applyBorder="1" applyProtection="1">
      <protection hidden="1"/>
    </xf>
    <xf numFmtId="1" fontId="31" fillId="64" borderId="46" xfId="28" applyNumberFormat="1" applyFont="1" applyFill="1" applyBorder="1" applyAlignment="1" applyProtection="1">
      <alignment horizontal="right"/>
      <protection hidden="1"/>
    </xf>
    <xf numFmtId="2" fontId="31" fillId="64" borderId="22" xfId="0" applyNumberFormat="1" applyFont="1" applyFill="1" applyBorder="1" applyAlignment="1" applyProtection="1">
      <alignment horizontal="right" indent="1"/>
      <protection hidden="1"/>
    </xf>
    <xf numFmtId="0" fontId="0" fillId="64" borderId="105" xfId="0" applyFill="1" applyBorder="1" applyAlignment="1" applyProtection="1">
      <alignment vertical="center"/>
      <protection hidden="1"/>
    </xf>
    <xf numFmtId="0" fontId="64" fillId="64" borderId="95" xfId="0" applyFont="1" applyFill="1" applyBorder="1" applyAlignment="1" applyProtection="1">
      <alignment horizontal="left" indent="1"/>
      <protection hidden="1"/>
    </xf>
    <xf numFmtId="0" fontId="31" fillId="64" borderId="32" xfId="0" applyFont="1" applyFill="1" applyBorder="1" applyAlignment="1" applyProtection="1">
      <alignment vertical="center"/>
      <protection hidden="1"/>
    </xf>
    <xf numFmtId="0" fontId="31" fillId="64" borderId="41" xfId="0" applyFont="1" applyFill="1" applyBorder="1" applyAlignment="1" applyProtection="1">
      <alignment vertical="center"/>
      <protection hidden="1"/>
    </xf>
    <xf numFmtId="1" fontId="41" fillId="64" borderId="43" xfId="0" applyNumberFormat="1" applyFont="1" applyFill="1" applyBorder="1" applyProtection="1">
      <protection hidden="1"/>
    </xf>
    <xf numFmtId="0" fontId="31" fillId="64" borderId="48" xfId="0" applyFont="1" applyFill="1" applyBorder="1" applyProtection="1">
      <protection hidden="1"/>
    </xf>
    <xf numFmtId="0" fontId="64" fillId="64" borderId="56" xfId="0" applyFont="1" applyFill="1" applyBorder="1" applyAlignment="1" applyProtection="1">
      <alignment horizontal="left" indent="1"/>
      <protection hidden="1"/>
    </xf>
    <xf numFmtId="0" fontId="31" fillId="64" borderId="62" xfId="0" applyFont="1" applyFill="1" applyBorder="1" applyAlignment="1" applyProtection="1">
      <alignment vertical="center"/>
      <protection hidden="1"/>
    </xf>
    <xf numFmtId="0" fontId="31" fillId="64" borderId="64" xfId="0" applyFont="1" applyFill="1" applyBorder="1" applyAlignment="1" applyProtection="1">
      <alignment vertical="center"/>
      <protection hidden="1"/>
    </xf>
    <xf numFmtId="1" fontId="41" fillId="64" borderId="10" xfId="0" applyNumberFormat="1" applyFont="1" applyFill="1" applyBorder="1" applyProtection="1">
      <protection hidden="1"/>
    </xf>
    <xf numFmtId="0" fontId="31" fillId="64" borderId="19" xfId="0" applyFont="1" applyFill="1" applyBorder="1" applyProtection="1">
      <protection hidden="1"/>
    </xf>
    <xf numFmtId="0" fontId="31" fillId="64" borderId="62" xfId="0" applyFont="1" applyFill="1" applyBorder="1" applyAlignment="1" applyProtection="1">
      <protection hidden="1"/>
    </xf>
    <xf numFmtId="0" fontId="31" fillId="64" borderId="64" xfId="0" applyFont="1" applyFill="1" applyBorder="1" applyAlignment="1" applyProtection="1">
      <alignment horizontal="right" indent="1"/>
      <protection hidden="1"/>
    </xf>
    <xf numFmtId="0" fontId="41" fillId="64" borderId="23" xfId="0" applyFont="1" applyFill="1" applyBorder="1" applyAlignment="1" applyProtection="1">
      <alignment horizontal="left" vertical="center"/>
      <protection hidden="1"/>
    </xf>
    <xf numFmtId="0" fontId="31" fillId="64" borderId="24" xfId="0" applyFont="1" applyFill="1" applyBorder="1" applyAlignment="1" applyProtection="1">
      <alignment vertical="center"/>
      <protection hidden="1"/>
    </xf>
    <xf numFmtId="0" fontId="31" fillId="64" borderId="24" xfId="0" applyFont="1" applyFill="1" applyBorder="1" applyAlignment="1" applyProtection="1">
      <alignment horizontal="right" vertical="center"/>
      <protection hidden="1"/>
    </xf>
    <xf numFmtId="167" fontId="41" fillId="64" borderId="106" xfId="48" applyNumberFormat="1" applyFont="1" applyFill="1" applyBorder="1" applyAlignment="1" applyProtection="1">
      <alignment vertical="center"/>
      <protection hidden="1"/>
    </xf>
    <xf numFmtId="0" fontId="31" fillId="64" borderId="107" xfId="0" applyFont="1" applyFill="1" applyBorder="1" applyAlignment="1" applyProtection="1">
      <alignment vertical="center"/>
      <protection hidden="1"/>
    </xf>
    <xf numFmtId="0" fontId="21" fillId="64" borderId="49" xfId="40" applyFont="1" applyFill="1" applyBorder="1" applyAlignment="1" applyProtection="1">
      <alignment horizontal="right" vertical="top" wrapText="1"/>
      <protection hidden="1"/>
    </xf>
    <xf numFmtId="0" fontId="21" fillId="64" borderId="79" xfId="40" applyFont="1" applyFill="1" applyBorder="1" applyAlignment="1" applyProtection="1">
      <alignment horizontal="right" vertical="top" wrapText="1"/>
      <protection hidden="1"/>
    </xf>
    <xf numFmtId="0" fontId="68" fillId="64" borderId="52" xfId="40" applyFont="1" applyFill="1" applyBorder="1" applyAlignment="1" applyProtection="1">
      <alignment horizontal="left" vertical="center" wrapText="1"/>
      <protection hidden="1"/>
    </xf>
    <xf numFmtId="0" fontId="54" fillId="64" borderId="23" xfId="40" applyFont="1" applyFill="1" applyBorder="1" applyAlignment="1" applyProtection="1">
      <alignment horizontal="right" vertical="top" wrapText="1"/>
      <protection hidden="1"/>
    </xf>
    <xf numFmtId="0" fontId="54" fillId="64" borderId="24" xfId="40" applyFont="1" applyFill="1" applyBorder="1" applyAlignment="1" applyProtection="1">
      <alignment horizontal="right" vertical="top" wrapText="1"/>
      <protection hidden="1"/>
    </xf>
    <xf numFmtId="0" fontId="49" fillId="64" borderId="24" xfId="40" applyFont="1" applyFill="1" applyBorder="1" applyAlignment="1" applyProtection="1">
      <alignment horizontal="right" vertical="center" wrapText="1"/>
      <protection hidden="1"/>
    </xf>
    <xf numFmtId="0" fontId="49" fillId="64" borderId="106" xfId="40" applyFont="1" applyFill="1" applyBorder="1" applyAlignment="1" applyProtection="1">
      <alignment horizontal="center" vertical="center" wrapText="1"/>
      <protection hidden="1"/>
    </xf>
    <xf numFmtId="0" fontId="64" fillId="64" borderId="107" xfId="40" applyFont="1" applyFill="1" applyBorder="1" applyAlignment="1" applyProtection="1">
      <alignment horizontal="left" vertical="center" wrapText="1"/>
      <protection hidden="1"/>
    </xf>
    <xf numFmtId="0" fontId="53" fillId="64" borderId="49" xfId="40" applyFont="1" applyFill="1" applyBorder="1" applyAlignment="1" applyProtection="1">
      <alignment horizontal="right" vertical="top" wrapText="1"/>
      <protection hidden="1"/>
    </xf>
    <xf numFmtId="0" fontId="54" fillId="64" borderId="79" xfId="40" applyFont="1" applyFill="1" applyBorder="1" applyAlignment="1" applyProtection="1">
      <alignment horizontal="right" vertical="top" wrapText="1"/>
      <protection hidden="1"/>
    </xf>
    <xf numFmtId="0" fontId="49" fillId="64" borderId="51" xfId="40" applyFont="1" applyFill="1" applyBorder="1" applyAlignment="1" applyProtection="1">
      <alignment horizontal="center" vertical="center" wrapText="1"/>
      <protection hidden="1"/>
    </xf>
    <xf numFmtId="0" fontId="41" fillId="64" borderId="88" xfId="0" applyFont="1" applyFill="1" applyBorder="1" applyAlignment="1" applyProtection="1">
      <alignment vertical="center"/>
      <protection hidden="1"/>
    </xf>
    <xf numFmtId="0" fontId="31" fillId="64" borderId="88" xfId="0" applyFont="1" applyFill="1" applyBorder="1" applyAlignment="1" applyProtection="1">
      <alignment vertical="center"/>
      <protection hidden="1"/>
    </xf>
    <xf numFmtId="0" fontId="31" fillId="64" borderId="89" xfId="0" applyFont="1" applyFill="1" applyBorder="1" applyAlignment="1" applyProtection="1">
      <alignment vertical="center"/>
      <protection hidden="1"/>
    </xf>
    <xf numFmtId="0" fontId="41" fillId="64" borderId="92" xfId="0" applyFont="1" applyFill="1" applyBorder="1" applyAlignment="1" applyProtection="1">
      <alignment vertical="center"/>
      <protection hidden="1"/>
    </xf>
    <xf numFmtId="0" fontId="31" fillId="64" borderId="152" xfId="0" applyFont="1" applyFill="1" applyBorder="1" applyAlignment="1" applyProtection="1">
      <alignment vertical="center"/>
      <protection hidden="1"/>
    </xf>
    <xf numFmtId="0" fontId="12" fillId="64" borderId="0" xfId="43" applyFont="1" applyFill="1" applyAlignment="1" applyProtection="1">
      <alignment vertical="top" wrapText="1"/>
      <protection hidden="1"/>
    </xf>
    <xf numFmtId="0" fontId="55" fillId="64" borderId="0" xfId="43" applyFont="1" applyFill="1" applyAlignment="1" applyProtection="1">
      <alignment vertical="top" wrapText="1"/>
      <protection hidden="1"/>
    </xf>
    <xf numFmtId="0" fontId="55" fillId="64" borderId="0" xfId="0" applyFont="1" applyFill="1" applyAlignment="1" applyProtection="1">
      <alignment vertical="top" wrapText="1"/>
      <protection hidden="1"/>
    </xf>
    <xf numFmtId="0" fontId="12" fillId="64" borderId="0" xfId="43" applyFill="1" applyAlignment="1" applyProtection="1">
      <alignment vertical="top" wrapText="1"/>
      <protection hidden="1"/>
    </xf>
    <xf numFmtId="0" fontId="15" fillId="64" borderId="0" xfId="43" applyFont="1" applyFill="1" applyAlignment="1" applyProtection="1">
      <alignment vertical="top" wrapText="1"/>
      <protection hidden="1"/>
    </xf>
    <xf numFmtId="0" fontId="12" fillId="64" borderId="0" xfId="43" applyFont="1" applyFill="1" applyAlignment="1" applyProtection="1">
      <alignment horizontal="justify" vertical="top" wrapText="1"/>
      <protection hidden="1"/>
    </xf>
    <xf numFmtId="0" fontId="12" fillId="64" borderId="0" xfId="43" applyFont="1" applyFill="1" applyAlignment="1" applyProtection="1">
      <alignment horizontal="justify"/>
      <protection hidden="1"/>
    </xf>
    <xf numFmtId="0" fontId="17" fillId="64" borderId="0" xfId="43" applyFont="1" applyFill="1" applyAlignment="1" applyProtection="1">
      <alignment horizontal="justify" vertical="top" wrapText="1"/>
      <protection hidden="1"/>
    </xf>
    <xf numFmtId="0" fontId="12" fillId="64" borderId="0" xfId="43" applyFont="1" applyFill="1" applyBorder="1" applyAlignment="1" applyProtection="1">
      <alignment horizontal="justify" vertical="top" wrapText="1"/>
      <protection hidden="1"/>
    </xf>
    <xf numFmtId="0" fontId="12" fillId="64" borderId="0" xfId="43" applyFont="1" applyFill="1" applyBorder="1" applyAlignment="1" applyProtection="1">
      <alignment horizontal="justify"/>
      <protection hidden="1"/>
    </xf>
    <xf numFmtId="0" fontId="11" fillId="33" borderId="0" xfId="52" applyFill="1" applyProtection="1">
      <protection hidden="1"/>
    </xf>
    <xf numFmtId="0" fontId="214" fillId="33" borderId="0" xfId="52" applyFont="1" applyFill="1" applyAlignment="1" applyProtection="1">
      <alignment horizontal="center" wrapText="1"/>
      <protection hidden="1"/>
    </xf>
    <xf numFmtId="0" fontId="12" fillId="0" borderId="0" xfId="43" applyFont="1" applyFill="1" applyBorder="1" applyAlignment="1" applyProtection="1">
      <alignment vertical="top" wrapText="1"/>
      <protection hidden="1"/>
    </xf>
    <xf numFmtId="0" fontId="11" fillId="66" borderId="188" xfId="52" applyFill="1" applyBorder="1" applyAlignment="1" applyProtection="1">
      <alignment horizontal="center" vertical="center"/>
      <protection hidden="1"/>
    </xf>
    <xf numFmtId="0" fontId="215" fillId="66" borderId="188" xfId="52" applyFont="1" applyFill="1" applyBorder="1" applyAlignment="1" applyProtection="1">
      <alignment horizontal="left" vertical="top" wrapText="1"/>
      <protection hidden="1"/>
    </xf>
    <xf numFmtId="0" fontId="11" fillId="66" borderId="188" xfId="52" applyFill="1" applyBorder="1" applyAlignment="1" applyProtection="1">
      <alignment wrapText="1"/>
      <protection hidden="1"/>
    </xf>
    <xf numFmtId="0" fontId="215" fillId="66" borderId="170" xfId="52" applyFont="1" applyFill="1" applyBorder="1" applyAlignment="1" applyProtection="1">
      <alignment horizontal="left" vertical="top" wrapText="1"/>
      <protection hidden="1"/>
    </xf>
    <xf numFmtId="0" fontId="11" fillId="66" borderId="170" xfId="52" applyFill="1" applyBorder="1" applyAlignment="1" applyProtection="1">
      <alignment wrapText="1"/>
      <protection hidden="1"/>
    </xf>
    <xf numFmtId="0" fontId="11" fillId="66" borderId="0" xfId="52" applyFill="1" applyAlignment="1" applyProtection="1">
      <alignment horizontal="center" vertical="center"/>
      <protection hidden="1"/>
    </xf>
    <xf numFmtId="0" fontId="11" fillId="66" borderId="0" xfId="52" applyFill="1" applyAlignment="1" applyProtection="1">
      <alignment wrapText="1"/>
      <protection hidden="1"/>
    </xf>
    <xf numFmtId="0" fontId="11" fillId="33" borderId="0" xfId="52" applyFill="1" applyAlignment="1" applyProtection="1">
      <alignment horizontal="center" vertical="center"/>
      <protection hidden="1"/>
    </xf>
    <xf numFmtId="0" fontId="11" fillId="33" borderId="0" xfId="52" applyFill="1" applyAlignment="1" applyProtection="1">
      <alignment vertical="center"/>
      <protection hidden="1"/>
    </xf>
    <xf numFmtId="0" fontId="12" fillId="0" borderId="0" xfId="43" applyFont="1" applyFill="1" applyBorder="1" applyAlignment="1" applyProtection="1">
      <alignment vertical="top"/>
      <protection hidden="1"/>
    </xf>
    <xf numFmtId="0" fontId="11" fillId="66" borderId="170" xfId="52" applyFill="1" applyBorder="1" applyAlignment="1" applyProtection="1">
      <alignment horizontal="center" vertical="center"/>
      <protection hidden="1"/>
    </xf>
    <xf numFmtId="0" fontId="215" fillId="66" borderId="188" xfId="52" applyFont="1" applyFill="1" applyBorder="1" applyAlignment="1" applyProtection="1">
      <alignment horizontal="left" vertical="top"/>
      <protection hidden="1"/>
    </xf>
    <xf numFmtId="0" fontId="217" fillId="66" borderId="170" xfId="52" applyFont="1" applyFill="1" applyBorder="1" applyAlignment="1" applyProtection="1">
      <alignment horizontal="left" vertical="top"/>
      <protection hidden="1"/>
    </xf>
    <xf numFmtId="0" fontId="215" fillId="66" borderId="170" xfId="52" applyFont="1" applyFill="1" applyBorder="1" applyAlignment="1" applyProtection="1">
      <alignment horizontal="left" vertical="top"/>
      <protection hidden="1"/>
    </xf>
    <xf numFmtId="0" fontId="11" fillId="66" borderId="188" xfId="52" applyFill="1" applyBorder="1" applyProtection="1">
      <protection hidden="1"/>
    </xf>
    <xf numFmtId="0" fontId="217" fillId="66" borderId="170" xfId="52" applyFont="1" applyFill="1" applyBorder="1" applyAlignment="1" applyProtection="1">
      <alignment horizontal="left" vertical="top" wrapText="1"/>
      <protection hidden="1"/>
    </xf>
    <xf numFmtId="0" fontId="214" fillId="33" borderId="0" xfId="52" applyFont="1" applyFill="1" applyAlignment="1" applyProtection="1">
      <alignment horizontal="center"/>
      <protection hidden="1"/>
    </xf>
    <xf numFmtId="0" fontId="11" fillId="66" borderId="0" xfId="52" applyFill="1" applyProtection="1">
      <protection hidden="1"/>
    </xf>
    <xf numFmtId="171" fontId="12" fillId="0" borderId="0" xfId="43" applyNumberFormat="1" applyFont="1" applyFill="1" applyBorder="1" applyAlignment="1" applyProtection="1">
      <alignment horizontal="center" vertical="top" wrapText="1"/>
      <protection hidden="1"/>
    </xf>
    <xf numFmtId="0" fontId="12" fillId="0" borderId="0" xfId="52" applyFont="1" applyFill="1" applyBorder="1" applyAlignment="1" applyProtection="1">
      <alignment vertical="top" wrapText="1"/>
      <protection hidden="1"/>
    </xf>
    <xf numFmtId="0" fontId="166" fillId="17" borderId="0" xfId="43" applyFont="1" applyFill="1" applyAlignment="1" applyProtection="1">
      <alignment vertical="top" wrapText="1"/>
      <protection hidden="1"/>
    </xf>
    <xf numFmtId="0" fontId="12" fillId="29" borderId="0" xfId="43" applyFont="1" applyFill="1" applyAlignment="1" applyProtection="1">
      <alignment vertical="top" wrapText="1"/>
      <protection hidden="1"/>
    </xf>
    <xf numFmtId="0" fontId="3" fillId="33" borderId="0" xfId="113" applyFill="1" applyProtection="1">
      <protection hidden="1"/>
    </xf>
    <xf numFmtId="0" fontId="214" fillId="33" borderId="0" xfId="113" applyFont="1" applyFill="1" applyAlignment="1" applyProtection="1">
      <alignment horizontal="center" wrapText="1"/>
      <protection hidden="1"/>
    </xf>
    <xf numFmtId="0" fontId="203" fillId="33" borderId="0" xfId="113" applyFont="1" applyFill="1" applyAlignment="1" applyProtection="1">
      <alignment horizontal="center" wrapText="1"/>
      <protection hidden="1"/>
    </xf>
    <xf numFmtId="0" fontId="3" fillId="66" borderId="188" xfId="113" applyFill="1" applyBorder="1" applyAlignment="1" applyProtection="1">
      <alignment horizontal="center" vertical="center"/>
      <protection hidden="1"/>
    </xf>
    <xf numFmtId="0" fontId="215" fillId="66" borderId="188" xfId="113" applyFont="1" applyFill="1" applyBorder="1" applyAlignment="1" applyProtection="1">
      <alignment horizontal="left" vertical="top" wrapText="1"/>
      <protection hidden="1"/>
    </xf>
    <xf numFmtId="0" fontId="3" fillId="66" borderId="188" xfId="113" applyFill="1" applyBorder="1" applyProtection="1">
      <protection hidden="1"/>
    </xf>
    <xf numFmtId="0" fontId="3" fillId="66" borderId="0" xfId="113" applyFill="1" applyAlignment="1" applyProtection="1">
      <alignment horizontal="center" vertical="center"/>
      <protection hidden="1"/>
    </xf>
    <xf numFmtId="0" fontId="3" fillId="66" borderId="0" xfId="113" applyFill="1" applyAlignment="1" applyProtection="1">
      <alignment wrapText="1"/>
      <protection hidden="1"/>
    </xf>
    <xf numFmtId="0" fontId="3" fillId="66" borderId="0" xfId="113" applyFill="1" applyProtection="1">
      <protection hidden="1"/>
    </xf>
    <xf numFmtId="0" fontId="3" fillId="33" borderId="0" xfId="113" applyFill="1" applyAlignment="1" applyProtection="1">
      <alignment horizontal="center" vertical="center"/>
      <protection hidden="1"/>
    </xf>
    <xf numFmtId="0" fontId="215" fillId="66" borderId="188" xfId="113" applyFont="1" applyFill="1" applyBorder="1" applyAlignment="1" applyProtection="1">
      <alignment wrapText="1"/>
      <protection hidden="1"/>
    </xf>
    <xf numFmtId="0" fontId="216" fillId="66" borderId="0" xfId="113" applyFont="1" applyFill="1" applyAlignment="1" applyProtection="1">
      <alignment horizontal="center" vertical="center"/>
      <protection hidden="1"/>
    </xf>
    <xf numFmtId="0" fontId="215" fillId="66" borderId="188" xfId="113" applyFont="1" applyFill="1" applyBorder="1" applyProtection="1">
      <protection hidden="1"/>
    </xf>
    <xf numFmtId="0" fontId="3" fillId="66" borderId="170" xfId="113" applyFill="1" applyBorder="1" applyAlignment="1" applyProtection="1">
      <alignment horizontal="center" vertical="center"/>
      <protection hidden="1"/>
    </xf>
    <xf numFmtId="0" fontId="217" fillId="66" borderId="170" xfId="113" applyFont="1" applyFill="1" applyBorder="1" applyProtection="1">
      <protection hidden="1"/>
    </xf>
    <xf numFmtId="0" fontId="215" fillId="66" borderId="170" xfId="113" applyFont="1" applyFill="1" applyBorder="1" applyAlignment="1" applyProtection="1">
      <alignment wrapText="1"/>
      <protection hidden="1"/>
    </xf>
    <xf numFmtId="0" fontId="215" fillId="66" borderId="170" xfId="113" applyFont="1" applyFill="1" applyBorder="1" applyProtection="1">
      <protection hidden="1"/>
    </xf>
    <xf numFmtId="0" fontId="215" fillId="66" borderId="170" xfId="113" applyFont="1" applyFill="1" applyBorder="1" applyAlignment="1" applyProtection="1">
      <alignment vertical="top" wrapText="1"/>
      <protection hidden="1"/>
    </xf>
    <xf numFmtId="0" fontId="217" fillId="66" borderId="170" xfId="113" applyFont="1" applyFill="1" applyBorder="1" applyAlignment="1" applyProtection="1">
      <alignment vertical="top" wrapText="1"/>
      <protection hidden="1"/>
    </xf>
    <xf numFmtId="0" fontId="3" fillId="66" borderId="170" xfId="113" applyFill="1" applyBorder="1" applyProtection="1">
      <protection hidden="1"/>
    </xf>
    <xf numFmtId="0" fontId="214" fillId="33" borderId="0" xfId="113" applyFont="1" applyFill="1" applyAlignment="1" applyProtection="1">
      <alignment horizontal="center"/>
      <protection hidden="1"/>
    </xf>
    <xf numFmtId="0" fontId="130" fillId="26" borderId="0" xfId="42" applyFont="1" applyFill="1" applyAlignment="1" applyProtection="1">
      <alignment vertical="center" shrinkToFit="1"/>
      <protection hidden="1"/>
    </xf>
    <xf numFmtId="0" fontId="219" fillId="17" borderId="0" xfId="43" applyFont="1" applyFill="1" applyAlignment="1" applyProtection="1">
      <alignment vertical="top" shrinkToFit="1"/>
      <protection hidden="1"/>
    </xf>
    <xf numFmtId="0" fontId="12" fillId="0" borderId="0" xfId="43" applyFont="1" applyFill="1" applyAlignment="1" applyProtection="1">
      <alignment vertical="top" wrapText="1"/>
      <protection hidden="1"/>
    </xf>
    <xf numFmtId="0" fontId="14" fillId="17" borderId="0" xfId="43" quotePrefix="1" applyFont="1" applyFill="1" applyBorder="1" applyAlignment="1" applyProtection="1">
      <alignment horizontal="right" vertical="top" wrapText="1"/>
      <protection hidden="1"/>
    </xf>
    <xf numFmtId="0" fontId="12" fillId="17" borderId="0" xfId="43" applyFill="1" applyBorder="1" applyAlignment="1" applyProtection="1">
      <alignment vertical="top" wrapText="1"/>
      <protection hidden="1"/>
    </xf>
    <xf numFmtId="0" fontId="14" fillId="17" borderId="0" xfId="43" applyFont="1" applyFill="1" applyBorder="1" applyAlignment="1" applyProtection="1">
      <alignment vertical="top" wrapText="1"/>
      <protection hidden="1"/>
    </xf>
    <xf numFmtId="0" fontId="220" fillId="17" borderId="0" xfId="43" applyFont="1" applyFill="1" applyAlignment="1" applyProtection="1">
      <alignment vertical="top" wrapText="1"/>
      <protection hidden="1"/>
    </xf>
    <xf numFmtId="0" fontId="178" fillId="64" borderId="0" xfId="114" applyFont="1" applyFill="1" applyBorder="1"/>
    <xf numFmtId="0" fontId="178" fillId="64" borderId="0" xfId="114" applyFont="1" applyFill="1"/>
    <xf numFmtId="0" fontId="179" fillId="64" borderId="0" xfId="114" applyFont="1" applyFill="1"/>
    <xf numFmtId="0" fontId="2" fillId="64" borderId="0" xfId="114" applyFill="1"/>
    <xf numFmtId="3" fontId="181" fillId="64" borderId="174" xfId="114" applyNumberFormat="1" applyFont="1" applyFill="1" applyBorder="1" applyAlignment="1">
      <alignment horizontal="center"/>
    </xf>
    <xf numFmtId="0" fontId="182" fillId="64" borderId="0" xfId="114" applyFont="1" applyFill="1"/>
    <xf numFmtId="0" fontId="179" fillId="39" borderId="0" xfId="114" applyFont="1" applyFill="1"/>
    <xf numFmtId="0" fontId="179" fillId="39" borderId="0" xfId="114" applyFont="1" applyFill="1" applyAlignment="1">
      <alignment horizontal="center"/>
    </xf>
    <xf numFmtId="0" fontId="179" fillId="37" borderId="0" xfId="114" applyFont="1" applyFill="1"/>
    <xf numFmtId="0" fontId="182" fillId="40" borderId="0" xfId="114" applyFont="1" applyFill="1"/>
    <xf numFmtId="0" fontId="182" fillId="37" borderId="0" xfId="114" applyFont="1" applyFill="1"/>
    <xf numFmtId="20" fontId="184" fillId="41" borderId="0" xfId="114" applyNumberFormat="1" applyFont="1" applyFill="1" applyBorder="1" applyAlignment="1">
      <alignment horizontal="center" wrapText="1"/>
    </xf>
    <xf numFmtId="0" fontId="184" fillId="64" borderId="0" xfId="114" applyFont="1" applyFill="1"/>
    <xf numFmtId="0" fontId="2" fillId="40" borderId="0" xfId="114" applyFill="1"/>
    <xf numFmtId="0" fontId="179" fillId="40" borderId="0" xfId="114" applyFont="1" applyFill="1"/>
    <xf numFmtId="0" fontId="184" fillId="37" borderId="0" xfId="114" applyFont="1" applyFill="1" applyAlignment="1">
      <alignment horizontal="center"/>
    </xf>
    <xf numFmtId="0" fontId="179" fillId="34" borderId="0" xfId="114" applyFont="1" applyFill="1"/>
    <xf numFmtId="0" fontId="2" fillId="39" borderId="0" xfId="114" applyFill="1" applyAlignment="1">
      <alignment horizontal="center"/>
    </xf>
    <xf numFmtId="0" fontId="184" fillId="42" borderId="0" xfId="114" applyFont="1" applyFill="1" applyBorder="1" applyAlignment="1">
      <alignment horizontal="center"/>
    </xf>
    <xf numFmtId="0" fontId="185" fillId="42" borderId="0" xfId="114" applyFont="1" applyFill="1" applyBorder="1" applyAlignment="1">
      <alignment horizontal="center"/>
    </xf>
    <xf numFmtId="3" fontId="186" fillId="34" borderId="176" xfId="114" applyNumberFormat="1" applyFont="1" applyFill="1" applyBorder="1" applyAlignment="1">
      <alignment horizontal="center"/>
    </xf>
    <xf numFmtId="20" fontId="184" fillId="43" borderId="0" xfId="114" applyNumberFormat="1" applyFont="1" applyFill="1" applyBorder="1" applyAlignment="1">
      <alignment horizontal="center" wrapText="1"/>
    </xf>
    <xf numFmtId="3" fontId="186" fillId="34" borderId="177" xfId="115" applyNumberFormat="1" applyFont="1" applyFill="1" applyBorder="1" applyAlignment="1">
      <alignment horizontal="center" wrapText="1"/>
    </xf>
    <xf numFmtId="3" fontId="186" fillId="34" borderId="178" xfId="115" applyNumberFormat="1" applyFont="1" applyFill="1" applyBorder="1" applyAlignment="1">
      <alignment horizontal="center" wrapText="1"/>
    </xf>
    <xf numFmtId="3" fontId="185" fillId="42" borderId="179" xfId="114" applyNumberFormat="1" applyFont="1" applyFill="1" applyBorder="1" applyAlignment="1">
      <alignment horizontal="center"/>
    </xf>
    <xf numFmtId="1" fontId="179" fillId="39" borderId="0" xfId="114" applyNumberFormat="1" applyFont="1" applyFill="1"/>
    <xf numFmtId="0" fontId="2" fillId="37" borderId="0" xfId="114" applyFill="1"/>
    <xf numFmtId="3" fontId="184" fillId="44" borderId="0" xfId="114" applyNumberFormat="1" applyFont="1" applyFill="1" applyBorder="1" applyAlignment="1">
      <alignment horizontal="center"/>
    </xf>
    <xf numFmtId="0" fontId="185" fillId="42" borderId="179" xfId="114" applyFont="1" applyFill="1" applyBorder="1" applyAlignment="1">
      <alignment horizontal="center"/>
    </xf>
    <xf numFmtId="0" fontId="188" fillId="37" borderId="0" xfId="114" applyFont="1" applyFill="1"/>
    <xf numFmtId="3" fontId="186" fillId="40" borderId="177" xfId="115" applyNumberFormat="1" applyFont="1" applyFill="1" applyBorder="1" applyAlignment="1">
      <alignment horizontal="center" wrapText="1"/>
    </xf>
    <xf numFmtId="3" fontId="186" fillId="40" borderId="178" xfId="115" applyNumberFormat="1" applyFont="1" applyFill="1" applyBorder="1" applyAlignment="1">
      <alignment horizontal="center" wrapText="1"/>
    </xf>
    <xf numFmtId="20" fontId="178" fillId="37" borderId="0" xfId="114" applyNumberFormat="1" applyFont="1" applyFill="1" applyBorder="1" applyAlignment="1">
      <alignment horizontal="left" vertical="center"/>
    </xf>
    <xf numFmtId="20" fontId="178" fillId="41" borderId="0" xfId="114" applyNumberFormat="1" applyFont="1" applyFill="1" applyBorder="1" applyAlignment="1">
      <alignment horizontal="left" vertical="center"/>
    </xf>
    <xf numFmtId="20" fontId="184" fillId="41" borderId="0" xfId="114" applyNumberFormat="1" applyFont="1" applyFill="1" applyBorder="1" applyAlignment="1">
      <alignment horizontal="left" wrapText="1"/>
    </xf>
    <xf numFmtId="0" fontId="184" fillId="37" borderId="0" xfId="114" applyFont="1" applyFill="1"/>
    <xf numFmtId="166" fontId="184" fillId="42" borderId="179" xfId="114" applyNumberFormat="1" applyFont="1" applyFill="1" applyBorder="1" applyAlignment="1">
      <alignment horizontal="center"/>
    </xf>
    <xf numFmtId="0" fontId="184" fillId="37" borderId="0" xfId="114" applyFont="1" applyFill="1" applyBorder="1"/>
    <xf numFmtId="0" fontId="211" fillId="34" borderId="0" xfId="114" applyFont="1" applyFill="1" applyAlignment="1">
      <alignment horizontal="center"/>
    </xf>
    <xf numFmtId="2" fontId="179" fillId="39" borderId="0" xfId="114" applyNumberFormat="1" applyFont="1" applyFill="1" applyAlignment="1">
      <alignment horizontal="center"/>
    </xf>
    <xf numFmtId="1" fontId="166" fillId="41" borderId="64" xfId="114" applyNumberFormat="1" applyFont="1" applyFill="1" applyBorder="1" applyAlignment="1">
      <alignment horizontal="center" vertical="center"/>
    </xf>
    <xf numFmtId="0" fontId="179" fillId="37" borderId="0" xfId="114" applyFont="1" applyFill="1" applyBorder="1"/>
    <xf numFmtId="0" fontId="184" fillId="37" borderId="0" xfId="114" applyFont="1" applyFill="1" applyBorder="1" applyAlignment="1">
      <alignment vertical="center"/>
    </xf>
    <xf numFmtId="0" fontId="210" fillId="37" borderId="0" xfId="114" applyFont="1" applyFill="1" applyAlignment="1">
      <alignment vertical="center"/>
    </xf>
    <xf numFmtId="0" fontId="179" fillId="37" borderId="0" xfId="114" applyFont="1" applyFill="1" applyAlignment="1">
      <alignment vertical="center"/>
    </xf>
    <xf numFmtId="0" fontId="2" fillId="37" borderId="0" xfId="114" applyFill="1" applyAlignment="1">
      <alignment vertical="center"/>
    </xf>
    <xf numFmtId="0" fontId="179" fillId="34" borderId="0" xfId="114" applyFont="1" applyFill="1" applyAlignment="1">
      <alignment horizontal="center" vertical="center" wrapText="1"/>
    </xf>
    <xf numFmtId="0" fontId="179" fillId="34" borderId="0" xfId="114" applyFont="1" applyFill="1" applyAlignment="1">
      <alignment vertical="center"/>
    </xf>
    <xf numFmtId="1" fontId="184" fillId="42" borderId="175" xfId="114" applyNumberFormat="1" applyFont="1" applyFill="1" applyBorder="1" applyAlignment="1">
      <alignment horizontal="left" vertical="center"/>
    </xf>
    <xf numFmtId="1" fontId="184" fillId="42" borderId="175" xfId="114" applyNumberFormat="1" applyFont="1" applyFill="1" applyBorder="1" applyAlignment="1">
      <alignment vertical="center"/>
    </xf>
    <xf numFmtId="1" fontId="184" fillId="42" borderId="0" xfId="114" applyNumberFormat="1" applyFont="1" applyFill="1" applyBorder="1" applyAlignment="1">
      <alignment horizontal="right" vertical="center"/>
    </xf>
    <xf numFmtId="1" fontId="179" fillId="45" borderId="175" xfId="114" applyNumberFormat="1" applyFont="1" applyFill="1" applyBorder="1" applyAlignment="1">
      <alignment horizontal="left" vertical="center"/>
    </xf>
    <xf numFmtId="20" fontId="166" fillId="41" borderId="0" xfId="114" applyNumberFormat="1" applyFont="1" applyFill="1" applyBorder="1" applyAlignment="1">
      <alignment vertical="center"/>
    </xf>
    <xf numFmtId="0" fontId="179" fillId="39" borderId="0" xfId="114" applyFont="1" applyFill="1" applyAlignment="1">
      <alignment vertical="center"/>
    </xf>
    <xf numFmtId="0" fontId="2" fillId="39" borderId="0" xfId="114" applyFill="1" applyAlignment="1">
      <alignment vertical="center"/>
    </xf>
    <xf numFmtId="0" fontId="179" fillId="39" borderId="0" xfId="114" applyFont="1" applyFill="1" applyAlignment="1">
      <alignment horizontal="center" vertical="center"/>
    </xf>
    <xf numFmtId="0" fontId="2" fillId="39" borderId="0" xfId="114" applyFill="1" applyAlignment="1">
      <alignment horizontal="center" vertical="center"/>
    </xf>
    <xf numFmtId="1" fontId="179" fillId="39" borderId="0" xfId="114" applyNumberFormat="1" applyFont="1" applyFill="1" applyAlignment="1">
      <alignment vertical="center"/>
    </xf>
    <xf numFmtId="0" fontId="179" fillId="40" borderId="0" xfId="114" applyFont="1" applyFill="1" applyAlignment="1">
      <alignment vertical="center"/>
    </xf>
    <xf numFmtId="0" fontId="190" fillId="40" borderId="71" xfId="114" applyFont="1" applyFill="1" applyBorder="1" applyAlignment="1">
      <alignment horizontal="center"/>
    </xf>
    <xf numFmtId="20" fontId="166" fillId="41" borderId="71" xfId="114" applyNumberFormat="1" applyFont="1" applyFill="1" applyBorder="1" applyAlignment="1">
      <alignment vertical="center"/>
    </xf>
    <xf numFmtId="0" fontId="190" fillId="37" borderId="0" xfId="114" applyFont="1" applyFill="1"/>
    <xf numFmtId="0" fontId="179" fillId="34" borderId="0" xfId="114" applyFont="1" applyFill="1" applyAlignment="1">
      <alignment horizontal="center"/>
    </xf>
    <xf numFmtId="0" fontId="187" fillId="42" borderId="184" xfId="114" applyFont="1" applyFill="1" applyBorder="1" applyAlignment="1"/>
    <xf numFmtId="0" fontId="187" fillId="42" borderId="170" xfId="114" applyFont="1" applyFill="1" applyBorder="1" applyAlignment="1"/>
    <xf numFmtId="0" fontId="187" fillId="42" borderId="171" xfId="114" applyFont="1" applyFill="1" applyBorder="1" applyAlignment="1"/>
    <xf numFmtId="20" fontId="187" fillId="41" borderId="0" xfId="114" applyNumberFormat="1" applyFont="1" applyFill="1" applyBorder="1" applyAlignment="1">
      <alignment wrapText="1"/>
    </xf>
    <xf numFmtId="20" fontId="187" fillId="41" borderId="182" xfId="114" applyNumberFormat="1" applyFont="1" applyFill="1" applyBorder="1" applyAlignment="1">
      <alignment wrapText="1"/>
    </xf>
    <xf numFmtId="3" fontId="186" fillId="34" borderId="176" xfId="115" applyNumberFormat="1" applyFont="1" applyFill="1" applyBorder="1" applyAlignment="1">
      <alignment horizontal="center" wrapText="1"/>
    </xf>
    <xf numFmtId="20" fontId="187" fillId="41" borderId="61" xfId="114" applyNumberFormat="1" applyFont="1" applyFill="1" applyBorder="1" applyAlignment="1">
      <alignment wrapText="1"/>
    </xf>
    <xf numFmtId="20" fontId="187" fillId="41" borderId="64" xfId="114" applyNumberFormat="1" applyFont="1" applyFill="1" applyBorder="1" applyAlignment="1">
      <alignment wrapText="1"/>
    </xf>
    <xf numFmtId="20" fontId="166" fillId="41" borderId="94" xfId="114" applyNumberFormat="1" applyFont="1" applyFill="1" applyBorder="1"/>
    <xf numFmtId="0" fontId="166" fillId="37" borderId="0" xfId="114" applyFont="1" applyFill="1" applyBorder="1"/>
    <xf numFmtId="0" fontId="179" fillId="34" borderId="0" xfId="114" applyFont="1" applyFill="1" applyAlignment="1">
      <alignment horizontal="center" wrapText="1"/>
    </xf>
    <xf numFmtId="20" fontId="184" fillId="41" borderId="216" xfId="114" applyNumberFormat="1" applyFont="1" applyFill="1" applyBorder="1" applyAlignment="1">
      <alignment wrapText="1"/>
    </xf>
    <xf numFmtId="20" fontId="184" fillId="41" borderId="220" xfId="114" applyNumberFormat="1" applyFont="1" applyFill="1" applyBorder="1" applyAlignment="1">
      <alignment wrapText="1"/>
    </xf>
    <xf numFmtId="20" fontId="184" fillId="41" borderId="214" xfId="114" applyNumberFormat="1" applyFont="1" applyFill="1" applyBorder="1" applyAlignment="1">
      <alignment wrapText="1"/>
    </xf>
    <xf numFmtId="20" fontId="184" fillId="41" borderId="217" xfId="114" applyNumberFormat="1" applyFont="1" applyFill="1" applyBorder="1" applyAlignment="1">
      <alignment wrapText="1"/>
    </xf>
    <xf numFmtId="0" fontId="187" fillId="42" borderId="176" xfId="114" applyFont="1" applyFill="1" applyBorder="1" applyAlignment="1">
      <alignment horizontal="center"/>
    </xf>
    <xf numFmtId="20" fontId="184" fillId="41" borderId="0" xfId="114" applyNumberFormat="1" applyFont="1" applyFill="1" applyBorder="1" applyAlignment="1"/>
    <xf numFmtId="20" fontId="184" fillId="41" borderId="182" xfId="114" applyNumberFormat="1" applyFont="1" applyFill="1" applyBorder="1" applyAlignment="1"/>
    <xf numFmtId="172" fontId="186" fillId="34" borderId="177" xfId="115" applyNumberFormat="1" applyFont="1" applyFill="1" applyBorder="1" applyAlignment="1">
      <alignment horizontal="center" wrapText="1"/>
    </xf>
    <xf numFmtId="20" fontId="187" fillId="41" borderId="193" xfId="114" applyNumberFormat="1" applyFont="1" applyFill="1" applyBorder="1" applyAlignment="1">
      <alignment horizontal="left" wrapText="1"/>
    </xf>
    <xf numFmtId="20" fontId="187" fillId="41" borderId="171" xfId="114" applyNumberFormat="1" applyFont="1" applyFill="1" applyBorder="1" applyAlignment="1">
      <alignment horizontal="center" wrapText="1"/>
    </xf>
    <xf numFmtId="20" fontId="187" fillId="41" borderId="193" xfId="114" applyNumberFormat="1" applyFont="1" applyFill="1" applyBorder="1" applyAlignment="1">
      <alignment horizontal="center" wrapText="1"/>
    </xf>
    <xf numFmtId="20" fontId="184" fillId="41" borderId="0" xfId="114" applyNumberFormat="1" applyFont="1" applyFill="1" applyBorder="1" applyAlignment="1">
      <alignment wrapText="1"/>
    </xf>
    <xf numFmtId="20" fontId="184" fillId="41" borderId="227" xfId="114" applyNumberFormat="1" applyFont="1" applyFill="1" applyBorder="1" applyAlignment="1">
      <alignment wrapText="1"/>
    </xf>
    <xf numFmtId="20" fontId="184" fillId="41" borderId="219" xfId="114" applyNumberFormat="1" applyFont="1" applyFill="1" applyBorder="1" applyAlignment="1">
      <alignment wrapText="1"/>
    </xf>
    <xf numFmtId="20" fontId="184" fillId="41" borderId="218" xfId="114" applyNumberFormat="1" applyFont="1" applyFill="1" applyBorder="1" applyAlignment="1">
      <alignment wrapText="1"/>
    </xf>
    <xf numFmtId="20" fontId="166" fillId="41" borderId="43" xfId="114" applyNumberFormat="1" applyFont="1" applyFill="1" applyBorder="1"/>
    <xf numFmtId="20" fontId="187" fillId="37" borderId="0" xfId="114" applyNumberFormat="1" applyFont="1" applyFill="1" applyBorder="1" applyAlignment="1">
      <alignment horizontal="center" wrapText="1"/>
    </xf>
    <xf numFmtId="0" fontId="190" fillId="35" borderId="171" xfId="115" applyNumberFormat="1" applyFont="1" applyFill="1" applyBorder="1" applyAlignment="1" applyProtection="1">
      <alignment horizontal="left"/>
      <protection locked="0"/>
    </xf>
    <xf numFmtId="3" fontId="190" fillId="35" borderId="171" xfId="115" applyNumberFormat="1" applyFont="1" applyFill="1" applyBorder="1" applyAlignment="1" applyProtection="1">
      <alignment horizontal="center"/>
      <protection locked="0"/>
    </xf>
    <xf numFmtId="0" fontId="190" fillId="35" borderId="171" xfId="115" applyNumberFormat="1" applyFont="1" applyFill="1" applyBorder="1" applyAlignment="1" applyProtection="1">
      <alignment horizontal="center"/>
      <protection locked="0"/>
    </xf>
    <xf numFmtId="9" fontId="190" fillId="35" borderId="171" xfId="115" applyNumberFormat="1" applyFont="1" applyFill="1" applyBorder="1" applyAlignment="1" applyProtection="1">
      <alignment horizontal="center"/>
      <protection locked="0"/>
    </xf>
    <xf numFmtId="20" fontId="184" fillId="41" borderId="175" xfId="114" applyNumberFormat="1" applyFont="1" applyFill="1" applyBorder="1" applyAlignment="1">
      <alignment wrapText="1"/>
    </xf>
    <xf numFmtId="20" fontId="184" fillId="41" borderId="222" xfId="114" applyNumberFormat="1" applyFont="1" applyFill="1" applyBorder="1" applyAlignment="1">
      <alignment wrapText="1"/>
    </xf>
    <xf numFmtId="20" fontId="184" fillId="41" borderId="221" xfId="114" applyNumberFormat="1" applyFont="1" applyFill="1" applyBorder="1" applyAlignment="1">
      <alignment wrapText="1"/>
    </xf>
    <xf numFmtId="166" fontId="187" fillId="42" borderId="176" xfId="114" applyNumberFormat="1" applyFont="1" applyFill="1" applyBorder="1" applyAlignment="1">
      <alignment horizontal="center"/>
    </xf>
    <xf numFmtId="9" fontId="187" fillId="42" borderId="176" xfId="114" applyNumberFormat="1" applyFont="1" applyFill="1" applyBorder="1" applyAlignment="1">
      <alignment horizontal="center"/>
    </xf>
    <xf numFmtId="20" fontId="184" fillId="41" borderId="182" xfId="114" applyNumberFormat="1" applyFont="1" applyFill="1" applyBorder="1" applyAlignment="1">
      <alignment wrapText="1"/>
    </xf>
    <xf numFmtId="0" fontId="6" fillId="46" borderId="185" xfId="114" applyFont="1" applyFill="1" applyBorder="1" applyAlignment="1">
      <alignment horizontal="left"/>
    </xf>
    <xf numFmtId="0" fontId="6" fillId="46" borderId="186" xfId="114" applyFont="1" applyFill="1" applyBorder="1" applyAlignment="1">
      <alignment horizontal="center"/>
    </xf>
    <xf numFmtId="0" fontId="2" fillId="46" borderId="186" xfId="114" applyFill="1" applyBorder="1" applyAlignment="1">
      <alignment horizontal="center"/>
    </xf>
    <xf numFmtId="0" fontId="2" fillId="46" borderId="187" xfId="114" applyFill="1" applyBorder="1" applyAlignment="1">
      <alignment horizontal="center"/>
    </xf>
    <xf numFmtId="0" fontId="191" fillId="49" borderId="36" xfId="114" applyFont="1" applyFill="1" applyBorder="1" applyAlignment="1">
      <alignment horizontal="center" wrapText="1"/>
    </xf>
    <xf numFmtId="20" fontId="184" fillId="41" borderId="179" xfId="114" applyNumberFormat="1" applyFont="1" applyFill="1" applyBorder="1" applyAlignment="1">
      <alignment horizontal="right" wrapText="1"/>
    </xf>
    <xf numFmtId="0" fontId="6" fillId="47" borderId="189" xfId="114" applyFont="1" applyFill="1" applyBorder="1" applyAlignment="1">
      <alignment horizontal="left"/>
    </xf>
    <xf numFmtId="0" fontId="6" fillId="47" borderId="0" xfId="114" applyFont="1" applyFill="1" applyBorder="1" applyAlignment="1">
      <alignment horizontal="center"/>
    </xf>
    <xf numFmtId="0" fontId="6" fillId="48" borderId="0" xfId="114" applyFont="1" applyFill="1" applyBorder="1" applyAlignment="1">
      <alignment horizontal="left"/>
    </xf>
    <xf numFmtId="0" fontId="2" fillId="48" borderId="0" xfId="114" applyFill="1" applyBorder="1" applyAlignment="1">
      <alignment horizontal="center"/>
    </xf>
    <xf numFmtId="0" fontId="2" fillId="48" borderId="190" xfId="114" applyFill="1" applyBorder="1" applyAlignment="1">
      <alignment horizontal="center"/>
    </xf>
    <xf numFmtId="0" fontId="191" fillId="49" borderId="43" xfId="114" applyFont="1" applyFill="1" applyBorder="1" applyAlignment="1">
      <alignment horizontal="center" wrapText="1"/>
    </xf>
    <xf numFmtId="20" fontId="184" fillId="41" borderId="10" xfId="114" applyNumberFormat="1" applyFont="1" applyFill="1" applyBorder="1" applyAlignment="1">
      <alignment horizontal="right"/>
    </xf>
    <xf numFmtId="0" fontId="190" fillId="37" borderId="0" xfId="115" applyNumberFormat="1" applyFont="1" applyFill="1" applyBorder="1" applyAlignment="1">
      <alignment horizontal="left"/>
    </xf>
    <xf numFmtId="3" fontId="184" fillId="42" borderId="177" xfId="114" applyNumberFormat="1" applyFont="1" applyFill="1" applyBorder="1" applyAlignment="1">
      <alignment horizontal="right"/>
    </xf>
    <xf numFmtId="0" fontId="179" fillId="0" borderId="0" xfId="114" applyFont="1"/>
    <xf numFmtId="3" fontId="179" fillId="0" borderId="0" xfId="114" applyNumberFormat="1" applyFont="1"/>
    <xf numFmtId="166" fontId="179" fillId="0" borderId="0" xfId="114" applyNumberFormat="1" applyFont="1"/>
    <xf numFmtId="9" fontId="179" fillId="0" borderId="0" xfId="114" applyNumberFormat="1" applyFont="1"/>
    <xf numFmtId="0" fontId="191" fillId="50" borderId="196" xfId="114" applyFont="1" applyFill="1" applyBorder="1" applyAlignment="1">
      <alignment horizontal="center" wrapText="1"/>
    </xf>
    <xf numFmtId="9" fontId="6" fillId="35" borderId="193" xfId="115" applyNumberFormat="1" applyFont="1" applyFill="1" applyBorder="1" applyAlignment="1">
      <alignment horizontal="right"/>
    </xf>
    <xf numFmtId="9" fontId="6" fillId="35" borderId="177" xfId="115" applyNumberFormat="1" applyFont="1" applyFill="1" applyBorder="1" applyAlignment="1">
      <alignment horizontal="right"/>
    </xf>
    <xf numFmtId="9" fontId="6" fillId="35" borderId="193" xfId="115" applyNumberFormat="1" applyFont="1" applyFill="1" applyBorder="1" applyAlignment="1" applyProtection="1">
      <alignment horizontal="right"/>
      <protection locked="0"/>
    </xf>
    <xf numFmtId="0" fontId="2" fillId="39" borderId="0" xfId="114" applyFill="1"/>
    <xf numFmtId="20" fontId="184" fillId="41" borderId="194" xfId="114" applyNumberFormat="1" applyFont="1" applyFill="1" applyBorder="1" applyAlignment="1">
      <alignment horizontal="left"/>
    </xf>
    <xf numFmtId="20" fontId="184" fillId="41" borderId="195" xfId="114" applyNumberFormat="1" applyFont="1" applyFill="1" applyBorder="1" applyAlignment="1">
      <alignment horizontal="center" wrapText="1"/>
    </xf>
    <xf numFmtId="9" fontId="186" fillId="34" borderId="184" xfId="115" applyNumberFormat="1" applyFont="1" applyFill="1" applyBorder="1" applyAlignment="1">
      <alignment horizontal="center" wrapText="1"/>
    </xf>
    <xf numFmtId="9" fontId="186" fillId="34" borderId="176" xfId="115" applyNumberFormat="1" applyFont="1" applyFill="1" applyBorder="1" applyAlignment="1">
      <alignment horizontal="center" wrapText="1"/>
    </xf>
    <xf numFmtId="1" fontId="179" fillId="39" borderId="0" xfId="114" applyNumberFormat="1" applyFont="1" applyFill="1" applyAlignment="1">
      <alignment horizontal="center"/>
    </xf>
    <xf numFmtId="0" fontId="191" fillId="50" borderId="197" xfId="114" applyFont="1" applyFill="1" applyBorder="1" applyAlignment="1">
      <alignment horizontal="center" wrapText="1"/>
    </xf>
    <xf numFmtId="9" fontId="6" fillId="35" borderId="171" xfId="115" applyNumberFormat="1" applyFont="1" applyFill="1" applyBorder="1" applyAlignment="1">
      <alignment horizontal="right"/>
    </xf>
    <xf numFmtId="9" fontId="6" fillId="35" borderId="171" xfId="115" applyNumberFormat="1" applyFont="1" applyFill="1" applyBorder="1" applyAlignment="1" applyProtection="1">
      <alignment horizontal="right"/>
      <protection locked="0"/>
    </xf>
    <xf numFmtId="20" fontId="187" fillId="42" borderId="184" xfId="114" applyNumberFormat="1" applyFont="1" applyFill="1" applyBorder="1" applyAlignment="1"/>
    <xf numFmtId="20" fontId="187" fillId="42" borderId="170" xfId="114" applyNumberFormat="1" applyFont="1" applyFill="1" applyBorder="1" applyAlignment="1"/>
    <xf numFmtId="20" fontId="187" fillId="42" borderId="171" xfId="114" applyNumberFormat="1" applyFont="1" applyFill="1" applyBorder="1" applyAlignment="1"/>
    <xf numFmtId="0" fontId="189" fillId="47" borderId="0" xfId="114" applyFont="1" applyFill="1" applyAlignment="1">
      <alignment horizontal="left"/>
    </xf>
    <xf numFmtId="0" fontId="179" fillId="47" borderId="0" xfId="114" applyFont="1" applyFill="1"/>
    <xf numFmtId="0" fontId="2" fillId="47" borderId="0" xfId="114" applyFill="1"/>
    <xf numFmtId="0" fontId="189" fillId="51" borderId="0" xfId="114" applyFont="1" applyFill="1" applyAlignment="1">
      <alignment horizontal="left"/>
    </xf>
    <xf numFmtId="0" fontId="189" fillId="51" borderId="0" xfId="114" applyFont="1" applyFill="1" applyAlignment="1">
      <alignment horizontal="center"/>
    </xf>
    <xf numFmtId="0" fontId="189" fillId="52" borderId="0" xfId="114" applyFont="1" applyFill="1" applyAlignment="1">
      <alignment horizontal="center"/>
    </xf>
    <xf numFmtId="20" fontId="184" fillId="41" borderId="178" xfId="114" applyNumberFormat="1" applyFont="1" applyFill="1" applyBorder="1" applyAlignment="1">
      <alignment horizontal="left"/>
    </xf>
    <xf numFmtId="20" fontId="184" fillId="41" borderId="188" xfId="114" applyNumberFormat="1" applyFont="1" applyFill="1" applyBorder="1" applyAlignment="1">
      <alignment horizontal="center" wrapText="1"/>
    </xf>
    <xf numFmtId="9" fontId="186" fillId="34" borderId="178" xfId="115" applyNumberFormat="1" applyFont="1" applyFill="1" applyBorder="1" applyAlignment="1">
      <alignment horizontal="center" wrapText="1"/>
    </xf>
    <xf numFmtId="9" fontId="186" fillId="34" borderId="177" xfId="115" applyNumberFormat="1" applyFont="1" applyFill="1" applyBorder="1" applyAlignment="1">
      <alignment horizontal="center" wrapText="1"/>
    </xf>
    <xf numFmtId="0" fontId="2" fillId="49" borderId="0" xfId="114" applyFill="1" applyAlignment="1">
      <alignment horizontal="left"/>
    </xf>
    <xf numFmtId="0" fontId="179" fillId="49" borderId="0" xfId="114" applyFont="1" applyFill="1" applyAlignment="1">
      <alignment horizontal="center"/>
    </xf>
    <xf numFmtId="0" fontId="179" fillId="47" borderId="0" xfId="114" applyFont="1" applyFill="1" applyAlignment="1">
      <alignment horizontal="center"/>
    </xf>
    <xf numFmtId="20" fontId="184" fillId="41" borderId="185" xfId="114" applyNumberFormat="1" applyFont="1" applyFill="1" applyBorder="1" applyAlignment="1">
      <alignment horizontal="center" wrapText="1"/>
    </xf>
    <xf numFmtId="20" fontId="184" fillId="41" borderId="186" xfId="114" applyNumberFormat="1" applyFont="1" applyFill="1" applyBorder="1" applyAlignment="1">
      <alignment horizontal="center" wrapText="1"/>
    </xf>
    <xf numFmtId="20" fontId="184" fillId="41" borderId="187" xfId="114" applyNumberFormat="1" applyFont="1" applyFill="1" applyBorder="1" applyAlignment="1">
      <alignment horizontal="center" wrapText="1"/>
    </xf>
    <xf numFmtId="0" fontId="2" fillId="39" borderId="0" xfId="114" applyFill="1" applyAlignment="1">
      <alignment wrapText="1"/>
    </xf>
    <xf numFmtId="9" fontId="6" fillId="35" borderId="176" xfId="115" applyNumberFormat="1" applyFont="1" applyFill="1" applyBorder="1" applyAlignment="1">
      <alignment horizontal="right"/>
    </xf>
    <xf numFmtId="9" fontId="6" fillId="35" borderId="176" xfId="115" applyNumberFormat="1" applyFont="1" applyFill="1" applyBorder="1" applyAlignment="1" applyProtection="1">
      <alignment horizontal="right"/>
      <protection locked="0"/>
    </xf>
    <xf numFmtId="9" fontId="184" fillId="41" borderId="189" xfId="114" applyNumberFormat="1" applyFont="1" applyFill="1" applyBorder="1" applyAlignment="1">
      <alignment horizontal="center" wrapText="1"/>
    </xf>
    <xf numFmtId="20" fontId="184" fillId="41" borderId="190" xfId="114" applyNumberFormat="1" applyFont="1" applyFill="1" applyBorder="1" applyAlignment="1">
      <alignment horizontal="center" wrapText="1"/>
    </xf>
    <xf numFmtId="3" fontId="186" fillId="34" borderId="177" xfId="115" applyNumberFormat="1" applyFont="1" applyFill="1" applyBorder="1" applyAlignment="1">
      <alignment horizontal="left" wrapText="1"/>
    </xf>
    <xf numFmtId="1" fontId="184" fillId="42" borderId="179" xfId="114" applyNumberFormat="1" applyFont="1" applyFill="1" applyBorder="1" applyAlignment="1">
      <alignment horizontal="center"/>
    </xf>
    <xf numFmtId="1" fontId="179" fillId="53" borderId="0" xfId="114" applyNumberFormat="1" applyFont="1" applyFill="1" applyAlignment="1">
      <alignment horizontal="center"/>
    </xf>
    <xf numFmtId="4" fontId="186" fillId="34" borderId="198" xfId="115" applyNumberFormat="1" applyFont="1" applyFill="1" applyBorder="1" applyAlignment="1">
      <alignment horizontal="center" wrapText="1"/>
    </xf>
    <xf numFmtId="4" fontId="179" fillId="48" borderId="0" xfId="114" applyNumberFormat="1" applyFont="1" applyFill="1" applyBorder="1" applyAlignment="1">
      <alignment horizontal="center"/>
    </xf>
    <xf numFmtId="4" fontId="179" fillId="54" borderId="0" xfId="114" applyNumberFormat="1" applyFont="1" applyFill="1" applyBorder="1" applyAlignment="1">
      <alignment horizontal="center"/>
    </xf>
    <xf numFmtId="2" fontId="179" fillId="48" borderId="0" xfId="114" applyNumberFormat="1" applyFont="1" applyFill="1" applyBorder="1" applyAlignment="1">
      <alignment horizontal="center"/>
    </xf>
    <xf numFmtId="4" fontId="186" fillId="34" borderId="177" xfId="115" applyNumberFormat="1" applyFont="1" applyFill="1" applyBorder="1" applyAlignment="1">
      <alignment horizontal="center" wrapText="1"/>
    </xf>
    <xf numFmtId="4" fontId="186" fillId="34" borderId="199" xfId="115" applyNumberFormat="1" applyFont="1" applyFill="1" applyBorder="1" applyAlignment="1">
      <alignment horizontal="center" wrapText="1"/>
    </xf>
    <xf numFmtId="4" fontId="186" fillId="34" borderId="193" xfId="115" applyNumberFormat="1" applyFont="1" applyFill="1" applyBorder="1" applyAlignment="1">
      <alignment horizontal="center" wrapText="1"/>
    </xf>
    <xf numFmtId="1" fontId="184" fillId="38" borderId="0" xfId="114" applyNumberFormat="1" applyFont="1" applyFill="1" applyAlignment="1">
      <alignment horizontal="center"/>
    </xf>
    <xf numFmtId="0" fontId="190" fillId="40" borderId="10" xfId="114" applyFont="1" applyFill="1" applyBorder="1" applyAlignment="1">
      <alignment horizontal="center"/>
    </xf>
    <xf numFmtId="9" fontId="6" fillId="35" borderId="176" xfId="115" applyNumberFormat="1" applyFont="1" applyFill="1" applyBorder="1" applyAlignment="1">
      <alignment horizontal="right" wrapText="1"/>
    </xf>
    <xf numFmtId="3" fontId="192" fillId="34" borderId="176" xfId="114" applyNumberFormat="1" applyFont="1" applyFill="1" applyBorder="1" applyAlignment="1">
      <alignment horizontal="center"/>
    </xf>
    <xf numFmtId="0" fontId="172" fillId="37" borderId="0" xfId="114" applyFont="1" applyFill="1"/>
    <xf numFmtId="0" fontId="193" fillId="37" borderId="0" xfId="114" applyFont="1" applyFill="1"/>
    <xf numFmtId="0" fontId="190" fillId="37" borderId="0" xfId="114" applyFont="1" applyFill="1" applyBorder="1"/>
    <xf numFmtId="0" fontId="210" fillId="37" borderId="0" xfId="114" applyFont="1" applyFill="1"/>
    <xf numFmtId="3" fontId="184" fillId="42" borderId="0" xfId="114" applyNumberFormat="1" applyFont="1" applyFill="1" applyBorder="1" applyAlignment="1">
      <alignment horizontal="right"/>
    </xf>
    <xf numFmtId="0" fontId="183" fillId="38" borderId="0" xfId="114" applyFont="1" applyFill="1"/>
    <xf numFmtId="3" fontId="183" fillId="38" borderId="0" xfId="114" applyNumberFormat="1" applyFont="1" applyFill="1"/>
    <xf numFmtId="20" fontId="187" fillId="37" borderId="0" xfId="114" applyNumberFormat="1" applyFont="1" applyFill="1" applyBorder="1" applyAlignment="1">
      <alignment horizontal="left" wrapText="1"/>
    </xf>
    <xf numFmtId="9" fontId="6" fillId="35" borderId="176" xfId="115" applyNumberFormat="1" applyFont="1" applyFill="1" applyBorder="1" applyAlignment="1" applyProtection="1">
      <alignment horizontal="right" wrapText="1"/>
      <protection locked="0"/>
    </xf>
    <xf numFmtId="0" fontId="187" fillId="37" borderId="0" xfId="114" applyFont="1" applyFill="1" applyBorder="1"/>
    <xf numFmtId="3" fontId="179" fillId="37" borderId="0" xfId="114" applyNumberFormat="1" applyFont="1" applyFill="1"/>
    <xf numFmtId="20" fontId="187" fillId="41" borderId="0" xfId="114" applyNumberFormat="1" applyFont="1" applyFill="1" applyBorder="1" applyAlignment="1">
      <alignment horizontal="center" wrapText="1"/>
    </xf>
    <xf numFmtId="20" fontId="187" fillId="41" borderId="0" xfId="114" applyNumberFormat="1" applyFont="1" applyFill="1" applyBorder="1" applyAlignment="1">
      <alignment horizontal="center" vertical="center" wrapText="1"/>
    </xf>
    <xf numFmtId="20" fontId="187" fillId="41" borderId="188" xfId="114" applyNumberFormat="1" applyFont="1" applyFill="1" applyBorder="1" applyAlignment="1">
      <alignment horizontal="center" wrapText="1"/>
    </xf>
    <xf numFmtId="0" fontId="166" fillId="42" borderId="0" xfId="114" applyFont="1" applyFill="1" applyBorder="1" applyAlignment="1">
      <alignment horizontal="center"/>
    </xf>
    <xf numFmtId="0" fontId="187" fillId="42" borderId="0" xfId="114" applyFont="1" applyFill="1" applyBorder="1" applyAlignment="1">
      <alignment horizontal="left"/>
    </xf>
    <xf numFmtId="3" fontId="194" fillId="34" borderId="176" xfId="114" applyNumberFormat="1" applyFont="1" applyFill="1" applyBorder="1" applyAlignment="1">
      <alignment horizontal="center"/>
    </xf>
    <xf numFmtId="1" fontId="189" fillId="42" borderId="0" xfId="114" applyNumberFormat="1" applyFont="1" applyFill="1" applyAlignment="1">
      <alignment horizontal="center"/>
    </xf>
    <xf numFmtId="0" fontId="187" fillId="37" borderId="0" xfId="114" applyFont="1" applyFill="1" applyBorder="1" applyAlignment="1">
      <alignment horizontal="left"/>
    </xf>
    <xf numFmtId="0" fontId="191" fillId="50" borderId="200" xfId="114" applyFont="1" applyFill="1" applyBorder="1" applyAlignment="1">
      <alignment horizontal="center" wrapText="1"/>
    </xf>
    <xf numFmtId="20" fontId="166" fillId="42" borderId="0" xfId="114" applyNumberFormat="1" applyFont="1" applyFill="1" applyBorder="1" applyAlignment="1">
      <alignment wrapText="1"/>
    </xf>
    <xf numFmtId="2" fontId="189" fillId="42" borderId="0" xfId="114" applyNumberFormat="1" applyFont="1" applyFill="1"/>
    <xf numFmtId="9" fontId="189" fillId="42" borderId="0" xfId="116" applyFont="1" applyFill="1"/>
    <xf numFmtId="0" fontId="195" fillId="42" borderId="0" xfId="114" applyFont="1" applyFill="1" applyBorder="1" applyAlignment="1">
      <alignment horizontal="left"/>
    </xf>
    <xf numFmtId="3" fontId="196" fillId="34" borderId="176" xfId="114" applyNumberFormat="1" applyFont="1" applyFill="1" applyBorder="1" applyAlignment="1">
      <alignment horizontal="center"/>
    </xf>
    <xf numFmtId="0" fontId="195" fillId="37" borderId="0" xfId="114" applyFont="1" applyFill="1" applyBorder="1" applyAlignment="1">
      <alignment horizontal="left"/>
    </xf>
    <xf numFmtId="20" fontId="221" fillId="41" borderId="0" xfId="114" applyNumberFormat="1" applyFont="1" applyFill="1" applyBorder="1" applyAlignment="1">
      <alignment horizontal="left" vertical="center"/>
    </xf>
    <xf numFmtId="3" fontId="186" fillId="34" borderId="177" xfId="115" applyNumberFormat="1" applyFont="1" applyFill="1" applyBorder="1" applyAlignment="1">
      <alignment horizontal="left" vertical="center" wrapText="1"/>
    </xf>
    <xf numFmtId="3" fontId="186" fillId="34" borderId="177" xfId="115" applyNumberFormat="1" applyFont="1" applyFill="1" applyBorder="1" applyAlignment="1">
      <alignment horizontal="center" vertical="center" wrapText="1"/>
    </xf>
    <xf numFmtId="172" fontId="186" fillId="34" borderId="177" xfId="115" applyNumberFormat="1" applyFont="1" applyFill="1" applyBorder="1" applyAlignment="1">
      <alignment horizontal="center" vertical="center" wrapText="1"/>
    </xf>
    <xf numFmtId="166" fontId="184" fillId="42" borderId="179" xfId="114" applyNumberFormat="1" applyFont="1" applyFill="1" applyBorder="1" applyAlignment="1">
      <alignment horizontal="center" vertical="center"/>
    </xf>
    <xf numFmtId="1" fontId="184" fillId="42" borderId="179" xfId="114" applyNumberFormat="1" applyFont="1" applyFill="1" applyBorder="1" applyAlignment="1">
      <alignment horizontal="center" vertical="center"/>
    </xf>
    <xf numFmtId="1" fontId="184" fillId="38" borderId="0" xfId="114" applyNumberFormat="1" applyFont="1" applyFill="1" applyAlignment="1">
      <alignment horizontal="center" vertical="center"/>
    </xf>
    <xf numFmtId="3" fontId="186" fillId="34" borderId="178" xfId="115" applyNumberFormat="1" applyFont="1" applyFill="1" applyBorder="1" applyAlignment="1">
      <alignment horizontal="center" vertical="center" wrapText="1"/>
    </xf>
    <xf numFmtId="4" fontId="186" fillId="34" borderId="198" xfId="115" applyNumberFormat="1" applyFont="1" applyFill="1" applyBorder="1" applyAlignment="1">
      <alignment horizontal="center" vertical="center" wrapText="1"/>
    </xf>
    <xf numFmtId="4" fontId="186" fillId="34" borderId="199" xfId="115" applyNumberFormat="1" applyFont="1" applyFill="1" applyBorder="1" applyAlignment="1">
      <alignment horizontal="center" vertical="center" wrapText="1"/>
    </xf>
    <xf numFmtId="4" fontId="186" fillId="34" borderId="177" xfId="115" applyNumberFormat="1" applyFont="1" applyFill="1" applyBorder="1" applyAlignment="1">
      <alignment horizontal="center" vertical="center" wrapText="1"/>
    </xf>
    <xf numFmtId="0" fontId="190" fillId="37" borderId="0" xfId="114" applyFont="1" applyFill="1" applyBorder="1" applyAlignment="1">
      <alignment vertical="center"/>
    </xf>
    <xf numFmtId="20" fontId="181" fillId="55" borderId="0" xfId="114" applyNumberFormat="1" applyFont="1" applyFill="1" applyBorder="1" applyAlignment="1">
      <alignment horizontal="left"/>
    </xf>
    <xf numFmtId="20" fontId="184" fillId="55" borderId="0" xfId="114" applyNumberFormat="1" applyFont="1" applyFill="1" applyBorder="1" applyAlignment="1">
      <alignment horizontal="left" wrapText="1"/>
    </xf>
    <xf numFmtId="20" fontId="184" fillId="40" borderId="0" xfId="114" applyNumberFormat="1" applyFont="1" applyFill="1" applyBorder="1" applyAlignment="1">
      <alignment horizontal="left"/>
    </xf>
    <xf numFmtId="20" fontId="184" fillId="40" borderId="0" xfId="114" applyNumberFormat="1" applyFont="1" applyFill="1" applyBorder="1" applyAlignment="1">
      <alignment horizontal="center" wrapText="1"/>
    </xf>
    <xf numFmtId="20" fontId="166" fillId="37" borderId="0" xfId="114" applyNumberFormat="1" applyFont="1" applyFill="1" applyBorder="1" applyAlignment="1">
      <alignment horizontal="left"/>
    </xf>
    <xf numFmtId="20" fontId="166" fillId="55" borderId="0" xfId="114" applyNumberFormat="1" applyFont="1" applyFill="1" applyBorder="1" applyAlignment="1">
      <alignment horizontal="left"/>
    </xf>
    <xf numFmtId="3" fontId="184" fillId="42" borderId="0" xfId="114" applyNumberFormat="1" applyFont="1" applyFill="1" applyBorder="1" applyAlignment="1">
      <alignment horizontal="center"/>
    </xf>
    <xf numFmtId="20" fontId="166" fillId="41" borderId="0" xfId="114" applyNumberFormat="1" applyFont="1" applyFill="1" applyBorder="1" applyAlignment="1">
      <alignment wrapText="1"/>
    </xf>
    <xf numFmtId="20" fontId="184" fillId="41" borderId="195" xfId="114" applyNumberFormat="1" applyFont="1" applyFill="1" applyBorder="1" applyAlignment="1">
      <alignment horizontal="left"/>
    </xf>
    <xf numFmtId="20" fontId="184" fillId="41" borderId="201" xfId="114" applyNumberFormat="1" applyFont="1" applyFill="1" applyBorder="1" applyAlignment="1">
      <alignment horizontal="left"/>
    </xf>
    <xf numFmtId="0" fontId="6" fillId="40" borderId="0" xfId="115" applyNumberFormat="1" applyFont="1" applyFill="1" applyBorder="1" applyAlignment="1">
      <alignment horizontal="right"/>
    </xf>
    <xf numFmtId="20" fontId="184" fillId="41" borderId="183" xfId="114" applyNumberFormat="1" applyFont="1" applyFill="1" applyBorder="1" applyAlignment="1">
      <alignment horizontal="center" wrapText="1"/>
    </xf>
    <xf numFmtId="20" fontId="184" fillId="41" borderId="182" xfId="114" applyNumberFormat="1" applyFont="1" applyFill="1" applyBorder="1" applyAlignment="1">
      <alignment horizontal="center" wrapText="1"/>
    </xf>
    <xf numFmtId="20" fontId="187" fillId="37" borderId="0" xfId="114" applyNumberFormat="1" applyFont="1" applyFill="1" applyBorder="1" applyAlignment="1">
      <alignment horizontal="left"/>
    </xf>
    <xf numFmtId="0" fontId="190" fillId="35" borderId="176" xfId="115" applyNumberFormat="1" applyFont="1" applyFill="1" applyBorder="1" applyAlignment="1" applyProtection="1">
      <alignment horizontal="center"/>
      <protection locked="0"/>
    </xf>
    <xf numFmtId="9" fontId="190" fillId="35" borderId="184" xfId="115" applyNumberFormat="1" applyFont="1" applyFill="1" applyBorder="1" applyAlignment="1" applyProtection="1">
      <alignment horizontal="center"/>
      <protection locked="0"/>
    </xf>
    <xf numFmtId="0" fontId="197" fillId="34" borderId="0" xfId="114" applyFont="1" applyFill="1"/>
    <xf numFmtId="0" fontId="184" fillId="42" borderId="0" xfId="114" applyFont="1" applyFill="1" applyBorder="1" applyAlignment="1">
      <alignment horizontal="left"/>
    </xf>
    <xf numFmtId="0" fontId="6" fillId="35" borderId="177" xfId="115" applyNumberFormat="1" applyFont="1" applyFill="1" applyBorder="1" applyAlignment="1">
      <alignment horizontal="center"/>
    </xf>
    <xf numFmtId="0" fontId="6" fillId="35" borderId="193" xfId="115" applyNumberFormat="1" applyFont="1" applyFill="1" applyBorder="1" applyAlignment="1">
      <alignment horizontal="right"/>
    </xf>
    <xf numFmtId="2" fontId="6" fillId="35" borderId="193" xfId="115" applyNumberFormat="1" applyFont="1" applyFill="1" applyBorder="1" applyAlignment="1">
      <alignment horizontal="right"/>
    </xf>
    <xf numFmtId="0" fontId="6" fillId="34" borderId="193" xfId="115" applyNumberFormat="1" applyFont="1" applyFill="1" applyBorder="1" applyAlignment="1">
      <alignment horizontal="right"/>
    </xf>
    <xf numFmtId="4" fontId="184" fillId="42" borderId="171" xfId="114" applyNumberFormat="1" applyFont="1" applyFill="1" applyBorder="1" applyAlignment="1">
      <alignment horizontal="center"/>
    </xf>
    <xf numFmtId="3" fontId="184" fillId="42" borderId="176" xfId="114" applyNumberFormat="1" applyFont="1" applyFill="1" applyBorder="1" applyAlignment="1">
      <alignment horizontal="center"/>
    </xf>
    <xf numFmtId="4" fontId="184" fillId="42" borderId="176" xfId="114" applyNumberFormat="1" applyFont="1" applyFill="1" applyBorder="1" applyAlignment="1">
      <alignment horizontal="center"/>
    </xf>
    <xf numFmtId="4" fontId="183" fillId="38" borderId="0" xfId="114" applyNumberFormat="1" applyFont="1" applyFill="1"/>
    <xf numFmtId="20" fontId="190" fillId="37" borderId="0" xfId="115" applyNumberFormat="1" applyFont="1" applyFill="1" applyBorder="1" applyAlignment="1">
      <alignment horizontal="left"/>
    </xf>
    <xf numFmtId="9" fontId="194" fillId="34" borderId="194" xfId="114" applyNumberFormat="1" applyFont="1" applyFill="1" applyBorder="1" applyAlignment="1">
      <alignment horizontal="center"/>
    </xf>
    <xf numFmtId="0" fontId="198" fillId="56" borderId="184" xfId="114" applyFont="1" applyFill="1" applyBorder="1" applyAlignment="1">
      <alignment horizontal="center"/>
    </xf>
    <xf numFmtId="0" fontId="198" fillId="56" borderId="171" xfId="114" applyFont="1" applyFill="1" applyBorder="1" applyAlignment="1">
      <alignment horizontal="center"/>
    </xf>
    <xf numFmtId="0" fontId="184" fillId="42" borderId="0" xfId="114" applyFont="1" applyFill="1" applyBorder="1" applyAlignment="1">
      <alignment horizontal="right"/>
    </xf>
    <xf numFmtId="3" fontId="187" fillId="43" borderId="0" xfId="114" applyNumberFormat="1" applyFont="1" applyFill="1" applyBorder="1" applyAlignment="1">
      <alignment horizontal="right"/>
    </xf>
    <xf numFmtId="0" fontId="6" fillId="34" borderId="177" xfId="115" applyNumberFormat="1" applyFont="1" applyFill="1" applyBorder="1" applyAlignment="1">
      <alignment horizontal="center"/>
    </xf>
    <xf numFmtId="3" fontId="187" fillId="44" borderId="0" xfId="114" applyNumberFormat="1" applyFont="1" applyFill="1" applyBorder="1" applyAlignment="1">
      <alignment horizontal="right"/>
    </xf>
    <xf numFmtId="20" fontId="187" fillId="55" borderId="0" xfId="114" applyNumberFormat="1" applyFont="1" applyFill="1" applyBorder="1" applyAlignment="1">
      <alignment horizontal="left"/>
    </xf>
    <xf numFmtId="20" fontId="187" fillId="55" borderId="0" xfId="114" applyNumberFormat="1" applyFont="1" applyFill="1" applyBorder="1" applyAlignment="1">
      <alignment horizontal="right"/>
    </xf>
    <xf numFmtId="0" fontId="190" fillId="35" borderId="176" xfId="115" applyNumberFormat="1" applyFont="1" applyFill="1" applyBorder="1" applyAlignment="1" applyProtection="1">
      <alignment horizontal="center" wrapText="1"/>
      <protection locked="0"/>
    </xf>
    <xf numFmtId="0" fontId="18" fillId="34" borderId="184" xfId="114" applyFont="1" applyFill="1" applyBorder="1" applyAlignment="1">
      <alignment horizontal="left"/>
    </xf>
    <xf numFmtId="0" fontId="179" fillId="34" borderId="171" xfId="114" applyFont="1" applyFill="1" applyBorder="1"/>
    <xf numFmtId="9" fontId="190" fillId="35" borderId="176" xfId="115" applyNumberFormat="1" applyFont="1" applyFill="1" applyBorder="1" applyAlignment="1" applyProtection="1">
      <alignment horizontal="center"/>
      <protection locked="0"/>
    </xf>
    <xf numFmtId="0" fontId="209" fillId="37" borderId="0" xfId="114" applyFont="1" applyFill="1" applyAlignment="1">
      <alignment horizontal="left"/>
    </xf>
    <xf numFmtId="20" fontId="184" fillId="41" borderId="183" xfId="114" applyNumberFormat="1" applyFont="1" applyFill="1" applyBorder="1" applyAlignment="1">
      <alignment horizontal="left" wrapText="1"/>
    </xf>
    <xf numFmtId="9" fontId="187" fillId="42" borderId="176" xfId="114" applyNumberFormat="1" applyFont="1" applyFill="1" applyBorder="1" applyAlignment="1">
      <alignment horizontal="left"/>
    </xf>
    <xf numFmtId="9" fontId="6" fillId="35" borderId="177" xfId="116" applyFont="1" applyFill="1" applyBorder="1" applyAlignment="1">
      <alignment horizontal="right"/>
    </xf>
    <xf numFmtId="20" fontId="187" fillId="41" borderId="0" xfId="114" applyNumberFormat="1" applyFont="1" applyFill="1" applyBorder="1" applyAlignment="1">
      <alignment horizontal="left" wrapText="1"/>
    </xf>
    <xf numFmtId="9" fontId="194" fillId="34" borderId="206" xfId="114" applyNumberFormat="1" applyFont="1" applyFill="1" applyBorder="1" applyAlignment="1">
      <alignment horizontal="center"/>
    </xf>
    <xf numFmtId="0" fontId="198" fillId="56" borderId="0" xfId="114" applyFont="1" applyFill="1" applyAlignment="1">
      <alignment horizontal="center" wrapText="1"/>
    </xf>
    <xf numFmtId="9" fontId="179" fillId="35" borderId="193" xfId="115" applyNumberFormat="1" applyFont="1" applyFill="1" applyBorder="1" applyAlignment="1" applyProtection="1">
      <alignment horizontal="center"/>
      <protection locked="0"/>
    </xf>
    <xf numFmtId="0" fontId="190" fillId="35" borderId="177" xfId="115" applyNumberFormat="1" applyFont="1" applyFill="1" applyBorder="1" applyAlignment="1" applyProtection="1">
      <alignment horizontal="center"/>
      <protection locked="0"/>
    </xf>
    <xf numFmtId="9" fontId="190" fillId="35" borderId="177" xfId="115" applyNumberFormat="1" applyFont="1" applyFill="1" applyBorder="1" applyAlignment="1" applyProtection="1">
      <alignment horizontal="center"/>
      <protection locked="0"/>
    </xf>
    <xf numFmtId="2" fontId="198" fillId="56" borderId="0" xfId="114" applyNumberFormat="1" applyFont="1" applyFill="1" applyAlignment="1">
      <alignment horizontal="center"/>
    </xf>
    <xf numFmtId="9" fontId="194" fillId="34" borderId="176" xfId="114" applyNumberFormat="1" applyFont="1" applyFill="1" applyBorder="1" applyAlignment="1">
      <alignment horizontal="center"/>
    </xf>
    <xf numFmtId="0" fontId="199" fillId="37" borderId="0" xfId="114" applyFont="1" applyFill="1" applyAlignment="1">
      <alignment horizontal="left"/>
    </xf>
    <xf numFmtId="0" fontId="222" fillId="37" borderId="0" xfId="114" applyFont="1" applyFill="1" applyAlignment="1">
      <alignment horizontal="left"/>
    </xf>
    <xf numFmtId="0" fontId="187" fillId="37" borderId="0" xfId="114" applyFont="1" applyFill="1" applyAlignment="1">
      <alignment horizontal="right"/>
    </xf>
    <xf numFmtId="0" fontId="187" fillId="37" borderId="0" xfId="114" applyFont="1" applyFill="1" applyBorder="1" applyAlignment="1">
      <alignment horizontal="right"/>
    </xf>
    <xf numFmtId="0" fontId="190" fillId="35" borderId="193" xfId="115" applyNumberFormat="1" applyFont="1" applyFill="1" applyBorder="1" applyAlignment="1" applyProtection="1">
      <alignment horizontal="center"/>
      <protection locked="0"/>
    </xf>
    <xf numFmtId="20" fontId="210" fillId="55" borderId="0" xfId="114" applyNumberFormat="1" applyFont="1" applyFill="1" applyBorder="1" applyAlignment="1">
      <alignment horizontal="left"/>
    </xf>
    <xf numFmtId="20" fontId="187" fillId="43" borderId="0" xfId="114" applyNumberFormat="1" applyFont="1" applyFill="1" applyBorder="1" applyAlignment="1">
      <alignment horizontal="center"/>
    </xf>
    <xf numFmtId="3" fontId="187" fillId="44" borderId="0" xfId="114" applyNumberFormat="1" applyFont="1" applyFill="1" applyBorder="1" applyAlignment="1">
      <alignment horizontal="center"/>
    </xf>
    <xf numFmtId="3" fontId="194" fillId="34" borderId="176" xfId="114" applyNumberFormat="1" applyFont="1" applyFill="1" applyBorder="1" applyAlignment="1">
      <alignment horizontal="left"/>
    </xf>
    <xf numFmtId="3" fontId="187" fillId="43" borderId="0" xfId="114" applyNumberFormat="1" applyFont="1" applyFill="1" applyBorder="1" applyAlignment="1">
      <alignment horizontal="center"/>
    </xf>
    <xf numFmtId="20" fontId="184" fillId="40" borderId="0" xfId="114" applyNumberFormat="1" applyFont="1" applyFill="1" applyBorder="1" applyAlignment="1">
      <alignment horizontal="left" wrapText="1"/>
    </xf>
    <xf numFmtId="0" fontId="190" fillId="37" borderId="0" xfId="114" applyFont="1" applyFill="1" applyAlignment="1">
      <alignment vertical="center"/>
    </xf>
    <xf numFmtId="20" fontId="184" fillId="37" borderId="0" xfId="114" applyNumberFormat="1" applyFont="1" applyFill="1" applyBorder="1" applyAlignment="1">
      <alignment horizontal="left" wrapText="1"/>
    </xf>
    <xf numFmtId="0" fontId="210" fillId="37" borderId="0" xfId="114" applyFont="1" applyFill="1" applyAlignment="1">
      <alignment horizontal="left" vertical="center"/>
    </xf>
    <xf numFmtId="20" fontId="187" fillId="41" borderId="184" xfId="52" applyNumberFormat="1" applyFont="1" applyFill="1" applyBorder="1" applyAlignment="1">
      <alignment wrapText="1"/>
    </xf>
    <xf numFmtId="20" fontId="187" fillId="41" borderId="170" xfId="52" applyNumberFormat="1" applyFont="1" applyFill="1" applyBorder="1" applyAlignment="1">
      <alignment horizontal="center"/>
    </xf>
    <xf numFmtId="20" fontId="187" fillId="41" borderId="170" xfId="52" applyNumberFormat="1" applyFont="1" applyFill="1" applyBorder="1" applyAlignment="1"/>
    <xf numFmtId="20" fontId="187" fillId="41" borderId="171" xfId="52" applyNumberFormat="1" applyFont="1" applyFill="1" applyBorder="1" applyAlignment="1"/>
    <xf numFmtId="0" fontId="190" fillId="35" borderId="184" xfId="115" applyFont="1" applyFill="1" applyBorder="1" applyAlignment="1" applyProtection="1">
      <protection locked="0"/>
    </xf>
    <xf numFmtId="0" fontId="187" fillId="37" borderId="0" xfId="114" applyFont="1" applyFill="1" applyAlignment="1">
      <alignment vertical="center"/>
    </xf>
    <xf numFmtId="0" fontId="187" fillId="42" borderId="177" xfId="52" applyFont="1" applyFill="1" applyBorder="1" applyAlignment="1">
      <alignment horizontal="left"/>
    </xf>
    <xf numFmtId="173" fontId="18" fillId="35" borderId="177" xfId="115" applyNumberFormat="1" applyFont="1" applyFill="1" applyBorder="1" applyAlignment="1">
      <alignment horizontal="center"/>
    </xf>
    <xf numFmtId="0" fontId="187" fillId="42" borderId="176" xfId="52" applyFont="1" applyFill="1" applyBorder="1" applyAlignment="1">
      <alignment horizontal="left"/>
    </xf>
    <xf numFmtId="0" fontId="190" fillId="35" borderId="176" xfId="115" applyNumberFormat="1" applyFont="1" applyFill="1" applyBorder="1" applyAlignment="1">
      <alignment horizontal="center" wrapText="1"/>
    </xf>
    <xf numFmtId="20" fontId="187" fillId="43" borderId="0" xfId="114" applyNumberFormat="1" applyFont="1" applyFill="1" applyBorder="1" applyAlignment="1">
      <alignment horizontal="left" wrapText="1"/>
    </xf>
    <xf numFmtId="20" fontId="187" fillId="43" borderId="0" xfId="114" applyNumberFormat="1" applyFont="1" applyFill="1" applyBorder="1" applyAlignment="1">
      <alignment horizontal="center" wrapText="1"/>
    </xf>
    <xf numFmtId="0" fontId="18" fillId="35" borderId="176" xfId="115" applyNumberFormat="1" applyFont="1" applyFill="1" applyBorder="1" applyAlignment="1">
      <alignment horizontal="center" wrapText="1"/>
    </xf>
    <xf numFmtId="0" fontId="187" fillId="42" borderId="0" xfId="114" applyFont="1" applyFill="1" applyBorder="1" applyAlignment="1"/>
    <xf numFmtId="173" fontId="194" fillId="34" borderId="176" xfId="114" applyNumberFormat="1" applyFont="1" applyFill="1" applyBorder="1" applyAlignment="1">
      <alignment horizontal="center"/>
    </xf>
    <xf numFmtId="0" fontId="179" fillId="34" borderId="0" xfId="114" applyFont="1" applyFill="1" applyAlignment="1">
      <alignment horizontal="right"/>
    </xf>
    <xf numFmtId="0" fontId="179" fillId="40" borderId="0" xfId="52" applyFont="1" applyFill="1"/>
    <xf numFmtId="0" fontId="187" fillId="41" borderId="0" xfId="114" applyFont="1" applyFill="1"/>
    <xf numFmtId="173" fontId="194" fillId="34" borderId="177" xfId="114" applyNumberFormat="1" applyFont="1" applyFill="1" applyBorder="1" applyAlignment="1">
      <alignment horizontal="center"/>
    </xf>
    <xf numFmtId="20" fontId="187" fillId="41" borderId="170" xfId="52" applyNumberFormat="1" applyFont="1" applyFill="1" applyBorder="1" applyAlignment="1">
      <alignment horizontal="left"/>
    </xf>
    <xf numFmtId="20" fontId="187" fillId="41" borderId="171" xfId="52" applyNumberFormat="1" applyFont="1" applyFill="1" applyBorder="1" applyAlignment="1">
      <alignment horizontal="left"/>
    </xf>
    <xf numFmtId="173" fontId="190" fillId="35" borderId="193" xfId="115" applyNumberFormat="1" applyFont="1" applyFill="1" applyBorder="1" applyAlignment="1" applyProtection="1">
      <alignment horizontal="center"/>
      <protection locked="0"/>
    </xf>
    <xf numFmtId="0" fontId="194" fillId="34" borderId="176" xfId="115" applyNumberFormat="1" applyFont="1" applyFill="1" applyBorder="1" applyAlignment="1">
      <alignment horizontal="center" wrapText="1"/>
    </xf>
    <xf numFmtId="0" fontId="179" fillId="34" borderId="0" xfId="114" applyFont="1" applyFill="1" applyAlignment="1">
      <alignment horizontal="right" vertical="center"/>
    </xf>
    <xf numFmtId="1" fontId="190" fillId="35" borderId="177" xfId="115" applyNumberFormat="1" applyFont="1" applyFill="1" applyBorder="1" applyAlignment="1">
      <alignment horizontal="right" wrapText="1"/>
    </xf>
    <xf numFmtId="0" fontId="194" fillId="34" borderId="177" xfId="115" applyNumberFormat="1" applyFont="1" applyFill="1" applyBorder="1" applyAlignment="1">
      <alignment horizontal="center" wrapText="1"/>
    </xf>
    <xf numFmtId="1" fontId="190" fillId="35" borderId="176" xfId="115" applyNumberFormat="1" applyFont="1" applyFill="1" applyBorder="1" applyAlignment="1">
      <alignment horizontal="right" wrapText="1"/>
    </xf>
    <xf numFmtId="2" fontId="190" fillId="35" borderId="176" xfId="115" applyNumberFormat="1" applyFont="1" applyFill="1" applyBorder="1" applyAlignment="1">
      <alignment horizontal="right" wrapText="1"/>
    </xf>
    <xf numFmtId="20" fontId="187" fillId="43" borderId="0" xfId="114" applyNumberFormat="1" applyFont="1" applyFill="1" applyBorder="1" applyAlignment="1">
      <alignment wrapText="1"/>
    </xf>
    <xf numFmtId="3" fontId="187" fillId="44" borderId="0" xfId="114" applyNumberFormat="1" applyFont="1" applyFill="1" applyBorder="1" applyAlignment="1"/>
    <xf numFmtId="20" fontId="187" fillId="37" borderId="0" xfId="114" applyNumberFormat="1" applyFont="1" applyFill="1" applyBorder="1" applyAlignment="1">
      <alignment wrapText="1"/>
    </xf>
    <xf numFmtId="0" fontId="179" fillId="37" borderId="0" xfId="114" applyFont="1" applyFill="1" applyAlignment="1">
      <alignment horizontal="center"/>
    </xf>
    <xf numFmtId="0" fontId="190" fillId="37" borderId="0" xfId="114" applyFont="1" applyFill="1" applyAlignment="1">
      <alignment horizontal="center"/>
    </xf>
    <xf numFmtId="20" fontId="184" fillId="41" borderId="179" xfId="114" applyNumberFormat="1" applyFont="1" applyFill="1" applyBorder="1" applyAlignment="1">
      <alignment horizontal="center" wrapText="1"/>
    </xf>
    <xf numFmtId="3" fontId="190" fillId="35" borderId="177" xfId="115" applyNumberFormat="1" applyFont="1" applyFill="1" applyBorder="1" applyAlignment="1" applyProtection="1">
      <alignment horizontal="center"/>
      <protection locked="0"/>
    </xf>
    <xf numFmtId="3" fontId="194" fillId="34" borderId="178" xfId="115" applyNumberFormat="1" applyFont="1" applyFill="1" applyBorder="1" applyAlignment="1">
      <alignment horizontal="center" wrapText="1"/>
    </xf>
    <xf numFmtId="3" fontId="194" fillId="34" borderId="177" xfId="114" applyNumberFormat="1" applyFont="1" applyFill="1" applyBorder="1" applyAlignment="1">
      <alignment horizontal="center"/>
    </xf>
    <xf numFmtId="3" fontId="201" fillId="34" borderId="177" xfId="115" applyNumberFormat="1" applyFont="1" applyFill="1" applyBorder="1" applyAlignment="1">
      <alignment horizontal="center" wrapText="1"/>
    </xf>
    <xf numFmtId="3" fontId="186" fillId="34" borderId="177" xfId="114" applyNumberFormat="1" applyFont="1" applyFill="1" applyBorder="1" applyAlignment="1">
      <alignment horizontal="center"/>
    </xf>
    <xf numFmtId="3" fontId="201" fillId="34" borderId="177" xfId="114" applyNumberFormat="1" applyFont="1" applyFill="1" applyBorder="1" applyAlignment="1">
      <alignment horizontal="center"/>
    </xf>
    <xf numFmtId="3" fontId="196" fillId="34" borderId="178" xfId="115" applyNumberFormat="1" applyFont="1" applyFill="1" applyBorder="1" applyAlignment="1">
      <alignment horizontal="center" wrapText="1"/>
    </xf>
    <xf numFmtId="3" fontId="195" fillId="43" borderId="0" xfId="114" applyNumberFormat="1" applyFont="1" applyFill="1" applyBorder="1" applyAlignment="1">
      <alignment horizontal="center"/>
    </xf>
    <xf numFmtId="3" fontId="185" fillId="44" borderId="0" xfId="114" applyNumberFormat="1" applyFont="1" applyFill="1" applyBorder="1" applyAlignment="1">
      <alignment horizontal="center"/>
    </xf>
    <xf numFmtId="20" fontId="184" fillId="43" borderId="0" xfId="114" applyNumberFormat="1" applyFont="1" applyFill="1" applyBorder="1" applyAlignment="1">
      <alignment horizontal="right"/>
    </xf>
    <xf numFmtId="3" fontId="184" fillId="43" borderId="0" xfId="114" applyNumberFormat="1" applyFont="1" applyFill="1" applyBorder="1" applyAlignment="1">
      <alignment horizontal="center"/>
    </xf>
    <xf numFmtId="0" fontId="190" fillId="41" borderId="0" xfId="114" applyFont="1" applyFill="1"/>
    <xf numFmtId="0" fontId="190" fillId="35" borderId="176" xfId="115" applyFont="1" applyFill="1" applyBorder="1" applyAlignment="1" applyProtection="1">
      <alignment horizontal="center"/>
      <protection locked="0"/>
    </xf>
    <xf numFmtId="3" fontId="187" fillId="44" borderId="0" xfId="114" applyNumberFormat="1" applyFont="1" applyFill="1" applyBorder="1" applyAlignment="1">
      <alignment horizontal="center" wrapText="1"/>
    </xf>
    <xf numFmtId="3" fontId="194" fillId="34" borderId="177" xfId="115" applyNumberFormat="1" applyFont="1" applyFill="1" applyBorder="1" applyAlignment="1">
      <alignment horizontal="center" wrapText="1"/>
    </xf>
    <xf numFmtId="20" fontId="166" fillId="41" borderId="195" xfId="52" applyNumberFormat="1" applyFont="1" applyFill="1" applyBorder="1" applyAlignment="1">
      <alignment horizontal="center" wrapText="1"/>
    </xf>
    <xf numFmtId="20" fontId="184" fillId="43" borderId="0" xfId="114" applyNumberFormat="1" applyFont="1" applyFill="1" applyBorder="1" applyAlignment="1">
      <alignment wrapText="1"/>
    </xf>
    <xf numFmtId="3" fontId="184" fillId="44" borderId="0" xfId="114" applyNumberFormat="1" applyFont="1" applyFill="1" applyBorder="1" applyAlignment="1">
      <alignment horizontal="left"/>
    </xf>
    <xf numFmtId="20" fontId="166" fillId="41" borderId="195" xfId="52" applyNumberFormat="1" applyFont="1" applyFill="1" applyBorder="1" applyAlignment="1">
      <alignment wrapText="1"/>
    </xf>
    <xf numFmtId="20" fontId="166" fillId="41" borderId="188" xfId="52" applyNumberFormat="1" applyFont="1" applyFill="1" applyBorder="1" applyAlignment="1">
      <alignment horizontal="center" wrapText="1"/>
    </xf>
    <xf numFmtId="3" fontId="184" fillId="42" borderId="176" xfId="114" applyNumberFormat="1" applyFont="1" applyFill="1" applyBorder="1" applyAlignment="1">
      <alignment horizontal="center" wrapText="1"/>
    </xf>
    <xf numFmtId="0" fontId="166" fillId="42" borderId="176" xfId="52" applyFont="1" applyFill="1" applyBorder="1" applyAlignment="1">
      <alignment horizontal="left"/>
    </xf>
    <xf numFmtId="0" fontId="166" fillId="42" borderId="176" xfId="52" applyFont="1" applyFill="1" applyBorder="1" applyAlignment="1">
      <alignment horizontal="center"/>
    </xf>
    <xf numFmtId="1" fontId="166" fillId="42" borderId="176" xfId="52" applyNumberFormat="1" applyFont="1" applyFill="1" applyBorder="1" applyAlignment="1">
      <alignment horizontal="center"/>
    </xf>
    <xf numFmtId="0" fontId="190" fillId="37" borderId="0" xfId="115" applyNumberFormat="1" applyFont="1" applyFill="1" applyBorder="1" applyAlignment="1">
      <alignment horizontal="left" vertical="center"/>
    </xf>
    <xf numFmtId="0" fontId="193" fillId="37" borderId="0" xfId="114" applyFont="1" applyFill="1" applyAlignment="1">
      <alignment vertical="center"/>
    </xf>
    <xf numFmtId="174" fontId="184" fillId="42" borderId="176" xfId="114" applyNumberFormat="1" applyFont="1" applyFill="1" applyBorder="1" applyAlignment="1">
      <alignment horizontal="center"/>
    </xf>
    <xf numFmtId="172" fontId="184" fillId="42" borderId="176" xfId="114" applyNumberFormat="1" applyFont="1" applyFill="1" applyBorder="1" applyAlignment="1">
      <alignment horizontal="center"/>
    </xf>
    <xf numFmtId="174" fontId="184" fillId="57" borderId="176" xfId="114" applyNumberFormat="1" applyFont="1" applyFill="1" applyBorder="1" applyAlignment="1">
      <alignment horizontal="center"/>
    </xf>
    <xf numFmtId="9" fontId="184" fillId="42" borderId="176" xfId="114" applyNumberFormat="1" applyFont="1" applyFill="1" applyBorder="1" applyAlignment="1">
      <alignment horizontal="center"/>
    </xf>
    <xf numFmtId="0" fontId="166" fillId="42" borderId="0" xfId="52" applyFont="1" applyFill="1" applyBorder="1" applyAlignment="1">
      <alignment horizontal="left"/>
    </xf>
    <xf numFmtId="9" fontId="18" fillId="35" borderId="176" xfId="115" applyNumberFormat="1" applyFont="1" applyFill="1" applyBorder="1" applyAlignment="1">
      <alignment horizontal="right"/>
    </xf>
    <xf numFmtId="3" fontId="194" fillId="37" borderId="0" xfId="115" applyNumberFormat="1" applyFont="1" applyFill="1" applyBorder="1" applyAlignment="1">
      <alignment horizontal="center" wrapText="1"/>
    </xf>
    <xf numFmtId="9" fontId="18" fillId="35" borderId="177" xfId="115" applyNumberFormat="1" applyFont="1" applyFill="1" applyBorder="1" applyAlignment="1">
      <alignment horizontal="right"/>
    </xf>
    <xf numFmtId="0" fontId="190" fillId="35" borderId="176" xfId="115" applyNumberFormat="1" applyFont="1" applyFill="1" applyBorder="1" applyAlignment="1" applyProtection="1">
      <alignment horizontal="left"/>
      <protection locked="0"/>
    </xf>
    <xf numFmtId="3" fontId="194" fillId="34" borderId="176" xfId="115" applyNumberFormat="1" applyFont="1" applyFill="1" applyBorder="1" applyAlignment="1">
      <alignment horizontal="center" wrapText="1"/>
    </xf>
    <xf numFmtId="9" fontId="18" fillId="35" borderId="177" xfId="115" applyNumberFormat="1" applyFont="1" applyFill="1" applyBorder="1" applyAlignment="1">
      <alignment horizontal="right" wrapText="1"/>
    </xf>
    <xf numFmtId="20" fontId="184" fillId="43" borderId="175" xfId="114" applyNumberFormat="1" applyFont="1" applyFill="1" applyBorder="1" applyAlignment="1">
      <alignment wrapText="1"/>
    </xf>
    <xf numFmtId="3" fontId="184" fillId="44" borderId="0" xfId="114" applyNumberFormat="1" applyFont="1" applyFill="1" applyBorder="1" applyAlignment="1"/>
    <xf numFmtId="172" fontId="186" fillId="34" borderId="198" xfId="115" applyNumberFormat="1" applyFont="1" applyFill="1" applyBorder="1" applyAlignment="1">
      <alignment horizontal="center" wrapText="1"/>
    </xf>
    <xf numFmtId="3" fontId="194" fillId="34" borderId="193" xfId="115" applyNumberFormat="1" applyFont="1" applyFill="1" applyBorder="1" applyAlignment="1">
      <alignment horizontal="center" wrapText="1"/>
    </xf>
    <xf numFmtId="0" fontId="187" fillId="37" borderId="0" xfId="114" applyFont="1" applyFill="1"/>
    <xf numFmtId="49" fontId="184" fillId="41" borderId="180" xfId="114" applyNumberFormat="1" applyFont="1" applyFill="1" applyBorder="1" applyAlignment="1">
      <alignment wrapText="1"/>
    </xf>
    <xf numFmtId="49" fontId="184" fillId="41" borderId="202" xfId="114" applyNumberFormat="1" applyFont="1" applyFill="1" applyBorder="1" applyAlignment="1">
      <alignment horizontal="right" wrapText="1"/>
    </xf>
    <xf numFmtId="49" fontId="184" fillId="41" borderId="202" xfId="114" applyNumberFormat="1" applyFont="1" applyFill="1" applyBorder="1" applyAlignment="1">
      <alignment wrapText="1"/>
    </xf>
    <xf numFmtId="0" fontId="184" fillId="41" borderId="180" xfId="114" applyNumberFormat="1" applyFont="1" applyFill="1" applyBorder="1" applyAlignment="1">
      <alignment wrapText="1"/>
    </xf>
    <xf numFmtId="0" fontId="184" fillId="41" borderId="202" xfId="114" applyNumberFormat="1" applyFont="1" applyFill="1" applyBorder="1" applyAlignment="1">
      <alignment wrapText="1"/>
    </xf>
    <xf numFmtId="49" fontId="184" fillId="41" borderId="181" xfId="114" applyNumberFormat="1" applyFont="1" applyFill="1" applyBorder="1" applyAlignment="1">
      <alignment wrapText="1"/>
    </xf>
    <xf numFmtId="49" fontId="184" fillId="41" borderId="0" xfId="114" applyNumberFormat="1" applyFont="1" applyFill="1" applyBorder="1" applyAlignment="1">
      <alignment horizontal="center" wrapText="1"/>
    </xf>
    <xf numFmtId="20" fontId="166" fillId="41" borderId="0" xfId="52" applyNumberFormat="1" applyFont="1" applyFill="1" applyBorder="1" applyAlignment="1">
      <alignment horizontal="center" wrapText="1"/>
    </xf>
    <xf numFmtId="0" fontId="12" fillId="35" borderId="177" xfId="115" applyNumberFormat="1" applyFont="1" applyFill="1" applyBorder="1" applyAlignment="1">
      <alignment horizontal="right" wrapText="1"/>
    </xf>
    <xf numFmtId="0" fontId="166" fillId="37" borderId="0" xfId="114" applyFont="1" applyFill="1" applyAlignment="1">
      <alignment horizontal="left"/>
    </xf>
    <xf numFmtId="0" fontId="166" fillId="42" borderId="176" xfId="52" applyFont="1" applyFill="1" applyBorder="1" applyAlignment="1">
      <alignment horizontal="left" wrapText="1"/>
    </xf>
    <xf numFmtId="0" fontId="12" fillId="35" borderId="176" xfId="115" applyNumberFormat="1" applyFont="1" applyFill="1" applyBorder="1" applyAlignment="1">
      <alignment horizontal="right"/>
    </xf>
    <xf numFmtId="1" fontId="179" fillId="35" borderId="176" xfId="115" applyNumberFormat="1" applyFont="1" applyFill="1" applyBorder="1" applyAlignment="1">
      <alignment horizontal="center"/>
    </xf>
    <xf numFmtId="1" fontId="179" fillId="35" borderId="177" xfId="115" applyNumberFormat="1" applyFont="1" applyFill="1" applyBorder="1" applyAlignment="1">
      <alignment horizontal="center"/>
    </xf>
    <xf numFmtId="166" fontId="179" fillId="35" borderId="177" xfId="115" applyNumberFormat="1" applyFont="1" applyFill="1" applyBorder="1" applyAlignment="1">
      <alignment horizontal="center"/>
    </xf>
    <xf numFmtId="20" fontId="166" fillId="41" borderId="0" xfId="52" applyNumberFormat="1" applyFont="1" applyFill="1" applyBorder="1" applyAlignment="1">
      <alignment wrapText="1"/>
    </xf>
    <xf numFmtId="20" fontId="184" fillId="41" borderId="195" xfId="52" applyNumberFormat="1" applyFont="1" applyFill="1" applyBorder="1" applyAlignment="1">
      <alignment horizontal="center"/>
    </xf>
    <xf numFmtId="0" fontId="6" fillId="35" borderId="193" xfId="115" applyNumberFormat="1" applyFont="1" applyFill="1" applyBorder="1" applyAlignment="1">
      <alignment horizontal="center"/>
    </xf>
    <xf numFmtId="0" fontId="6" fillId="35" borderId="193" xfId="115" applyNumberFormat="1" applyFont="1" applyFill="1" applyBorder="1" applyAlignment="1">
      <alignment horizontal="center" wrapText="1"/>
    </xf>
    <xf numFmtId="0" fontId="184" fillId="42" borderId="0" xfId="114" applyFont="1" applyFill="1" applyBorder="1" applyAlignment="1">
      <alignment horizontal="left" vertical="center"/>
    </xf>
    <xf numFmtId="1" fontId="179" fillId="35" borderId="176" xfId="115" applyNumberFormat="1" applyFont="1" applyFill="1" applyBorder="1" applyAlignment="1">
      <alignment horizontal="center" vertical="center"/>
    </xf>
    <xf numFmtId="1" fontId="179" fillId="35" borderId="177" xfId="115" applyNumberFormat="1" applyFont="1" applyFill="1" applyBorder="1" applyAlignment="1">
      <alignment horizontal="center" vertical="center"/>
    </xf>
    <xf numFmtId="166" fontId="179" fillId="35" borderId="177" xfId="115" applyNumberFormat="1" applyFont="1" applyFill="1" applyBorder="1" applyAlignment="1">
      <alignment horizontal="center" vertical="center"/>
    </xf>
    <xf numFmtId="9" fontId="6" fillId="35" borderId="193" xfId="115" applyNumberFormat="1" applyFont="1" applyFill="1" applyBorder="1" applyAlignment="1">
      <alignment horizontal="center" wrapText="1"/>
    </xf>
    <xf numFmtId="2" fontId="179" fillId="34" borderId="0" xfId="114" applyNumberFormat="1" applyFont="1" applyFill="1"/>
    <xf numFmtId="3" fontId="179" fillId="34" borderId="0" xfId="114" applyNumberFormat="1" applyFont="1" applyFill="1"/>
    <xf numFmtId="0" fontId="193" fillId="37" borderId="0" xfId="114" applyFont="1" applyFill="1" applyAlignment="1">
      <alignment horizontal="center"/>
    </xf>
    <xf numFmtId="20" fontId="12" fillId="40" borderId="0" xfId="114" applyNumberFormat="1" applyFont="1" applyFill="1" applyBorder="1" applyAlignment="1">
      <alignment horizontal="left"/>
    </xf>
    <xf numFmtId="20" fontId="166" fillId="40" borderId="0" xfId="114" applyNumberFormat="1" applyFont="1" applyFill="1" applyBorder="1" applyAlignment="1"/>
    <xf numFmtId="20" fontId="187" fillId="52" borderId="186" xfId="114" applyNumberFormat="1" applyFont="1" applyFill="1" applyBorder="1" applyAlignment="1">
      <alignment wrapText="1"/>
    </xf>
    <xf numFmtId="20" fontId="166" fillId="41" borderId="184" xfId="52" applyNumberFormat="1" applyFont="1" applyFill="1" applyBorder="1" applyAlignment="1"/>
    <xf numFmtId="20" fontId="166" fillId="41" borderId="170" xfId="52" applyNumberFormat="1" applyFont="1" applyFill="1" applyBorder="1" applyAlignment="1"/>
    <xf numFmtId="20" fontId="166" fillId="41" borderId="170" xfId="52" applyNumberFormat="1" applyFont="1" applyFill="1" applyBorder="1" applyAlignment="1">
      <alignment wrapText="1"/>
    </xf>
    <xf numFmtId="20" fontId="166" fillId="41" borderId="171" xfId="52" applyNumberFormat="1" applyFont="1" applyFill="1" applyBorder="1" applyAlignment="1">
      <alignment wrapText="1"/>
    </xf>
    <xf numFmtId="0" fontId="187" fillId="37" borderId="0" xfId="114" applyFont="1" applyFill="1" applyAlignment="1">
      <alignment horizontal="left"/>
    </xf>
    <xf numFmtId="20" fontId="166" fillId="41" borderId="184" xfId="52" applyNumberFormat="1" applyFont="1" applyFill="1" applyBorder="1" applyAlignment="1">
      <alignment wrapText="1"/>
    </xf>
    <xf numFmtId="0" fontId="187" fillId="37" borderId="0" xfId="114" applyFont="1" applyFill="1" applyAlignment="1">
      <alignment horizontal="center"/>
    </xf>
    <xf numFmtId="166" fontId="179" fillId="56" borderId="189" xfId="114" applyNumberFormat="1" applyFont="1" applyFill="1" applyBorder="1" applyAlignment="1">
      <alignment horizontal="center"/>
    </xf>
    <xf numFmtId="166" fontId="179" fillId="34" borderId="215" xfId="114" applyNumberFormat="1" applyFont="1" applyFill="1" applyBorder="1" applyAlignment="1">
      <alignment horizontal="center"/>
    </xf>
    <xf numFmtId="0" fontId="166" fillId="42" borderId="0" xfId="52" applyFont="1" applyFill="1" applyBorder="1" applyAlignment="1">
      <alignment horizontal="left" wrapText="1"/>
    </xf>
    <xf numFmtId="165" fontId="12" fillId="35" borderId="176" xfId="115" applyNumberFormat="1" applyFont="1" applyFill="1" applyBorder="1" applyAlignment="1">
      <alignment horizontal="right"/>
    </xf>
    <xf numFmtId="166" fontId="179" fillId="46" borderId="189" xfId="114" applyNumberFormat="1" applyFont="1" applyFill="1" applyBorder="1" applyAlignment="1">
      <alignment horizontal="center"/>
    </xf>
    <xf numFmtId="165" fontId="12" fillId="35" borderId="177" xfId="115" applyNumberFormat="1" applyFont="1" applyFill="1" applyBorder="1" applyAlignment="1">
      <alignment horizontal="right" wrapText="1"/>
    </xf>
    <xf numFmtId="166" fontId="12" fillId="35" borderId="177" xfId="115" applyNumberFormat="1" applyFont="1" applyFill="1" applyBorder="1" applyAlignment="1">
      <alignment horizontal="right" wrapText="1"/>
    </xf>
    <xf numFmtId="0" fontId="166" fillId="37" borderId="0" xfId="114" applyFont="1" applyFill="1"/>
    <xf numFmtId="0" fontId="6" fillId="37" borderId="0" xfId="114" applyFont="1" applyFill="1"/>
    <xf numFmtId="0" fontId="6" fillId="37" borderId="0" xfId="114" applyFont="1" applyFill="1" applyAlignment="1">
      <alignment horizontal="center"/>
    </xf>
    <xf numFmtId="166" fontId="166" fillId="42" borderId="0" xfId="52" applyNumberFormat="1" applyFont="1" applyFill="1" applyBorder="1" applyAlignment="1">
      <alignment horizontal="right"/>
    </xf>
    <xf numFmtId="1" fontId="166" fillId="42" borderId="0" xfId="52" applyNumberFormat="1" applyFont="1" applyFill="1" applyBorder="1" applyAlignment="1">
      <alignment horizontal="right"/>
    </xf>
    <xf numFmtId="166" fontId="179" fillId="52" borderId="189" xfId="114" applyNumberFormat="1" applyFont="1" applyFill="1" applyBorder="1" applyAlignment="1">
      <alignment horizontal="center"/>
    </xf>
    <xf numFmtId="166" fontId="190" fillId="35" borderId="176" xfId="115" applyNumberFormat="1" applyFont="1" applyFill="1" applyBorder="1" applyAlignment="1" applyProtection="1">
      <alignment horizontal="center"/>
      <protection locked="0"/>
    </xf>
    <xf numFmtId="0" fontId="2" fillId="37" borderId="0" xfId="114" applyFill="1" applyAlignment="1">
      <alignment horizontal="center"/>
    </xf>
    <xf numFmtId="166" fontId="12" fillId="35" borderId="176" xfId="115" applyNumberFormat="1" applyFont="1" applyFill="1" applyBorder="1" applyAlignment="1">
      <alignment horizontal="right"/>
    </xf>
    <xf numFmtId="0" fontId="166" fillId="37" borderId="0" xfId="114" applyFont="1" applyFill="1" applyAlignment="1">
      <alignment horizontal="center"/>
    </xf>
    <xf numFmtId="0" fontId="184" fillId="42" borderId="203" xfId="114" applyFont="1" applyFill="1" applyBorder="1" applyAlignment="1">
      <alignment horizontal="left"/>
    </xf>
    <xf numFmtId="0" fontId="184" fillId="42" borderId="204" xfId="114" applyFont="1" applyFill="1" applyBorder="1" applyAlignment="1">
      <alignment horizontal="left"/>
    </xf>
    <xf numFmtId="166" fontId="183" fillId="38" borderId="204" xfId="114" applyNumberFormat="1" applyFont="1" applyFill="1" applyBorder="1" applyAlignment="1">
      <alignment horizontal="center"/>
    </xf>
    <xf numFmtId="166" fontId="184" fillId="42" borderId="204" xfId="114" applyNumberFormat="1" applyFont="1" applyFill="1" applyBorder="1" applyAlignment="1">
      <alignment horizontal="center"/>
    </xf>
    <xf numFmtId="166" fontId="183" fillId="38" borderId="205" xfId="114" applyNumberFormat="1" applyFont="1" applyFill="1" applyBorder="1" applyAlignment="1">
      <alignment horizontal="center"/>
    </xf>
    <xf numFmtId="166" fontId="184" fillId="42" borderId="0" xfId="114" applyNumberFormat="1" applyFont="1" applyFill="1" applyBorder="1" applyAlignment="1">
      <alignment horizontal="center"/>
    </xf>
    <xf numFmtId="166" fontId="183" fillId="38" borderId="0" xfId="114" applyNumberFormat="1" applyFont="1" applyFill="1" applyAlignment="1">
      <alignment horizontal="center"/>
    </xf>
    <xf numFmtId="20" fontId="184" fillId="41" borderId="171" xfId="52" applyNumberFormat="1" applyFont="1" applyFill="1" applyBorder="1" applyAlignment="1">
      <alignment horizontal="right"/>
    </xf>
    <xf numFmtId="20" fontId="166" fillId="41" borderId="171" xfId="52" applyNumberFormat="1" applyFont="1" applyFill="1" applyBorder="1" applyAlignment="1"/>
    <xf numFmtId="0" fontId="12" fillId="35" borderId="177" xfId="115" applyNumberFormat="1" applyFont="1" applyFill="1" applyBorder="1" applyAlignment="1">
      <alignment horizontal="right"/>
    </xf>
    <xf numFmtId="0" fontId="187" fillId="37" borderId="0" xfId="114" applyFont="1" applyFill="1" applyAlignment="1">
      <alignment horizontal="left" wrapText="1"/>
    </xf>
    <xf numFmtId="0" fontId="12" fillId="35" borderId="193" xfId="115" applyNumberFormat="1" applyFont="1" applyFill="1" applyBorder="1" applyAlignment="1">
      <alignment horizontal="right"/>
    </xf>
    <xf numFmtId="9" fontId="12" fillId="35" borderId="178" xfId="115" applyNumberFormat="1" applyFont="1" applyFill="1" applyBorder="1" applyAlignment="1">
      <alignment horizontal="left" vertical="center"/>
    </xf>
    <xf numFmtId="9" fontId="12" fillId="35" borderId="188" xfId="115" applyNumberFormat="1" applyFont="1" applyFill="1" applyBorder="1" applyAlignment="1">
      <alignment horizontal="left" vertical="center"/>
    </xf>
    <xf numFmtId="9" fontId="12" fillId="35" borderId="193" xfId="115" applyNumberFormat="1" applyFont="1" applyFill="1" applyBorder="1" applyAlignment="1">
      <alignment horizontal="left" vertical="center"/>
    </xf>
    <xf numFmtId="20" fontId="178" fillId="37" borderId="0" xfId="114" applyNumberFormat="1" applyFont="1" applyFill="1" applyBorder="1" applyAlignment="1">
      <alignment horizontal="left"/>
    </xf>
    <xf numFmtId="9" fontId="12" fillId="35" borderId="184" xfId="115" applyNumberFormat="1" applyFont="1" applyFill="1" applyBorder="1" applyAlignment="1">
      <alignment horizontal="left" vertical="center"/>
    </xf>
    <xf numFmtId="9" fontId="12" fillId="35" borderId="170" xfId="115" applyNumberFormat="1" applyFont="1" applyFill="1" applyBorder="1" applyAlignment="1">
      <alignment horizontal="left" vertical="center"/>
    </xf>
    <xf numFmtId="9" fontId="12" fillId="35" borderId="171" xfId="115" applyNumberFormat="1" applyFont="1" applyFill="1" applyBorder="1" applyAlignment="1">
      <alignment horizontal="left" vertical="center"/>
    </xf>
    <xf numFmtId="9" fontId="12" fillId="35" borderId="184" xfId="115" applyNumberFormat="1" applyFont="1" applyFill="1" applyBorder="1" applyAlignment="1">
      <alignment horizontal="left" vertical="center" wrapText="1"/>
    </xf>
    <xf numFmtId="9" fontId="12" fillId="35" borderId="170" xfId="115" applyNumberFormat="1" applyFont="1" applyFill="1" applyBorder="1" applyAlignment="1">
      <alignment horizontal="left" vertical="center" wrapText="1"/>
    </xf>
    <xf numFmtId="9" fontId="12" fillId="35" borderId="171" xfId="115" applyNumberFormat="1" applyFont="1" applyFill="1" applyBorder="1" applyAlignment="1">
      <alignment horizontal="left" vertical="center" wrapText="1"/>
    </xf>
    <xf numFmtId="20" fontId="187" fillId="41" borderId="0" xfId="114" applyNumberFormat="1" applyFont="1" applyFill="1" applyBorder="1" applyAlignment="1">
      <alignment horizontal="left"/>
    </xf>
    <xf numFmtId="20" fontId="166" fillId="37" borderId="0" xfId="114" applyNumberFormat="1" applyFont="1" applyFill="1" applyBorder="1" applyAlignment="1">
      <alignment horizontal="left" wrapText="1"/>
    </xf>
    <xf numFmtId="175" fontId="190" fillId="35" borderId="177" xfId="115" applyNumberFormat="1" applyFont="1" applyFill="1" applyBorder="1" applyAlignment="1" applyProtection="1">
      <alignment horizontal="center"/>
      <protection locked="0"/>
    </xf>
    <xf numFmtId="167" fontId="194" fillId="34" borderId="206" xfId="114" applyNumberFormat="1" applyFont="1" applyFill="1" applyBorder="1" applyAlignment="1">
      <alignment horizontal="center"/>
    </xf>
    <xf numFmtId="3" fontId="194" fillId="34" borderId="177" xfId="115" applyNumberFormat="1" applyFont="1" applyFill="1" applyBorder="1" applyAlignment="1" applyProtection="1">
      <alignment horizontal="center"/>
    </xf>
    <xf numFmtId="0" fontId="2" fillId="37" borderId="0" xfId="114" applyFont="1" applyFill="1"/>
    <xf numFmtId="9" fontId="179" fillId="34" borderId="0" xfId="114" applyNumberFormat="1" applyFont="1" applyFill="1"/>
    <xf numFmtId="10" fontId="223" fillId="37" borderId="0" xfId="114" applyNumberFormat="1" applyFont="1" applyFill="1" applyBorder="1" applyAlignment="1">
      <alignment vertical="center"/>
    </xf>
    <xf numFmtId="0" fontId="187" fillId="37" borderId="0" xfId="114" applyFont="1" applyFill="1" applyAlignment="1"/>
    <xf numFmtId="0" fontId="187" fillId="37" borderId="0" xfId="114" applyFont="1" applyFill="1" applyAlignment="1">
      <alignment wrapText="1"/>
    </xf>
    <xf numFmtId="0" fontId="190" fillId="35" borderId="176" xfId="115" applyNumberFormat="1" applyFont="1" applyFill="1" applyBorder="1" applyAlignment="1" applyProtection="1">
      <alignment horizontal="center" vertical="center"/>
      <protection locked="0"/>
    </xf>
    <xf numFmtId="0" fontId="184" fillId="37" borderId="0" xfId="114" applyFont="1" applyFill="1" applyAlignment="1">
      <alignment horizontal="left" vertical="center"/>
    </xf>
    <xf numFmtId="172" fontId="186" fillId="34" borderId="177" xfId="115" applyNumberFormat="1" applyFont="1" applyFill="1" applyBorder="1" applyAlignment="1">
      <alignment horizontal="left" wrapText="1"/>
    </xf>
    <xf numFmtId="166" fontId="184" fillId="42" borderId="179" xfId="114" applyNumberFormat="1" applyFont="1" applyFill="1" applyBorder="1" applyAlignment="1">
      <alignment horizontal="left"/>
    </xf>
    <xf numFmtId="1" fontId="184" fillId="42" borderId="179" xfId="114" applyNumberFormat="1" applyFont="1" applyFill="1" applyBorder="1" applyAlignment="1">
      <alignment horizontal="left"/>
    </xf>
    <xf numFmtId="1" fontId="184" fillId="38" borderId="0" xfId="114" applyNumberFormat="1" applyFont="1" applyFill="1" applyAlignment="1">
      <alignment horizontal="left"/>
    </xf>
    <xf numFmtId="3" fontId="186" fillId="34" borderId="178" xfId="115" applyNumberFormat="1" applyFont="1" applyFill="1" applyBorder="1" applyAlignment="1">
      <alignment horizontal="left" wrapText="1"/>
    </xf>
    <xf numFmtId="4" fontId="186" fillId="34" borderId="198" xfId="115" applyNumberFormat="1" applyFont="1" applyFill="1" applyBorder="1" applyAlignment="1">
      <alignment horizontal="left" wrapText="1"/>
    </xf>
    <xf numFmtId="4" fontId="186" fillId="34" borderId="199" xfId="115" applyNumberFormat="1" applyFont="1" applyFill="1" applyBorder="1" applyAlignment="1">
      <alignment horizontal="left" wrapText="1"/>
    </xf>
    <xf numFmtId="4" fontId="186" fillId="34" borderId="177" xfId="115" applyNumberFormat="1" applyFont="1" applyFill="1" applyBorder="1" applyAlignment="1">
      <alignment horizontal="left" wrapText="1"/>
    </xf>
    <xf numFmtId="0" fontId="2" fillId="39" borderId="0" xfId="114" applyFill="1" applyAlignment="1">
      <alignment horizontal="left"/>
    </xf>
    <xf numFmtId="172" fontId="194" fillId="34" borderId="177" xfId="115" applyNumberFormat="1" applyFont="1" applyFill="1" applyBorder="1" applyAlignment="1" applyProtection="1">
      <alignment horizontal="center"/>
    </xf>
    <xf numFmtId="20" fontId="166" fillId="41" borderId="194" xfId="52" applyNumberFormat="1" applyFont="1" applyFill="1" applyBorder="1" applyAlignment="1"/>
    <xf numFmtId="172" fontId="194" fillId="34" borderId="195" xfId="114" applyNumberFormat="1" applyFont="1" applyFill="1" applyBorder="1" applyAlignment="1">
      <alignment horizontal="center"/>
    </xf>
    <xf numFmtId="0" fontId="166" fillId="42" borderId="176" xfId="52" applyFont="1" applyFill="1" applyBorder="1" applyAlignment="1">
      <alignment wrapText="1"/>
    </xf>
    <xf numFmtId="0" fontId="12" fillId="35" borderId="176" xfId="115" applyNumberFormat="1" applyFont="1" applyFill="1" applyBorder="1" applyAlignment="1">
      <alignment vertical="center"/>
    </xf>
    <xf numFmtId="172" fontId="196" fillId="34" borderId="178" xfId="115" applyNumberFormat="1" applyFont="1" applyFill="1" applyBorder="1" applyAlignment="1">
      <alignment horizontal="center" wrapText="1"/>
    </xf>
    <xf numFmtId="9" fontId="194" fillId="34" borderId="176" xfId="48" applyFont="1" applyFill="1" applyBorder="1" applyAlignment="1">
      <alignment horizontal="center"/>
    </xf>
    <xf numFmtId="0" fontId="187" fillId="37" borderId="183" xfId="114" applyFont="1" applyFill="1" applyBorder="1" applyAlignment="1"/>
    <xf numFmtId="20" fontId="178" fillId="55" borderId="0" xfId="114" applyNumberFormat="1" applyFont="1" applyFill="1" applyBorder="1" applyAlignment="1">
      <alignment horizontal="left"/>
    </xf>
    <xf numFmtId="20" fontId="221" fillId="55" borderId="0" xfId="114" applyNumberFormat="1" applyFont="1" applyFill="1" applyBorder="1" applyAlignment="1">
      <alignment horizontal="left"/>
    </xf>
    <xf numFmtId="20" fontId="184" fillId="37" borderId="0" xfId="114" applyNumberFormat="1" applyFont="1" applyFill="1" applyAlignment="1">
      <alignment horizontal="center"/>
    </xf>
    <xf numFmtId="0" fontId="202" fillId="37" borderId="0" xfId="114" applyFont="1" applyFill="1" applyBorder="1" applyAlignment="1">
      <alignment horizontal="left"/>
    </xf>
    <xf numFmtId="4" fontId="187" fillId="43" borderId="0" xfId="114" applyNumberFormat="1" applyFont="1" applyFill="1" applyBorder="1" applyAlignment="1">
      <alignment horizontal="center"/>
    </xf>
    <xf numFmtId="1" fontId="184" fillId="42" borderId="0" xfId="114" applyNumberFormat="1" applyFont="1" applyFill="1" applyBorder="1" applyAlignment="1">
      <alignment horizontal="center"/>
    </xf>
    <xf numFmtId="3" fontId="187" fillId="42" borderId="0" xfId="114" applyNumberFormat="1" applyFont="1" applyFill="1" applyBorder="1" applyAlignment="1">
      <alignment horizontal="center"/>
    </xf>
    <xf numFmtId="0" fontId="203" fillId="34" borderId="0" xfId="114" applyFont="1" applyFill="1"/>
    <xf numFmtId="0" fontId="187" fillId="37" borderId="0" xfId="114" applyFont="1" applyFill="1" applyBorder="1" applyAlignment="1">
      <alignment horizontal="center" wrapText="1"/>
    </xf>
    <xf numFmtId="0" fontId="179" fillId="59" borderId="0" xfId="114" applyFont="1" applyFill="1"/>
    <xf numFmtId="0" fontId="179" fillId="60" borderId="0" xfId="114" applyFont="1" applyFill="1"/>
    <xf numFmtId="3" fontId="183" fillId="38" borderId="0" xfId="114" applyNumberFormat="1" applyFont="1" applyFill="1" applyBorder="1" applyAlignment="1">
      <alignment horizontal="left"/>
    </xf>
    <xf numFmtId="3" fontId="183" fillId="38" borderId="0" xfId="114" applyNumberFormat="1" applyFont="1" applyFill="1" applyBorder="1" applyAlignment="1">
      <alignment horizontal="center"/>
    </xf>
    <xf numFmtId="0" fontId="187" fillId="37" borderId="0" xfId="114" applyFont="1" applyFill="1" applyBorder="1" applyAlignment="1">
      <alignment horizontal="center"/>
    </xf>
    <xf numFmtId="0" fontId="166" fillId="42" borderId="0" xfId="52" applyFont="1" applyFill="1" applyBorder="1" applyAlignment="1">
      <alignment horizontal="right"/>
    </xf>
    <xf numFmtId="3" fontId="186" fillId="59" borderId="177" xfId="115" applyNumberFormat="1" applyFont="1" applyFill="1" applyBorder="1" applyAlignment="1">
      <alignment horizontal="center" wrapText="1"/>
    </xf>
    <xf numFmtId="3" fontId="186" fillId="60" borderId="177" xfId="115" applyNumberFormat="1" applyFont="1" applyFill="1" applyBorder="1" applyAlignment="1">
      <alignment horizontal="center" wrapText="1"/>
    </xf>
    <xf numFmtId="3" fontId="183" fillId="38" borderId="176" xfId="114" applyNumberFormat="1" applyFont="1" applyFill="1" applyBorder="1" applyAlignment="1">
      <alignment horizontal="center"/>
    </xf>
    <xf numFmtId="0" fontId="210" fillId="61" borderId="0" xfId="114" applyFont="1" applyFill="1" applyBorder="1" applyAlignment="1"/>
    <xf numFmtId="0" fontId="6" fillId="35" borderId="206" xfId="115" applyFont="1" applyFill="1" applyBorder="1" applyAlignment="1" applyProtection="1">
      <alignment horizontal="center" vertical="center"/>
      <protection locked="0"/>
    </xf>
    <xf numFmtId="0" fontId="166" fillId="37" borderId="0" xfId="114" applyFont="1" applyFill="1" applyAlignment="1">
      <alignment horizontal="left" wrapText="1"/>
    </xf>
    <xf numFmtId="0" fontId="190" fillId="37" borderId="0" xfId="114" applyFont="1" applyFill="1" applyAlignment="1">
      <alignment horizontal="left"/>
    </xf>
    <xf numFmtId="20" fontId="190" fillId="37" borderId="0" xfId="114" applyNumberFormat="1" applyFont="1" applyFill="1" applyBorder="1"/>
    <xf numFmtId="0" fontId="179" fillId="35" borderId="176" xfId="115" applyNumberFormat="1" applyFont="1" applyFill="1" applyBorder="1" applyAlignment="1" applyProtection="1">
      <alignment horizontal="center"/>
      <protection locked="0"/>
    </xf>
    <xf numFmtId="0" fontId="179" fillId="34" borderId="0" xfId="114" applyFont="1" applyFill="1" applyBorder="1"/>
    <xf numFmtId="0" fontId="2" fillId="37" borderId="0" xfId="114" applyFill="1" applyAlignment="1">
      <alignment horizontal="left"/>
    </xf>
    <xf numFmtId="3" fontId="186" fillId="34" borderId="0" xfId="115" applyNumberFormat="1" applyFont="1" applyFill="1" applyBorder="1" applyAlignment="1">
      <alignment horizontal="center" wrapText="1"/>
    </xf>
    <xf numFmtId="172" fontId="186" fillId="34" borderId="0" xfId="115" applyNumberFormat="1" applyFont="1" applyFill="1" applyBorder="1" applyAlignment="1">
      <alignment horizontal="center" wrapText="1"/>
    </xf>
    <xf numFmtId="3" fontId="186" fillId="59" borderId="0" xfId="115" applyNumberFormat="1" applyFont="1" applyFill="1" applyBorder="1" applyAlignment="1">
      <alignment horizontal="center" wrapText="1"/>
    </xf>
    <xf numFmtId="3" fontId="186" fillId="60" borderId="0" xfId="115" applyNumberFormat="1" applyFont="1" applyFill="1" applyBorder="1" applyAlignment="1">
      <alignment horizontal="center" wrapText="1"/>
    </xf>
    <xf numFmtId="0" fontId="179" fillId="34" borderId="0" xfId="114" applyFont="1" applyFill="1" applyBorder="1" applyAlignment="1">
      <alignment horizontal="left"/>
    </xf>
    <xf numFmtId="3" fontId="183" fillId="38" borderId="0" xfId="114" applyNumberFormat="1" applyFont="1" applyFill="1" applyAlignment="1">
      <alignment horizontal="center"/>
    </xf>
    <xf numFmtId="172" fontId="186" fillId="34" borderId="208" xfId="115" applyNumberFormat="1" applyFont="1" applyFill="1" applyBorder="1" applyAlignment="1">
      <alignment horizontal="center" wrapText="1"/>
    </xf>
    <xf numFmtId="2" fontId="179" fillId="54" borderId="204" xfId="114" applyNumberFormat="1" applyFont="1" applyFill="1" applyBorder="1" applyAlignment="1">
      <alignment horizontal="center"/>
    </xf>
    <xf numFmtId="2" fontId="179" fillId="48" borderId="204" xfId="114" applyNumberFormat="1" applyFont="1" applyFill="1" applyBorder="1" applyAlignment="1">
      <alignment horizontal="center"/>
    </xf>
    <xf numFmtId="2" fontId="179" fillId="54" borderId="0" xfId="114" applyNumberFormat="1" applyFont="1" applyFill="1" applyBorder="1" applyAlignment="1">
      <alignment horizontal="center"/>
    </xf>
    <xf numFmtId="4" fontId="186" fillId="34" borderId="207" xfId="115" applyNumberFormat="1" applyFont="1" applyFill="1" applyBorder="1" applyAlignment="1">
      <alignment horizontal="center" wrapText="1"/>
    </xf>
    <xf numFmtId="4" fontId="186" fillId="34" borderId="209" xfId="115" applyNumberFormat="1" applyFont="1" applyFill="1" applyBorder="1" applyAlignment="1">
      <alignment horizontal="center" wrapText="1"/>
    </xf>
    <xf numFmtId="0" fontId="179" fillId="34" borderId="0" xfId="114" applyFont="1" applyFill="1" applyAlignment="1">
      <alignment horizontal="left"/>
    </xf>
    <xf numFmtId="0" fontId="179" fillId="34" borderId="0" xfId="114" applyFont="1" applyFill="1" applyBorder="1" applyAlignment="1">
      <alignment horizontal="right"/>
    </xf>
    <xf numFmtId="3" fontId="186" fillId="34" borderId="0" xfId="115" applyNumberFormat="1" applyFont="1" applyFill="1" applyBorder="1" applyAlignment="1">
      <alignment horizontal="right" wrapText="1"/>
    </xf>
    <xf numFmtId="3" fontId="195" fillId="61" borderId="0" xfId="114" applyNumberFormat="1" applyFont="1" applyFill="1" applyBorder="1" applyAlignment="1">
      <alignment horizontal="center"/>
    </xf>
    <xf numFmtId="4" fontId="179" fillId="39" borderId="0" xfId="114" applyNumberFormat="1" applyFont="1" applyFill="1" applyAlignment="1">
      <alignment horizontal="center"/>
    </xf>
    <xf numFmtId="4" fontId="86" fillId="39" borderId="0" xfId="114" applyNumberFormat="1" applyFont="1" applyFill="1" applyAlignment="1">
      <alignment horizontal="center"/>
    </xf>
    <xf numFmtId="2" fontId="197" fillId="39" borderId="0" xfId="114" applyNumberFormat="1" applyFont="1" applyFill="1" applyAlignment="1">
      <alignment horizontal="center"/>
    </xf>
    <xf numFmtId="1" fontId="86" fillId="39" borderId="0" xfId="114" applyNumberFormat="1" applyFont="1" applyFill="1" applyAlignment="1">
      <alignment horizontal="center"/>
    </xf>
    <xf numFmtId="0" fontId="179" fillId="39" borderId="0" xfId="114" applyFont="1" applyFill="1" applyAlignment="1">
      <alignment horizontal="right"/>
    </xf>
    <xf numFmtId="3" fontId="179" fillId="39" borderId="0" xfId="114" applyNumberFormat="1" applyFont="1" applyFill="1" applyAlignment="1">
      <alignment horizontal="center"/>
    </xf>
    <xf numFmtId="9" fontId="2" fillId="37" borderId="0" xfId="48" applyFont="1" applyFill="1"/>
    <xf numFmtId="4" fontId="186" fillId="34" borderId="0" xfId="115" applyNumberFormat="1" applyFont="1" applyFill="1" applyBorder="1" applyAlignment="1">
      <alignment horizontal="left"/>
    </xf>
    <xf numFmtId="4" fontId="186" fillId="34" borderId="0" xfId="115" applyNumberFormat="1" applyFont="1" applyFill="1" applyBorder="1" applyAlignment="1">
      <alignment horizontal="center" wrapText="1"/>
    </xf>
    <xf numFmtId="20" fontId="184" fillId="34" borderId="0" xfId="114" applyNumberFormat="1" applyFont="1" applyFill="1" applyBorder="1" applyAlignment="1">
      <alignment horizontal="left"/>
    </xf>
    <xf numFmtId="2" fontId="179" fillId="34" borderId="0" xfId="114" applyNumberFormat="1" applyFont="1" applyFill="1" applyBorder="1"/>
    <xf numFmtId="20" fontId="184" fillId="34" borderId="0" xfId="114" applyNumberFormat="1" applyFont="1" applyFill="1" applyBorder="1" applyAlignment="1">
      <alignment horizontal="center"/>
    </xf>
    <xf numFmtId="0" fontId="2" fillId="40" borderId="0" xfId="114" applyFill="1" applyAlignment="1">
      <alignment horizontal="left"/>
    </xf>
    <xf numFmtId="1" fontId="179" fillId="34" borderId="0" xfId="114" applyNumberFormat="1" applyFont="1" applyFill="1" applyBorder="1"/>
    <xf numFmtId="0" fontId="200" fillId="39" borderId="0" xfId="114" applyFont="1" applyFill="1"/>
    <xf numFmtId="3" fontId="196" fillId="34" borderId="177" xfId="115" applyNumberFormat="1" applyFont="1" applyFill="1" applyBorder="1" applyAlignment="1">
      <alignment horizontal="center" wrapText="1"/>
    </xf>
    <xf numFmtId="3" fontId="196" fillId="34" borderId="0" xfId="115" applyNumberFormat="1" applyFont="1" applyFill="1" applyBorder="1" applyAlignment="1">
      <alignment horizontal="center" wrapText="1"/>
    </xf>
    <xf numFmtId="1" fontId="179" fillId="0" borderId="0" xfId="114" applyNumberFormat="1" applyFont="1"/>
    <xf numFmtId="0" fontId="179" fillId="0" borderId="0" xfId="114" applyFont="1" applyAlignment="1">
      <alignment horizontal="center"/>
    </xf>
    <xf numFmtId="3" fontId="195" fillId="61" borderId="195" xfId="115" applyNumberFormat="1" applyFont="1" applyFill="1" applyBorder="1" applyAlignment="1">
      <alignment horizontal="center" vertical="center" wrapText="1"/>
    </xf>
    <xf numFmtId="4" fontId="186" fillId="34" borderId="0" xfId="115" applyNumberFormat="1" applyFont="1" applyFill="1" applyBorder="1" applyAlignment="1">
      <alignment horizontal="left" wrapText="1"/>
    </xf>
    <xf numFmtId="0" fontId="210" fillId="62" borderId="0" xfId="114" applyFont="1" applyFill="1" applyBorder="1" applyAlignment="1"/>
    <xf numFmtId="0" fontId="6" fillId="35" borderId="176" xfId="115" applyFont="1" applyFill="1" applyBorder="1" applyAlignment="1" applyProtection="1">
      <alignment horizontal="center" vertical="center"/>
      <protection locked="0"/>
    </xf>
    <xf numFmtId="166" fontId="179" fillId="0" borderId="0" xfId="114" applyNumberFormat="1" applyFont="1" applyAlignment="1">
      <alignment horizontal="center"/>
    </xf>
    <xf numFmtId="0" fontId="6" fillId="35" borderId="176" xfId="115" applyFont="1" applyFill="1" applyBorder="1" applyAlignment="1" applyProtection="1">
      <alignment horizontal="center"/>
      <protection locked="0"/>
    </xf>
    <xf numFmtId="0" fontId="185" fillId="42" borderId="0" xfId="114" applyFont="1" applyFill="1" applyBorder="1" applyAlignment="1">
      <alignment horizontal="left"/>
    </xf>
    <xf numFmtId="3" fontId="192" fillId="34" borderId="177" xfId="115" applyNumberFormat="1" applyFont="1" applyFill="1" applyBorder="1" applyAlignment="1">
      <alignment horizontal="center" wrapText="1"/>
    </xf>
    <xf numFmtId="0" fontId="190" fillId="35" borderId="178" xfId="115" applyNumberFormat="1" applyFont="1" applyFill="1" applyBorder="1" applyAlignment="1" applyProtection="1">
      <protection locked="0"/>
    </xf>
    <xf numFmtId="4" fontId="194" fillId="34" borderId="177" xfId="115" applyNumberFormat="1" applyFont="1" applyFill="1" applyBorder="1" applyAlignment="1">
      <alignment horizontal="center" wrapText="1"/>
    </xf>
    <xf numFmtId="0" fontId="190" fillId="35" borderId="184" xfId="115" applyNumberFormat="1" applyFont="1" applyFill="1" applyBorder="1" applyAlignment="1" applyProtection="1">
      <protection locked="0"/>
    </xf>
    <xf numFmtId="3" fontId="195" fillId="62" borderId="0" xfId="114" applyNumberFormat="1" applyFont="1" applyFill="1" applyBorder="1" applyAlignment="1">
      <alignment horizontal="center"/>
    </xf>
    <xf numFmtId="3" fontId="196" fillId="34" borderId="176" xfId="115" applyNumberFormat="1" applyFont="1" applyFill="1" applyBorder="1" applyAlignment="1">
      <alignment horizontal="center" wrapText="1"/>
    </xf>
    <xf numFmtId="3" fontId="192" fillId="34" borderId="0" xfId="115" applyNumberFormat="1" applyFont="1" applyFill="1" applyBorder="1" applyAlignment="1">
      <alignment horizontal="center" wrapText="1"/>
    </xf>
    <xf numFmtId="0" fontId="183" fillId="34" borderId="0" xfId="114" applyFont="1" applyFill="1" applyBorder="1"/>
    <xf numFmtId="3" fontId="183" fillId="34" borderId="0" xfId="114" applyNumberFormat="1" applyFont="1" applyFill="1" applyBorder="1"/>
    <xf numFmtId="172" fontId="194" fillId="34" borderId="177" xfId="115" applyNumberFormat="1" applyFont="1" applyFill="1" applyBorder="1" applyAlignment="1">
      <alignment horizontal="center" wrapText="1"/>
    </xf>
    <xf numFmtId="172" fontId="194" fillId="34" borderId="176" xfId="115" applyNumberFormat="1" applyFont="1" applyFill="1" applyBorder="1" applyAlignment="1">
      <alignment horizontal="center" wrapText="1"/>
    </xf>
    <xf numFmtId="4" fontId="187" fillId="62" borderId="0" xfId="114" applyNumberFormat="1" applyFont="1" applyFill="1" applyBorder="1" applyAlignment="1"/>
    <xf numFmtId="0" fontId="2" fillId="62" borderId="0" xfId="114" applyFill="1"/>
    <xf numFmtId="3" fontId="195" fillId="62" borderId="0" xfId="115" applyNumberFormat="1" applyFont="1" applyFill="1" applyBorder="1" applyAlignment="1">
      <alignment horizontal="center" wrapText="1"/>
    </xf>
    <xf numFmtId="0" fontId="210" fillId="48" borderId="0" xfId="114" applyFont="1" applyFill="1" applyBorder="1" applyAlignment="1"/>
    <xf numFmtId="3" fontId="190" fillId="35" borderId="176" xfId="115" applyNumberFormat="1" applyFont="1" applyFill="1" applyBorder="1" applyAlignment="1" applyProtection="1">
      <alignment horizontal="center"/>
      <protection locked="0"/>
    </xf>
    <xf numFmtId="0" fontId="193" fillId="37" borderId="0" xfId="114" applyFont="1" applyFill="1" applyBorder="1"/>
    <xf numFmtId="3" fontId="195" fillId="48" borderId="0" xfId="114" applyNumberFormat="1" applyFont="1" applyFill="1" applyBorder="1" applyAlignment="1">
      <alignment horizontal="center"/>
    </xf>
    <xf numFmtId="20" fontId="184" fillId="37" borderId="0" xfId="114" applyNumberFormat="1" applyFont="1" applyFill="1" applyBorder="1" applyAlignment="1">
      <alignment horizontal="left"/>
    </xf>
    <xf numFmtId="0" fontId="179" fillId="68" borderId="0" xfId="114" applyFont="1" applyFill="1"/>
    <xf numFmtId="3" fontId="195" fillId="48" borderId="0" xfId="115" applyNumberFormat="1" applyFont="1" applyFill="1" applyBorder="1" applyAlignment="1">
      <alignment horizontal="center" wrapText="1"/>
    </xf>
    <xf numFmtId="2" fontId="179" fillId="37" borderId="0" xfId="114" applyNumberFormat="1" applyFont="1" applyFill="1"/>
    <xf numFmtId="20" fontId="184" fillId="41" borderId="0" xfId="114" applyNumberFormat="1" applyFont="1" applyFill="1" applyBorder="1" applyAlignment="1">
      <alignment horizontal="left"/>
    </xf>
    <xf numFmtId="9" fontId="194" fillId="34" borderId="177" xfId="115" applyNumberFormat="1" applyFont="1" applyFill="1" applyBorder="1" applyAlignment="1">
      <alignment horizontal="center" wrapText="1"/>
    </xf>
    <xf numFmtId="3" fontId="204" fillId="34" borderId="177" xfId="115" applyNumberFormat="1" applyFont="1" applyFill="1" applyBorder="1" applyAlignment="1">
      <alignment horizontal="center" wrapText="1"/>
    </xf>
    <xf numFmtId="9" fontId="183" fillId="38" borderId="0" xfId="114" applyNumberFormat="1" applyFont="1" applyFill="1" applyAlignment="1">
      <alignment horizontal="center"/>
    </xf>
    <xf numFmtId="10" fontId="196" fillId="34" borderId="177" xfId="115" applyNumberFormat="1" applyFont="1" applyFill="1" applyBorder="1" applyAlignment="1">
      <alignment horizontal="center" wrapText="1"/>
    </xf>
    <xf numFmtId="10" fontId="193" fillId="37" borderId="0" xfId="114" applyNumberFormat="1" applyFont="1" applyFill="1"/>
    <xf numFmtId="0" fontId="2" fillId="34" borderId="0" xfId="114" applyFill="1"/>
    <xf numFmtId="20" fontId="187" fillId="41" borderId="0" xfId="115" applyNumberFormat="1" applyFont="1" applyFill="1" applyBorder="1" applyAlignment="1">
      <alignment horizontal="center" wrapText="1"/>
    </xf>
    <xf numFmtId="20" fontId="187" fillId="41" borderId="0" xfId="115" applyNumberFormat="1" applyFont="1" applyFill="1" applyBorder="1" applyAlignment="1">
      <alignment horizontal="left" wrapText="1"/>
    </xf>
    <xf numFmtId="20" fontId="187" fillId="41" borderId="210" xfId="115" applyNumberFormat="1" applyFont="1" applyFill="1" applyBorder="1" applyAlignment="1">
      <alignment horizontal="left" wrapText="1"/>
    </xf>
    <xf numFmtId="20" fontId="187" fillId="41" borderId="211" xfId="115" applyNumberFormat="1" applyFont="1" applyFill="1" applyBorder="1" applyAlignment="1">
      <alignment horizontal="left" wrapText="1"/>
    </xf>
    <xf numFmtId="1" fontId="189" fillId="42" borderId="211" xfId="115" applyNumberFormat="1" applyFont="1" applyFill="1" applyBorder="1" applyAlignment="1">
      <alignment horizontal="center"/>
    </xf>
    <xf numFmtId="1" fontId="205" fillId="42" borderId="211" xfId="115" applyNumberFormat="1" applyFont="1" applyFill="1" applyBorder="1" applyAlignment="1">
      <alignment horizontal="center"/>
    </xf>
    <xf numFmtId="20" fontId="187" fillId="41" borderId="212" xfId="115" applyNumberFormat="1" applyFont="1" applyFill="1" applyBorder="1" applyAlignment="1">
      <alignment horizontal="left" wrapText="1"/>
    </xf>
    <xf numFmtId="20" fontId="187" fillId="41" borderId="213" xfId="115" applyNumberFormat="1" applyFont="1" applyFill="1" applyBorder="1" applyAlignment="1">
      <alignment horizontal="left" wrapText="1"/>
    </xf>
    <xf numFmtId="1" fontId="189" fillId="42" borderId="213" xfId="115" applyNumberFormat="1" applyFont="1" applyFill="1" applyBorder="1" applyAlignment="1">
      <alignment horizontal="center"/>
    </xf>
    <xf numFmtId="1" fontId="205" fillId="42" borderId="213" xfId="115" applyNumberFormat="1" applyFont="1" applyFill="1" applyBorder="1" applyAlignment="1">
      <alignment horizontal="center"/>
    </xf>
    <xf numFmtId="0" fontId="11" fillId="0" borderId="0" xfId="52"/>
    <xf numFmtId="0" fontId="2" fillId="37" borderId="0" xfId="114" applyFill="1" applyProtection="1">
      <protection locked="0"/>
    </xf>
    <xf numFmtId="3" fontId="194" fillId="35" borderId="177" xfId="115" applyNumberFormat="1" applyFont="1" applyFill="1" applyBorder="1" applyAlignment="1" applyProtection="1">
      <alignment horizontal="center" wrapText="1"/>
      <protection locked="0"/>
    </xf>
    <xf numFmtId="0" fontId="12" fillId="17" borderId="0" xfId="43" applyFont="1" applyFill="1" applyAlignment="1" applyProtection="1">
      <alignment vertical="top" wrapText="1"/>
      <protection hidden="1"/>
    </xf>
    <xf numFmtId="0" fontId="12" fillId="17" borderId="0" xfId="43" applyFont="1" applyFill="1" applyBorder="1" applyAlignment="1" applyProtection="1">
      <alignment horizontal="justify" vertical="top" wrapText="1"/>
      <protection hidden="1"/>
    </xf>
    <xf numFmtId="0" fontId="16" fillId="17" borderId="18" xfId="0" applyFont="1" applyFill="1" applyBorder="1" applyAlignment="1" applyProtection="1">
      <alignment horizontal="left" vertical="top" wrapText="1"/>
      <protection hidden="1"/>
    </xf>
    <xf numFmtId="0" fontId="12" fillId="35" borderId="10" xfId="0" applyFont="1" applyFill="1" applyBorder="1" applyAlignment="1" applyProtection="1">
      <alignment horizontal="left" vertical="top" wrapText="1"/>
      <protection hidden="1"/>
    </xf>
    <xf numFmtId="0" fontId="16" fillId="17" borderId="72" xfId="0" applyFont="1" applyFill="1" applyBorder="1" applyAlignment="1" applyProtection="1">
      <alignment horizontal="left" vertical="top" wrapText="1"/>
      <protection hidden="1"/>
    </xf>
    <xf numFmtId="0" fontId="16" fillId="17" borderId="47" xfId="0" applyFont="1" applyFill="1" applyBorder="1" applyAlignment="1" applyProtection="1">
      <alignment horizontal="left" vertical="top" wrapText="1"/>
      <protection hidden="1"/>
    </xf>
    <xf numFmtId="0" fontId="12" fillId="24" borderId="43" xfId="52" applyFont="1" applyFill="1" applyBorder="1" applyAlignment="1" applyProtection="1">
      <alignment horizontal="left" vertical="top" wrapText="1"/>
      <protection hidden="1"/>
    </xf>
    <xf numFmtId="0" fontId="20" fillId="17" borderId="18" xfId="40" applyFont="1" applyFill="1" applyBorder="1" applyAlignment="1" applyProtection="1">
      <alignment vertical="top" wrapText="1"/>
      <protection hidden="1"/>
    </xf>
    <xf numFmtId="0" fontId="19" fillId="17" borderId="10" xfId="40" applyFont="1" applyFill="1" applyBorder="1" applyAlignment="1" applyProtection="1">
      <alignment vertical="top" wrapText="1"/>
      <protection hidden="1"/>
    </xf>
    <xf numFmtId="0" fontId="12" fillId="17" borderId="71" xfId="0" applyFont="1" applyFill="1" applyBorder="1" applyAlignment="1" applyProtection="1">
      <alignment horizontal="left" vertical="top" wrapText="1"/>
      <protection hidden="1"/>
    </xf>
    <xf numFmtId="0" fontId="55" fillId="17" borderId="94" xfId="0" applyFont="1" applyFill="1" applyBorder="1" applyAlignment="1" applyProtection="1">
      <alignment horizontal="left" vertical="top" wrapText="1"/>
      <protection hidden="1"/>
    </xf>
    <xf numFmtId="0" fontId="55" fillId="17" borderId="94" xfId="40" applyFont="1" applyFill="1" applyBorder="1" applyAlignment="1" applyProtection="1">
      <alignment horizontal="center" vertical="center" wrapText="1"/>
      <protection hidden="1"/>
    </xf>
    <xf numFmtId="0" fontId="55" fillId="17" borderId="10" xfId="0" applyFont="1" applyFill="1" applyBorder="1" applyAlignment="1" applyProtection="1">
      <alignment horizontal="left" vertical="top" wrapText="1"/>
      <protection hidden="1"/>
    </xf>
    <xf numFmtId="0" fontId="12" fillId="17" borderId="94" xfId="0" applyFont="1" applyFill="1" applyBorder="1" applyAlignment="1" applyProtection="1">
      <alignment horizontal="left" vertical="top" wrapText="1"/>
      <protection hidden="1"/>
    </xf>
    <xf numFmtId="0" fontId="12" fillId="17" borderId="43" xfId="0" applyFont="1" applyFill="1" applyBorder="1" applyAlignment="1" applyProtection="1">
      <alignment horizontal="left" vertical="top" wrapText="1"/>
      <protection hidden="1"/>
    </xf>
    <xf numFmtId="0" fontId="19" fillId="17" borderId="10" xfId="40" applyFont="1" applyFill="1" applyBorder="1" applyAlignment="1" applyProtection="1">
      <alignment horizontal="left" vertical="top" wrapText="1"/>
      <protection hidden="1"/>
    </xf>
    <xf numFmtId="0" fontId="20" fillId="17" borderId="72" xfId="40" applyFont="1" applyFill="1" applyBorder="1" applyAlignment="1" applyProtection="1">
      <alignment vertical="top" wrapText="1"/>
      <protection hidden="1"/>
    </xf>
    <xf numFmtId="0" fontId="20" fillId="17" borderId="93" xfId="40" applyFont="1" applyFill="1" applyBorder="1" applyAlignment="1" applyProtection="1">
      <alignment vertical="top" wrapText="1"/>
      <protection hidden="1"/>
    </xf>
    <xf numFmtId="0" fontId="19" fillId="17" borderId="71" xfId="40" applyFont="1" applyFill="1" applyBorder="1" applyAlignment="1" applyProtection="1">
      <alignment vertical="top" wrapText="1"/>
      <protection hidden="1"/>
    </xf>
    <xf numFmtId="0" fontId="12" fillId="24" borderId="71" xfId="52" applyFont="1" applyFill="1" applyBorder="1" applyAlignment="1" applyProtection="1">
      <alignment horizontal="left" vertical="top" wrapText="1"/>
      <protection hidden="1"/>
    </xf>
    <xf numFmtId="0" fontId="12" fillId="24" borderId="43" xfId="52" applyFont="1" applyFill="1" applyBorder="1" applyAlignment="1" applyProtection="1">
      <alignment horizontal="left" vertical="top" wrapText="1"/>
      <protection hidden="1"/>
    </xf>
    <xf numFmtId="0" fontId="19" fillId="17" borderId="71" xfId="40" applyFont="1" applyFill="1" applyBorder="1" applyAlignment="1" applyProtection="1">
      <alignment horizontal="center" vertical="center" wrapText="1"/>
      <protection hidden="1"/>
    </xf>
    <xf numFmtId="0" fontId="20" fillId="17" borderId="18" xfId="40" applyFont="1" applyFill="1" applyBorder="1" applyAlignment="1" applyProtection="1">
      <alignment vertical="top" wrapText="1"/>
      <protection hidden="1"/>
    </xf>
    <xf numFmtId="0" fontId="12" fillId="17" borderId="71" xfId="40" applyFont="1" applyFill="1" applyBorder="1" applyAlignment="1" applyProtection="1">
      <alignment horizontal="center" vertical="center" wrapText="1"/>
      <protection hidden="1"/>
    </xf>
    <xf numFmtId="0" fontId="12" fillId="17" borderId="43" xfId="40" applyFont="1" applyFill="1" applyBorder="1" applyAlignment="1" applyProtection="1">
      <alignment horizontal="center" vertical="center" wrapText="1"/>
      <protection hidden="1"/>
    </xf>
    <xf numFmtId="20" fontId="184" fillId="41" borderId="0" xfId="114" applyNumberFormat="1" applyFont="1" applyFill="1" applyBorder="1" applyAlignment="1">
      <alignment horizontal="left" wrapText="1"/>
    </xf>
    <xf numFmtId="0" fontId="55" fillId="17" borderId="71" xfId="0" applyFont="1" applyFill="1" applyBorder="1" applyAlignment="1" applyProtection="1">
      <alignment vertical="top" wrapText="1"/>
      <protection hidden="1"/>
    </xf>
    <xf numFmtId="0" fontId="32" fillId="17" borderId="19" xfId="40" applyNumberFormat="1" applyFont="1" applyFill="1" applyBorder="1" applyAlignment="1" applyProtection="1">
      <alignment horizontal="left" vertical="top" wrapText="1"/>
      <protection locked="0"/>
    </xf>
    <xf numFmtId="0" fontId="32" fillId="17" borderId="113" xfId="40" applyNumberFormat="1" applyFont="1" applyFill="1" applyBorder="1" applyAlignment="1" applyProtection="1">
      <alignment horizontal="left" vertical="top" wrapText="1"/>
      <protection locked="0"/>
    </xf>
    <xf numFmtId="0" fontId="32" fillId="17" borderId="48" xfId="40" applyNumberFormat="1" applyFont="1" applyFill="1" applyBorder="1" applyAlignment="1" applyProtection="1">
      <alignment horizontal="left" vertical="top" wrapText="1"/>
      <protection locked="0"/>
    </xf>
    <xf numFmtId="0" fontId="66" fillId="17" borderId="19" xfId="40" applyNumberFormat="1" applyFont="1" applyFill="1" applyBorder="1" applyAlignment="1" applyProtection="1">
      <alignment horizontal="left" vertical="top" wrapText="1"/>
      <protection locked="0"/>
    </xf>
    <xf numFmtId="0" fontId="20" fillId="17" borderId="18" xfId="40" applyFont="1" applyFill="1" applyBorder="1" applyAlignment="1" applyProtection="1">
      <alignment horizontal="left" vertical="top" wrapText="1"/>
      <protection hidden="1"/>
    </xf>
    <xf numFmtId="0" fontId="19" fillId="17" borderId="10" xfId="40" applyFont="1" applyFill="1" applyBorder="1" applyAlignment="1" applyProtection="1">
      <alignment horizontal="left" vertical="top" wrapText="1"/>
      <protection hidden="1"/>
    </xf>
    <xf numFmtId="0" fontId="20" fillId="0" borderId="18" xfId="40" applyFont="1" applyFill="1" applyBorder="1" applyAlignment="1" applyProtection="1">
      <alignment horizontal="left" vertical="top" wrapText="1"/>
      <protection hidden="1"/>
    </xf>
    <xf numFmtId="0" fontId="31" fillId="26" borderId="0" xfId="45" applyFont="1" applyFill="1" applyBorder="1" applyAlignment="1" applyProtection="1">
      <alignment vertical="top"/>
      <protection hidden="1"/>
    </xf>
    <xf numFmtId="0" fontId="65" fillId="26" borderId="0" xfId="45" applyFont="1" applyFill="1" applyBorder="1" applyAlignment="1" applyProtection="1">
      <alignment vertical="center"/>
      <protection hidden="1"/>
    </xf>
    <xf numFmtId="0" fontId="31" fillId="26" borderId="0" xfId="45" applyFont="1" applyFill="1" applyBorder="1" applyAlignment="1" applyProtection="1">
      <alignment vertical="center"/>
      <protection hidden="1"/>
    </xf>
    <xf numFmtId="0" fontId="31" fillId="64" borderId="86" xfId="45" applyFont="1" applyFill="1" applyBorder="1" applyAlignment="1" applyProtection="1">
      <alignment vertical="center"/>
      <protection hidden="1"/>
    </xf>
    <xf numFmtId="0" fontId="55" fillId="26" borderId="0" xfId="45" applyFont="1" applyFill="1" applyBorder="1" applyAlignment="1" applyProtection="1">
      <alignment horizontal="left" vertical="center" wrapText="1"/>
      <protection hidden="1"/>
    </xf>
    <xf numFmtId="0" fontId="31" fillId="64" borderId="87" xfId="45" applyFont="1" applyFill="1" applyBorder="1" applyAlignment="1" applyProtection="1">
      <alignment vertical="center"/>
      <protection hidden="1"/>
    </xf>
    <xf numFmtId="0" fontId="31" fillId="26" borderId="0" xfId="45" applyFont="1" applyFill="1" applyBorder="1" applyAlignment="1" applyProtection="1">
      <alignment horizontal="left" vertical="center" wrapText="1"/>
      <protection hidden="1"/>
    </xf>
    <xf numFmtId="0" fontId="31" fillId="64" borderId="88" xfId="45" applyFont="1" applyFill="1" applyBorder="1" applyAlignment="1" applyProtection="1">
      <alignment vertical="center"/>
      <protection hidden="1"/>
    </xf>
    <xf numFmtId="0" fontId="31" fillId="64" borderId="89" xfId="45" applyFont="1" applyFill="1" applyBorder="1" applyAlignment="1" applyProtection="1">
      <alignment vertical="center"/>
      <protection hidden="1"/>
    </xf>
    <xf numFmtId="0" fontId="31" fillId="64" borderId="90" xfId="45" applyFont="1" applyFill="1" applyBorder="1" applyAlignment="1" applyProtection="1">
      <alignment vertical="center"/>
      <protection hidden="1"/>
    </xf>
    <xf numFmtId="0" fontId="31" fillId="26" borderId="84" xfId="45" applyFont="1" applyFill="1" applyBorder="1" applyAlignment="1" applyProtection="1">
      <alignment vertical="center"/>
      <protection hidden="1"/>
    </xf>
    <xf numFmtId="0" fontId="31" fillId="26" borderId="84" xfId="45" applyFont="1" applyFill="1" applyBorder="1" applyAlignment="1" applyProtection="1">
      <alignment horizontal="left" vertical="center" wrapText="1"/>
      <protection hidden="1"/>
    </xf>
    <xf numFmtId="0" fontId="31" fillId="64" borderId="91" xfId="45" applyFont="1" applyFill="1" applyBorder="1" applyAlignment="1" applyProtection="1">
      <alignment vertical="center"/>
      <protection hidden="1"/>
    </xf>
    <xf numFmtId="0" fontId="31" fillId="26" borderId="83" xfId="45" applyFont="1" applyFill="1" applyBorder="1" applyAlignment="1" applyProtection="1">
      <alignment vertical="center"/>
      <protection hidden="1"/>
    </xf>
    <xf numFmtId="3" fontId="20" fillId="17" borderId="77" xfId="45" applyNumberFormat="1" applyFont="1" applyFill="1" applyBorder="1" applyAlignment="1" applyProtection="1">
      <alignment horizontal="center" vertical="center" wrapText="1"/>
      <protection hidden="1"/>
    </xf>
    <xf numFmtId="3" fontId="31" fillId="26" borderId="164" xfId="45" applyNumberFormat="1" applyFont="1" applyFill="1" applyBorder="1" applyAlignment="1" applyProtection="1">
      <alignment vertical="center"/>
      <protection hidden="1"/>
    </xf>
    <xf numFmtId="0" fontId="31" fillId="26" borderId="165" xfId="45" applyFont="1" applyFill="1" applyBorder="1" applyAlignment="1" applyProtection="1">
      <alignment vertical="center"/>
      <protection hidden="1"/>
    </xf>
    <xf numFmtId="0" fontId="31" fillId="26" borderId="166" xfId="45" applyFont="1" applyFill="1" applyBorder="1" applyAlignment="1" applyProtection="1">
      <alignment vertical="center"/>
      <protection hidden="1"/>
    </xf>
    <xf numFmtId="0" fontId="31" fillId="26" borderId="164" xfId="45" applyFont="1" applyFill="1" applyBorder="1" applyAlignment="1" applyProtection="1">
      <alignment vertical="center"/>
      <protection hidden="1"/>
    </xf>
    <xf numFmtId="0" fontId="31" fillId="63" borderId="164" xfId="45" applyFont="1" applyFill="1" applyBorder="1" applyAlignment="1" applyProtection="1">
      <alignment horizontal="right" vertical="center"/>
      <protection hidden="1"/>
    </xf>
    <xf numFmtId="0" fontId="31" fillId="63" borderId="165" xfId="45" applyFont="1" applyFill="1" applyBorder="1" applyAlignment="1" applyProtection="1">
      <alignment horizontal="center" vertical="center"/>
      <protection hidden="1"/>
    </xf>
    <xf numFmtId="0" fontId="31" fillId="63" borderId="166" xfId="45" applyFont="1" applyFill="1" applyBorder="1" applyAlignment="1" applyProtection="1">
      <alignment vertical="center"/>
      <protection hidden="1"/>
    </xf>
    <xf numFmtId="0" fontId="31" fillId="64" borderId="90" xfId="0" applyFont="1" applyFill="1" applyBorder="1" applyAlignment="1" applyProtection="1">
      <alignment vertical="center"/>
      <protection hidden="1"/>
    </xf>
    <xf numFmtId="0" fontId="31" fillId="64" borderId="152" xfId="0" applyFont="1" applyFill="1" applyBorder="1" applyAlignment="1" applyProtection="1">
      <alignment vertical="center" wrapText="1"/>
      <protection hidden="1"/>
    </xf>
    <xf numFmtId="0" fontId="16" fillId="24" borderId="90" xfId="0" applyFont="1" applyFill="1" applyBorder="1" applyAlignment="1" applyProtection="1">
      <alignment vertical="center"/>
      <protection hidden="1"/>
    </xf>
    <xf numFmtId="0" fontId="31" fillId="26" borderId="165" xfId="45" applyFont="1" applyFill="1" applyBorder="1" applyAlignment="1" applyProtection="1">
      <alignment horizontal="left" vertical="center" wrapText="1"/>
      <protection hidden="1"/>
    </xf>
    <xf numFmtId="0" fontId="31" fillId="64" borderId="92" xfId="45" applyFont="1" applyFill="1" applyBorder="1" applyAlignment="1" applyProtection="1">
      <alignment vertical="top" wrapText="1"/>
      <protection hidden="1"/>
    </xf>
    <xf numFmtId="0" fontId="31" fillId="26" borderId="0" xfId="45" applyFont="1" applyFill="1" applyBorder="1" applyAlignment="1" applyProtection="1">
      <alignment vertical="top" wrapText="1"/>
      <protection hidden="1"/>
    </xf>
    <xf numFmtId="0" fontId="170" fillId="26" borderId="0" xfId="45" applyFont="1" applyFill="1" applyBorder="1" applyAlignment="1" applyProtection="1">
      <alignment vertical="top"/>
      <protection hidden="1"/>
    </xf>
    <xf numFmtId="0" fontId="170" fillId="26" borderId="0" xfId="45" applyFont="1" applyFill="1" applyBorder="1" applyAlignment="1" applyProtection="1">
      <alignment vertical="top" wrapText="1"/>
      <protection hidden="1"/>
    </xf>
    <xf numFmtId="0" fontId="164" fillId="26" borderId="0" xfId="45" applyFont="1" applyFill="1" applyBorder="1" applyAlignment="1" applyProtection="1">
      <alignment vertical="top"/>
      <protection hidden="1"/>
    </xf>
    <xf numFmtId="3" fontId="31" fillId="26" borderId="0" xfId="45" applyNumberFormat="1" applyFont="1" applyFill="1" applyBorder="1" applyAlignment="1" applyProtection="1">
      <alignment vertical="top" wrapText="1"/>
      <protection hidden="1"/>
    </xf>
    <xf numFmtId="0" fontId="31" fillId="26" borderId="62" xfId="45" applyFont="1" applyFill="1" applyBorder="1" applyAlignment="1" applyProtection="1">
      <alignment vertical="top" wrapText="1"/>
      <protection hidden="1"/>
    </xf>
    <xf numFmtId="0" fontId="12" fillId="33" borderId="10" xfId="40" applyNumberFormat="1" applyFont="1" applyFill="1" applyBorder="1" applyAlignment="1" applyProtection="1">
      <alignment horizontal="left" vertical="top" wrapText="1"/>
      <protection hidden="1"/>
    </xf>
    <xf numFmtId="0" fontId="6" fillId="33" borderId="19" xfId="40" applyNumberFormat="1" applyFont="1" applyFill="1" applyBorder="1" applyAlignment="1" applyProtection="1">
      <alignment horizontal="left" vertical="top" wrapText="1"/>
      <protection hidden="1"/>
    </xf>
    <xf numFmtId="0" fontId="19" fillId="17" borderId="43" xfId="40" applyFont="1" applyFill="1" applyBorder="1" applyAlignment="1" applyProtection="1">
      <alignment horizontal="center" vertical="center" wrapText="1"/>
      <protection locked="0"/>
    </xf>
    <xf numFmtId="0" fontId="19" fillId="17" borderId="10" xfId="40" applyFont="1" applyFill="1" applyBorder="1" applyAlignment="1" applyProtection="1">
      <alignment horizontal="center" vertical="center" wrapText="1"/>
      <protection locked="0"/>
    </xf>
    <xf numFmtId="0" fontId="19" fillId="0" borderId="43" xfId="40" applyFont="1" applyFill="1" applyBorder="1" applyAlignment="1" applyProtection="1">
      <alignment horizontal="center" vertical="center" wrapText="1"/>
      <protection locked="0"/>
    </xf>
    <xf numFmtId="0" fontId="12" fillId="0" borderId="10" xfId="40" applyFont="1" applyFill="1" applyBorder="1" applyAlignment="1" applyProtection="1">
      <alignment horizontal="center" vertical="center" wrapText="1"/>
      <protection locked="0"/>
    </xf>
    <xf numFmtId="0" fontId="28" fillId="0" borderId="10" xfId="40" applyFont="1" applyFill="1" applyBorder="1" applyAlignment="1" applyProtection="1">
      <alignment horizontal="center" vertical="center" wrapText="1"/>
      <protection locked="0"/>
    </xf>
    <xf numFmtId="0" fontId="12" fillId="35" borderId="10" xfId="40" applyNumberFormat="1" applyFont="1" applyFill="1" applyBorder="1" applyAlignment="1" applyProtection="1">
      <alignment horizontal="left" vertical="top" wrapText="1"/>
      <protection locked="0"/>
    </xf>
    <xf numFmtId="0" fontId="28" fillId="35" borderId="10" xfId="40" applyNumberFormat="1" applyFont="1" applyFill="1" applyBorder="1" applyAlignment="1" applyProtection="1">
      <alignment horizontal="left" vertical="top" wrapText="1"/>
      <protection locked="0"/>
    </xf>
    <xf numFmtId="0" fontId="12" fillId="17" borderId="10" xfId="0" applyFont="1" applyFill="1" applyBorder="1" applyAlignment="1" applyProtection="1">
      <alignment horizontal="left" vertical="top" wrapText="1"/>
      <protection locked="0"/>
    </xf>
    <xf numFmtId="0" fontId="11" fillId="0" borderId="71" xfId="0" applyFont="1" applyFill="1" applyBorder="1" applyAlignment="1" applyProtection="1">
      <alignment horizontal="center" vertical="center"/>
      <protection locked="0"/>
    </xf>
    <xf numFmtId="0" fontId="19" fillId="17" borderId="71" xfId="40" applyFont="1" applyFill="1" applyBorder="1" applyAlignment="1" applyProtection="1">
      <alignment horizontal="center" vertical="center" wrapText="1"/>
      <protection locked="0"/>
    </xf>
    <xf numFmtId="0" fontId="62" fillId="17" borderId="48" xfId="0" applyNumberFormat="1" applyFont="1" applyFill="1" applyBorder="1" applyAlignment="1" applyProtection="1">
      <alignment vertical="top" wrapText="1"/>
      <protection locked="0"/>
    </xf>
    <xf numFmtId="0" fontId="62" fillId="17" borderId="19" xfId="40" applyNumberFormat="1" applyFont="1" applyFill="1" applyBorder="1" applyAlignment="1" applyProtection="1">
      <alignment vertical="top" wrapText="1"/>
      <protection locked="0"/>
    </xf>
    <xf numFmtId="0" fontId="63" fillId="17" borderId="19" xfId="40" applyNumberFormat="1" applyFont="1" applyFill="1" applyBorder="1" applyAlignment="1" applyProtection="1">
      <alignment vertical="top" wrapText="1"/>
      <protection locked="0"/>
    </xf>
    <xf numFmtId="0" fontId="12" fillId="33" borderId="10" xfId="40" applyNumberFormat="1" applyFont="1" applyFill="1" applyBorder="1" applyAlignment="1" applyProtection="1">
      <alignment vertical="top" wrapText="1"/>
      <protection hidden="1"/>
    </xf>
    <xf numFmtId="0" fontId="62" fillId="17" borderId="113" xfId="40" applyNumberFormat="1" applyFont="1" applyFill="1" applyBorder="1" applyAlignment="1" applyProtection="1">
      <alignment vertical="top" wrapText="1"/>
      <protection locked="0"/>
    </xf>
    <xf numFmtId="0" fontId="49" fillId="26" borderId="0" xfId="40" applyFont="1" applyFill="1" applyBorder="1" applyAlignment="1" applyProtection="1">
      <alignment horizontal="center" vertical="center"/>
      <protection hidden="1"/>
    </xf>
    <xf numFmtId="0" fontId="41" fillId="64" borderId="52" xfId="40" applyFont="1" applyFill="1" applyBorder="1" applyAlignment="1" applyProtection="1">
      <alignment horizontal="center" vertical="center" wrapText="1"/>
      <protection hidden="1"/>
    </xf>
    <xf numFmtId="0" fontId="19" fillId="0" borderId="81" xfId="40" applyFont="1" applyFill="1" applyBorder="1" applyAlignment="1" applyProtection="1">
      <alignment horizontal="center" vertical="center" wrapText="1"/>
      <protection locked="0"/>
    </xf>
    <xf numFmtId="0" fontId="12" fillId="17" borderId="10" xfId="40" applyFont="1" applyFill="1" applyBorder="1" applyAlignment="1" applyProtection="1">
      <alignment horizontal="center" vertical="center" wrapText="1"/>
      <protection locked="0"/>
    </xf>
    <xf numFmtId="0" fontId="66" fillId="0" borderId="82" xfId="40" applyNumberFormat="1" applyFont="1" applyFill="1" applyBorder="1" applyAlignment="1" applyProtection="1">
      <alignment horizontal="left" vertical="top" wrapText="1"/>
      <protection locked="0"/>
    </xf>
    <xf numFmtId="0" fontId="32" fillId="0" borderId="113" xfId="40" applyNumberFormat="1" applyFont="1" applyFill="1" applyBorder="1" applyAlignment="1" applyProtection="1">
      <alignment horizontal="left" vertical="top" wrapText="1"/>
      <protection locked="0"/>
    </xf>
    <xf numFmtId="0" fontId="19" fillId="17" borderId="44" xfId="40" applyFont="1" applyFill="1" applyBorder="1" applyAlignment="1" applyProtection="1">
      <alignment horizontal="center" vertical="center" wrapText="1"/>
      <protection locked="0"/>
    </xf>
    <xf numFmtId="3" fontId="186" fillId="34" borderId="171" xfId="114" applyNumberFormat="1" applyFont="1" applyFill="1" applyBorder="1" applyAlignment="1">
      <alignment horizontal="center"/>
    </xf>
    <xf numFmtId="0" fontId="184" fillId="42" borderId="232" xfId="114" applyFont="1" applyFill="1" applyBorder="1" applyAlignment="1">
      <alignment horizontal="center"/>
    </xf>
    <xf numFmtId="0" fontId="179" fillId="35" borderId="233" xfId="115" applyNumberFormat="1" applyFont="1" applyFill="1" applyBorder="1" applyAlignment="1">
      <alignment horizontal="center"/>
    </xf>
    <xf numFmtId="9" fontId="208" fillId="40" borderId="233" xfId="115" applyNumberFormat="1" applyFont="1" applyFill="1" applyBorder="1" applyAlignment="1" applyProtection="1">
      <alignment horizontal="center"/>
      <protection locked="0"/>
    </xf>
    <xf numFmtId="0" fontId="206" fillId="70" borderId="235" xfId="35" applyFont="1" applyFill="1" applyBorder="1" applyAlignment="1" applyProtection="1"/>
    <xf numFmtId="0" fontId="206" fillId="70" borderId="236" xfId="35" applyFont="1" applyFill="1" applyBorder="1" applyAlignment="1" applyProtection="1"/>
    <xf numFmtId="0" fontId="206" fillId="70" borderId="239" xfId="35" applyFont="1" applyFill="1" applyBorder="1" applyAlignment="1" applyProtection="1"/>
    <xf numFmtId="0" fontId="206" fillId="70" borderId="240" xfId="35" applyFont="1" applyFill="1" applyBorder="1" applyAlignment="1" applyProtection="1"/>
    <xf numFmtId="0" fontId="184" fillId="36" borderId="234" xfId="114" applyFont="1" applyFill="1" applyBorder="1"/>
    <xf numFmtId="0" fontId="2" fillId="36" borderId="234" xfId="114" applyFill="1" applyBorder="1"/>
    <xf numFmtId="0" fontId="206" fillId="36" borderId="234" xfId="35" applyFont="1" applyFill="1" applyBorder="1" applyAlignment="1" applyProtection="1"/>
    <xf numFmtId="0" fontId="2" fillId="36" borderId="173" xfId="114" applyFill="1" applyBorder="1"/>
    <xf numFmtId="0" fontId="205" fillId="37" borderId="0" xfId="114" applyFont="1" applyFill="1" applyAlignment="1">
      <alignment vertical="center"/>
    </xf>
    <xf numFmtId="0" fontId="226" fillId="37" borderId="0" xfId="114" applyFont="1" applyFill="1" applyAlignment="1">
      <alignment horizontal="right" vertical="center"/>
    </xf>
    <xf numFmtId="20" fontId="221" fillId="41" borderId="0" xfId="114" applyNumberFormat="1" applyFont="1" applyFill="1" applyBorder="1" applyAlignment="1">
      <alignment horizontal="left"/>
    </xf>
    <xf numFmtId="0" fontId="206" fillId="69" borderId="235" xfId="35" applyFont="1" applyFill="1" applyBorder="1" applyAlignment="1" applyProtection="1"/>
    <xf numFmtId="0" fontId="206" fillId="69" borderId="236" xfId="35" applyFont="1" applyFill="1" applyBorder="1" applyAlignment="1" applyProtection="1"/>
    <xf numFmtId="0" fontId="206" fillId="69" borderId="237" xfId="35" applyFont="1" applyFill="1" applyBorder="1" applyAlignment="1" applyProtection="1"/>
    <xf numFmtId="0" fontId="206" fillId="70" borderId="237" xfId="35" applyFont="1" applyFill="1" applyBorder="1" applyAlignment="1" applyProtection="1"/>
    <xf numFmtId="0" fontId="206" fillId="70" borderId="238" xfId="35" applyFont="1" applyFill="1" applyBorder="1" applyAlignment="1" applyProtection="1"/>
    <xf numFmtId="0" fontId="206" fillId="36" borderId="172" xfId="35" applyFont="1" applyFill="1" applyBorder="1" applyAlignment="1" applyProtection="1"/>
    <xf numFmtId="0" fontId="32" fillId="33" borderId="19" xfId="40" applyNumberFormat="1" applyFont="1" applyFill="1" applyBorder="1" applyAlignment="1" applyProtection="1">
      <alignment horizontal="left" vertical="top" wrapText="1"/>
      <protection hidden="1"/>
    </xf>
    <xf numFmtId="0" fontId="12" fillId="17" borderId="43" xfId="40" applyFont="1" applyFill="1" applyBorder="1" applyAlignment="1" applyProtection="1">
      <alignment horizontal="center" vertical="center" wrapText="1"/>
      <protection locked="0"/>
    </xf>
    <xf numFmtId="0" fontId="12" fillId="17" borderId="71" xfId="40" applyFont="1" applyFill="1" applyBorder="1" applyAlignment="1" applyProtection="1">
      <alignment horizontal="center" vertical="center" wrapText="1"/>
      <protection locked="0"/>
    </xf>
    <xf numFmtId="0" fontId="66" fillId="33" borderId="14" xfId="40" applyNumberFormat="1" applyFont="1" applyFill="1" applyBorder="1" applyAlignment="1" applyProtection="1">
      <alignment horizontal="left" vertical="top" wrapText="1"/>
      <protection hidden="1"/>
    </xf>
    <xf numFmtId="0" fontId="66" fillId="33" borderId="19" xfId="40" applyNumberFormat="1" applyFont="1" applyFill="1" applyBorder="1" applyAlignment="1" applyProtection="1">
      <alignment horizontal="left" vertical="top" wrapText="1"/>
      <protection hidden="1"/>
    </xf>
    <xf numFmtId="0" fontId="19" fillId="0" borderId="10" xfId="40" applyFont="1" applyFill="1" applyBorder="1" applyAlignment="1" applyProtection="1">
      <alignment horizontal="center" vertical="center" wrapText="1"/>
      <protection locked="0"/>
    </xf>
    <xf numFmtId="0" fontId="12" fillId="17" borderId="0" xfId="43" applyFont="1" applyFill="1" applyAlignment="1" applyProtection="1">
      <alignment vertical="top" wrapText="1"/>
      <protection hidden="1"/>
    </xf>
    <xf numFmtId="0" fontId="12" fillId="0" borderId="0" xfId="43" applyFont="1" applyFill="1" applyBorder="1" applyAlignment="1" applyProtection="1">
      <alignment vertical="top" wrapText="1"/>
      <protection hidden="1"/>
    </xf>
    <xf numFmtId="0" fontId="11" fillId="66" borderId="188" xfId="52" applyFill="1" applyBorder="1" applyAlignment="1" applyProtection="1">
      <alignment wrapText="1"/>
      <protection hidden="1"/>
    </xf>
    <xf numFmtId="0" fontId="12" fillId="17" borderId="0" xfId="43" applyFont="1" applyFill="1" applyAlignment="1" applyProtection="1">
      <alignment vertical="top" wrapText="1"/>
      <protection hidden="1"/>
    </xf>
    <xf numFmtId="0" fontId="11" fillId="66" borderId="188" xfId="52" applyFill="1" applyBorder="1" applyAlignment="1" applyProtection="1">
      <alignment horizontal="center" vertical="center"/>
      <protection hidden="1"/>
    </xf>
    <xf numFmtId="0" fontId="1" fillId="66" borderId="188" xfId="136" applyFill="1" applyBorder="1" applyAlignment="1" applyProtection="1">
      <alignment horizontal="center" vertical="center"/>
      <protection hidden="1"/>
    </xf>
    <xf numFmtId="0" fontId="215" fillId="66" borderId="170" xfId="136" applyFont="1" applyFill="1" applyBorder="1" applyAlignment="1" applyProtection="1">
      <alignment horizontal="left" vertical="top" wrapText="1"/>
      <protection hidden="1"/>
    </xf>
    <xf numFmtId="0" fontId="215" fillId="66" borderId="170" xfId="136" applyFont="1" applyFill="1" applyBorder="1" applyAlignment="1" applyProtection="1">
      <alignment horizontal="left" vertical="top" wrapText="1"/>
      <protection hidden="1"/>
    </xf>
    <xf numFmtId="0" fontId="1" fillId="66" borderId="188" xfId="137" applyFill="1" applyBorder="1" applyAlignment="1" applyProtection="1">
      <alignment horizontal="center" vertical="center"/>
      <protection hidden="1"/>
    </xf>
    <xf numFmtId="0" fontId="215" fillId="66" borderId="170" xfId="137" applyFont="1" applyFill="1" applyBorder="1" applyAlignment="1" applyProtection="1">
      <alignment wrapText="1"/>
      <protection hidden="1"/>
    </xf>
    <xf numFmtId="0" fontId="31" fillId="26" borderId="0" xfId="45" applyFont="1" applyFill="1" applyBorder="1" applyAlignment="1" applyProtection="1">
      <alignment vertical="center"/>
      <protection hidden="1"/>
    </xf>
    <xf numFmtId="0" fontId="31" fillId="26" borderId="0" xfId="45" applyFont="1" applyFill="1" applyBorder="1" applyAlignment="1" applyProtection="1">
      <alignment vertical="center" wrapText="1"/>
      <protection hidden="1"/>
    </xf>
    <xf numFmtId="0" fontId="41" fillId="26" borderId="0" xfId="45" applyFont="1" applyFill="1" applyBorder="1" applyAlignment="1" applyProtection="1">
      <alignment vertical="center"/>
      <protection hidden="1"/>
    </xf>
    <xf numFmtId="0" fontId="31" fillId="26" borderId="0" xfId="45" applyFont="1" applyFill="1" applyBorder="1" applyAlignment="1" applyProtection="1">
      <alignment vertical="center"/>
    </xf>
    <xf numFmtId="0" fontId="31" fillId="26" borderId="0" xfId="45" applyFont="1" applyFill="1" applyBorder="1" applyAlignment="1" applyProtection="1">
      <alignment vertical="center"/>
      <protection hidden="1"/>
    </xf>
    <xf numFmtId="0" fontId="31" fillId="64" borderId="242" xfId="45" applyFont="1" applyFill="1" applyBorder="1" applyAlignment="1" applyProtection="1">
      <alignment vertical="center"/>
      <protection hidden="1"/>
    </xf>
    <xf numFmtId="0" fontId="31" fillId="64" borderId="241" xfId="45" applyFont="1" applyFill="1" applyBorder="1" applyAlignment="1" applyProtection="1">
      <alignment vertical="center"/>
      <protection hidden="1"/>
    </xf>
    <xf numFmtId="0" fontId="31" fillId="64" borderId="243" xfId="45" applyFont="1" applyFill="1" applyBorder="1" applyAlignment="1" applyProtection="1">
      <alignment vertical="center"/>
      <protection hidden="1"/>
    </xf>
    <xf numFmtId="0" fontId="19" fillId="17" borderId="71" xfId="40" applyFont="1" applyFill="1" applyBorder="1" applyAlignment="1" applyProtection="1">
      <alignment horizontal="center" vertical="center" wrapText="1"/>
      <protection locked="0"/>
    </xf>
    <xf numFmtId="0" fontId="32" fillId="17" borderId="19" xfId="40" applyNumberFormat="1" applyFont="1" applyFill="1" applyBorder="1" applyAlignment="1" applyProtection="1">
      <alignment horizontal="left" vertical="top" wrapText="1"/>
      <protection locked="0"/>
    </xf>
    <xf numFmtId="0" fontId="12" fillId="17" borderId="10" xfId="40" applyFont="1" applyFill="1" applyBorder="1" applyAlignment="1" applyProtection="1">
      <alignment horizontal="center" vertical="center" wrapText="1"/>
      <protection locked="0"/>
    </xf>
    <xf numFmtId="0" fontId="216" fillId="0" borderId="188" xfId="113" applyFont="1" applyFill="1" applyBorder="1" applyAlignment="1" applyProtection="1">
      <alignment horizontal="center" vertical="center"/>
      <protection locked="0" hidden="1"/>
    </xf>
    <xf numFmtId="0" fontId="216" fillId="0" borderId="188" xfId="52" applyFont="1" applyFill="1" applyBorder="1" applyAlignment="1" applyProtection="1">
      <alignment horizontal="center" vertical="center"/>
      <protection locked="0" hidden="1"/>
    </xf>
    <xf numFmtId="0" fontId="216" fillId="35" borderId="188" xfId="52" applyFont="1" applyFill="1" applyBorder="1" applyAlignment="1" applyProtection="1">
      <alignment horizontal="center" vertical="center"/>
      <protection locked="0" hidden="1"/>
    </xf>
    <xf numFmtId="0" fontId="12" fillId="17" borderId="0" xfId="43" applyFont="1" applyFill="1" applyAlignment="1" applyProtection="1">
      <alignment vertical="top" wrapText="1"/>
      <protection locked="0" hidden="1"/>
    </xf>
    <xf numFmtId="0" fontId="15" fillId="26" borderId="0" xfId="45" applyFont="1" applyFill="1" applyBorder="1" applyAlignment="1" applyProtection="1">
      <alignment vertical="center" wrapText="1"/>
      <protection locked="0" hidden="1"/>
    </xf>
    <xf numFmtId="0" fontId="15" fillId="26" borderId="0" xfId="45" quotePrefix="1" applyFont="1" applyFill="1" applyBorder="1" applyAlignment="1" applyProtection="1">
      <alignment vertical="center"/>
      <protection locked="0" hidden="1"/>
    </xf>
    <xf numFmtId="0" fontId="137" fillId="26" borderId="0" xfId="45" quotePrefix="1" applyFont="1" applyFill="1" applyBorder="1" applyAlignment="1" applyProtection="1">
      <alignment vertical="center"/>
      <protection locked="0" hidden="1"/>
    </xf>
    <xf numFmtId="0" fontId="138" fillId="26" borderId="0" xfId="45" applyFont="1" applyFill="1" applyBorder="1" applyAlignment="1" applyProtection="1">
      <alignment vertical="center"/>
      <protection locked="0" hidden="1"/>
    </xf>
    <xf numFmtId="0" fontId="31" fillId="26" borderId="0" xfId="45" applyFont="1" applyFill="1" applyBorder="1" applyAlignment="1" applyProtection="1">
      <alignment vertical="center"/>
      <protection locked="0" hidden="1"/>
    </xf>
    <xf numFmtId="0" fontId="31" fillId="26" borderId="0" xfId="45" applyFont="1" applyFill="1" applyBorder="1" applyAlignment="1" applyProtection="1">
      <alignment vertical="center" wrapText="1"/>
      <protection locked="0" hidden="1"/>
    </xf>
    <xf numFmtId="0" fontId="31" fillId="26" borderId="0" xfId="45" applyFont="1" applyFill="1" applyBorder="1" applyAlignment="1" applyProtection="1">
      <alignment vertical="top"/>
      <protection locked="0" hidden="1"/>
    </xf>
    <xf numFmtId="0" fontId="170" fillId="26" borderId="0" xfId="45" applyFont="1" applyFill="1" applyBorder="1" applyAlignment="1" applyProtection="1">
      <alignment vertical="top"/>
      <protection locked="0" hidden="1"/>
    </xf>
    <xf numFmtId="0" fontId="19" fillId="17" borderId="129" xfId="45" applyFont="1" applyFill="1" applyBorder="1" applyAlignment="1" applyProtection="1">
      <alignment horizontal="left" vertical="center" wrapText="1"/>
      <protection locked="0" hidden="1"/>
    </xf>
    <xf numFmtId="0" fontId="19" fillId="17" borderId="143" xfId="45" applyFont="1" applyFill="1" applyBorder="1" applyAlignment="1" applyProtection="1">
      <alignment horizontal="left" vertical="center" wrapText="1"/>
      <protection locked="0" hidden="1"/>
    </xf>
    <xf numFmtId="0" fontId="19" fillId="17" borderId="130" xfId="45" applyFont="1" applyFill="1" applyBorder="1" applyAlignment="1" applyProtection="1">
      <alignment horizontal="left" vertical="center" wrapText="1"/>
      <protection locked="0" hidden="1"/>
    </xf>
    <xf numFmtId="3" fontId="19" fillId="17" borderId="77" xfId="45" applyNumberFormat="1" applyFont="1" applyFill="1" applyBorder="1" applyAlignment="1" applyProtection="1">
      <alignment horizontal="right" vertical="center" wrapText="1"/>
      <protection locked="0" hidden="1"/>
    </xf>
    <xf numFmtId="3" fontId="19" fillId="17" borderId="78" xfId="45" applyNumberFormat="1" applyFont="1" applyFill="1" applyBorder="1" applyAlignment="1" applyProtection="1">
      <alignment horizontal="right" vertical="center" wrapText="1"/>
      <protection locked="0" hidden="1"/>
    </xf>
    <xf numFmtId="3" fontId="19" fillId="36" borderId="78" xfId="45" applyNumberFormat="1" applyFont="1" applyFill="1" applyBorder="1" applyAlignment="1" applyProtection="1">
      <alignment horizontal="right" vertical="center" wrapText="1"/>
      <protection locked="0" hidden="1"/>
    </xf>
    <xf numFmtId="3" fontId="19" fillId="17" borderId="153" xfId="45" applyNumberFormat="1" applyFont="1" applyFill="1" applyBorder="1" applyAlignment="1" applyProtection="1">
      <alignment horizontal="right" vertical="center" wrapText="1"/>
      <protection locked="0" hidden="1"/>
    </xf>
    <xf numFmtId="3" fontId="19" fillId="17" borderId="154" xfId="45" applyNumberFormat="1" applyFont="1" applyFill="1" applyBorder="1" applyAlignment="1" applyProtection="1">
      <alignment horizontal="right" vertical="center" wrapText="1"/>
      <protection locked="0" hidden="1"/>
    </xf>
    <xf numFmtId="0" fontId="19" fillId="17" borderId="94" xfId="40" applyFont="1" applyFill="1" applyBorder="1" applyAlignment="1" applyProtection="1">
      <alignment horizontal="center" vertical="center" wrapText="1"/>
      <protection locked="0"/>
    </xf>
    <xf numFmtId="0" fontId="19" fillId="17" borderId="94" xfId="40" applyFont="1" applyFill="1" applyBorder="1" applyAlignment="1" applyProtection="1">
      <alignment horizontal="left" vertical="center" wrapText="1"/>
      <protection locked="0"/>
    </xf>
    <xf numFmtId="0" fontId="12" fillId="17" borderId="48" xfId="40" applyNumberFormat="1" applyFont="1" applyFill="1" applyBorder="1" applyAlignment="1" applyProtection="1">
      <alignment horizontal="left" vertical="top" wrapText="1"/>
      <protection locked="0"/>
    </xf>
    <xf numFmtId="0" fontId="12" fillId="17" borderId="40" xfId="40" applyNumberFormat="1" applyFont="1" applyFill="1" applyBorder="1" applyAlignment="1" applyProtection="1">
      <alignment horizontal="left" vertical="top" wrapText="1"/>
      <protection locked="0"/>
    </xf>
    <xf numFmtId="0" fontId="49" fillId="26" borderId="0" xfId="40" applyFont="1" applyFill="1" applyBorder="1" applyAlignment="1" applyProtection="1">
      <alignment horizontal="center" wrapText="1"/>
      <protection locked="0" hidden="1"/>
    </xf>
    <xf numFmtId="0" fontId="93" fillId="26" borderId="0" xfId="40" applyFont="1" applyFill="1" applyBorder="1" applyAlignment="1" applyProtection="1">
      <alignment horizontal="left" vertical="top" wrapText="1"/>
      <protection locked="0" hidden="1"/>
    </xf>
    <xf numFmtId="166" fontId="109" fillId="64" borderId="53" xfId="45" applyNumberFormat="1" applyFont="1" applyFill="1" applyBorder="1" applyAlignment="1" applyProtection="1">
      <alignment horizontal="center" vertical="center"/>
      <protection locked="0" hidden="1"/>
    </xf>
    <xf numFmtId="0" fontId="42" fillId="26" borderId="0" xfId="40" applyFont="1" applyFill="1" applyBorder="1" applyAlignment="1" applyProtection="1">
      <alignment horizontal="left" vertical="top"/>
      <protection locked="0" hidden="1"/>
    </xf>
    <xf numFmtId="0" fontId="31" fillId="26" borderId="0" xfId="40" applyFont="1" applyFill="1" applyBorder="1" applyAlignment="1" applyProtection="1">
      <alignment horizontal="left" vertical="center" wrapText="1"/>
      <protection locked="0" hidden="1"/>
    </xf>
    <xf numFmtId="0" fontId="148" fillId="26" borderId="0" xfId="40" applyNumberFormat="1" applyFont="1" applyFill="1" applyBorder="1" applyAlignment="1" applyProtection="1">
      <alignment horizontal="left" vertical="center" wrapText="1"/>
      <protection locked="0" hidden="1"/>
    </xf>
    <xf numFmtId="0" fontId="42" fillId="26" borderId="0" xfId="40" applyFont="1" applyFill="1" applyBorder="1" applyAlignment="1" applyProtection="1">
      <alignment horizontal="left" vertical="center"/>
      <protection locked="0" hidden="1"/>
    </xf>
    <xf numFmtId="0" fontId="41" fillId="64" borderId="52" xfId="40" applyFont="1" applyFill="1" applyBorder="1" applyAlignment="1" applyProtection="1">
      <alignment horizontal="left" vertical="center" wrapText="1"/>
      <protection locked="0" hidden="1"/>
    </xf>
    <xf numFmtId="0" fontId="31" fillId="26" borderId="0" xfId="40" applyFont="1" applyFill="1" applyAlignment="1" applyProtection="1">
      <alignment horizontal="left" vertical="top" wrapText="1"/>
      <protection locked="0" hidden="1"/>
    </xf>
    <xf numFmtId="0" fontId="41" fillId="26" borderId="0" xfId="40" applyFont="1" applyFill="1" applyAlignment="1" applyProtection="1">
      <alignment horizontal="left" vertical="top" wrapText="1"/>
      <protection locked="0" hidden="1"/>
    </xf>
    <xf numFmtId="0" fontId="41" fillId="26" borderId="0" xfId="40" applyFont="1" applyFill="1" applyAlignment="1" applyProtection="1">
      <alignment horizontal="left" vertical="center" wrapText="1"/>
      <protection locked="0" hidden="1"/>
    </xf>
    <xf numFmtId="0" fontId="31" fillId="26" borderId="0" xfId="40" applyFont="1" applyFill="1" applyAlignment="1" applyProtection="1">
      <alignment horizontal="center" vertical="top" wrapText="1"/>
      <protection locked="0" hidden="1"/>
    </xf>
    <xf numFmtId="0" fontId="32" fillId="17" borderId="19" xfId="40" applyNumberFormat="1" applyFont="1" applyFill="1" applyBorder="1" applyAlignment="1" applyProtection="1">
      <alignment horizontal="left" vertical="top" wrapText="1"/>
      <protection locked="0" hidden="1"/>
    </xf>
    <xf numFmtId="0" fontId="150" fillId="26" borderId="0" xfId="40" applyFont="1" applyFill="1" applyBorder="1" applyAlignment="1" applyProtection="1">
      <alignment vertical="center" wrapText="1"/>
      <protection locked="0" hidden="1"/>
    </xf>
    <xf numFmtId="0" fontId="150" fillId="26" borderId="0" xfId="40" applyFont="1" applyFill="1" applyBorder="1" applyAlignment="1" applyProtection="1">
      <alignment horizontal="left" vertical="center" wrapText="1"/>
      <protection locked="0" hidden="1"/>
    </xf>
    <xf numFmtId="0" fontId="66" fillId="17" borderId="19" xfId="40" applyNumberFormat="1" applyFont="1" applyFill="1" applyBorder="1" applyAlignment="1" applyProtection="1">
      <alignment horizontal="left" vertical="top" wrapText="1"/>
      <protection locked="0" hidden="1"/>
    </xf>
    <xf numFmtId="0" fontId="19" fillId="17" borderId="71" xfId="40" applyFont="1" applyFill="1" applyBorder="1" applyAlignment="1" applyProtection="1">
      <alignment horizontal="center" vertical="center" wrapText="1"/>
      <protection locked="0" hidden="1"/>
    </xf>
    <xf numFmtId="0" fontId="12" fillId="33" borderId="10" xfId="40" applyNumberFormat="1" applyFont="1" applyFill="1" applyBorder="1" applyAlignment="1" applyProtection="1">
      <alignment horizontal="left" vertical="top" wrapText="1"/>
      <protection locked="0" hidden="1"/>
    </xf>
    <xf numFmtId="0" fontId="17" fillId="26" borderId="0" xfId="40" applyFont="1" applyFill="1" applyBorder="1" applyAlignment="1" applyProtection="1">
      <alignment horizontal="left" vertical="center" wrapText="1"/>
      <protection locked="0" hidden="1"/>
    </xf>
    <xf numFmtId="0" fontId="12" fillId="17" borderId="19" xfId="40" applyNumberFormat="1" applyFont="1" applyFill="1" applyBorder="1" applyAlignment="1" applyProtection="1">
      <alignment horizontal="left" vertical="top" wrapText="1"/>
      <protection locked="0" hidden="1"/>
    </xf>
    <xf numFmtId="0" fontId="64" fillId="64" borderId="52" xfId="40" applyFont="1" applyFill="1" applyBorder="1" applyAlignment="1" applyProtection="1">
      <alignment horizontal="left" vertical="center" wrapText="1"/>
      <protection locked="0" hidden="1"/>
    </xf>
    <xf numFmtId="0" fontId="17" fillId="26" borderId="0" xfId="40" applyFont="1" applyFill="1" applyAlignment="1" applyProtection="1">
      <alignment horizontal="right" vertical="top" wrapText="1"/>
      <protection locked="0" hidden="1"/>
    </xf>
    <xf numFmtId="0" fontId="65" fillId="26" borderId="0" xfId="40" applyFont="1" applyFill="1" applyBorder="1" applyAlignment="1" applyProtection="1">
      <alignment horizontal="left" vertical="top" wrapText="1"/>
      <protection locked="0" hidden="1"/>
    </xf>
    <xf numFmtId="0" fontId="65" fillId="26" borderId="0" xfId="40" applyFont="1" applyFill="1" applyAlignment="1" applyProtection="1">
      <alignment horizontal="left" vertical="top" wrapText="1"/>
      <protection locked="0" hidden="1"/>
    </xf>
    <xf numFmtId="0" fontId="151" fillId="26" borderId="0" xfId="40" applyFont="1" applyFill="1" applyAlignment="1" applyProtection="1">
      <alignment horizontal="left" vertical="top"/>
      <protection locked="0" hidden="1"/>
    </xf>
    <xf numFmtId="0" fontId="19" fillId="17" borderId="44" xfId="0" applyFont="1" applyFill="1" applyBorder="1" applyAlignment="1" applyProtection="1">
      <alignment horizontal="center" vertical="center" wrapText="1"/>
      <protection locked="0" hidden="1"/>
    </xf>
    <xf numFmtId="0" fontId="19" fillId="17" borderId="14" xfId="40" applyNumberFormat="1" applyFont="1" applyFill="1" applyBorder="1" applyAlignment="1" applyProtection="1">
      <alignment horizontal="left" vertical="top" wrapText="1"/>
      <protection locked="0" hidden="1"/>
    </xf>
    <xf numFmtId="0" fontId="19" fillId="17" borderId="19" xfId="40" applyNumberFormat="1" applyFont="1" applyFill="1" applyBorder="1" applyAlignment="1" applyProtection="1">
      <alignment horizontal="left" vertical="top" wrapText="1"/>
      <protection locked="0" hidden="1"/>
    </xf>
    <xf numFmtId="0" fontId="19" fillId="17" borderId="71" xfId="0" applyFont="1" applyFill="1" applyBorder="1" applyAlignment="1" applyProtection="1">
      <alignment horizontal="center" vertical="center" wrapText="1"/>
      <protection locked="0" hidden="1"/>
    </xf>
    <xf numFmtId="0" fontId="19" fillId="17" borderId="113" xfId="40" applyNumberFormat="1" applyFont="1" applyFill="1" applyBorder="1" applyAlignment="1" applyProtection="1">
      <alignment horizontal="left" vertical="top" wrapText="1"/>
      <protection locked="0" hidden="1"/>
    </xf>
    <xf numFmtId="0" fontId="12" fillId="24" borderId="43" xfId="40" applyNumberFormat="1" applyFont="1" applyFill="1" applyBorder="1" applyAlignment="1" applyProtection="1">
      <alignment vertical="top" wrapText="1"/>
      <protection locked="0" hidden="1"/>
    </xf>
    <xf numFmtId="0" fontId="12" fillId="17" borderId="10" xfId="40" applyFont="1" applyFill="1" applyBorder="1" applyAlignment="1" applyProtection="1">
      <alignment vertical="center" wrapText="1"/>
      <protection locked="0"/>
    </xf>
    <xf numFmtId="0" fontId="150" fillId="26" borderId="0" xfId="40" applyFont="1" applyFill="1" applyBorder="1" applyAlignment="1" applyProtection="1">
      <alignment horizontal="left" vertical="center" wrapText="1"/>
      <protection locked="0"/>
    </xf>
    <xf numFmtId="0" fontId="12" fillId="17" borderId="0" xfId="43" applyFont="1" applyFill="1" applyAlignment="1" applyProtection="1">
      <alignment horizontal="center" vertical="top" wrapText="1"/>
      <protection hidden="1"/>
    </xf>
    <xf numFmtId="0" fontId="212" fillId="17" borderId="0" xfId="43" applyFont="1" applyFill="1" applyAlignment="1" applyProtection="1">
      <alignment vertical="top" shrinkToFit="1"/>
      <protection hidden="1"/>
    </xf>
    <xf numFmtId="0" fontId="213" fillId="0" borderId="0" xfId="52" applyFont="1" applyAlignment="1" applyProtection="1">
      <alignment vertical="top" shrinkToFit="1"/>
      <protection hidden="1"/>
    </xf>
    <xf numFmtId="0" fontId="12" fillId="17" borderId="0" xfId="43" applyFont="1" applyFill="1" applyAlignment="1" applyProtection="1">
      <alignment vertical="top" wrapText="1"/>
      <protection locked="0" hidden="1"/>
    </xf>
    <xf numFmtId="0" fontId="11" fillId="0" borderId="0" xfId="52" applyAlignment="1" applyProtection="1">
      <alignment vertical="top" wrapText="1"/>
      <protection locked="0" hidden="1"/>
    </xf>
    <xf numFmtId="0" fontId="12" fillId="17" borderId="0" xfId="43" applyFont="1" applyFill="1" applyAlignment="1" applyProtection="1">
      <alignment vertical="top" shrinkToFit="1"/>
      <protection hidden="1"/>
    </xf>
    <xf numFmtId="0" fontId="11" fillId="0" borderId="0" xfId="52" applyAlignment="1" applyProtection="1">
      <alignment vertical="top" shrinkToFit="1"/>
      <protection hidden="1"/>
    </xf>
    <xf numFmtId="0" fontId="12" fillId="0" borderId="0" xfId="43" applyFont="1" applyFill="1" applyBorder="1" applyAlignment="1" applyProtection="1">
      <alignment vertical="top" shrinkToFit="1"/>
      <protection hidden="1"/>
    </xf>
    <xf numFmtId="0" fontId="12" fillId="17" borderId="0" xfId="43" applyFont="1" applyFill="1" applyBorder="1" applyAlignment="1" applyProtection="1">
      <alignment horizontal="justify" vertical="top" wrapText="1"/>
      <protection hidden="1"/>
    </xf>
    <xf numFmtId="0" fontId="12" fillId="17" borderId="0" xfId="43" applyFont="1" applyFill="1" applyBorder="1" applyAlignment="1" applyProtection="1">
      <alignment horizontal="justify" vertical="top"/>
      <protection hidden="1"/>
    </xf>
    <xf numFmtId="0" fontId="19" fillId="17" borderId="87" xfId="45" applyFont="1" applyFill="1" applyBorder="1" applyAlignment="1" applyProtection="1">
      <alignment horizontal="left" vertical="center" wrapText="1"/>
      <protection locked="0" hidden="1"/>
    </xf>
    <xf numFmtId="0" fontId="19" fillId="17" borderId="144" xfId="45" applyFont="1" applyFill="1" applyBorder="1" applyAlignment="1" applyProtection="1">
      <alignment horizontal="left" vertical="center" wrapText="1"/>
      <protection locked="0" hidden="1"/>
    </xf>
    <xf numFmtId="0" fontId="19" fillId="17" borderId="131" xfId="45" applyFont="1" applyFill="1" applyBorder="1" applyAlignment="1" applyProtection="1">
      <alignment horizontal="left" vertical="center" wrapText="1"/>
      <protection locked="0" hidden="1"/>
    </xf>
    <xf numFmtId="0" fontId="41" fillId="64" borderId="85" xfId="45" applyNumberFormat="1" applyFont="1" applyFill="1" applyBorder="1" applyAlignment="1" applyProtection="1">
      <alignment horizontal="left" vertical="center" wrapText="1"/>
      <protection hidden="1"/>
    </xf>
    <xf numFmtId="0" fontId="41" fillId="64" borderId="0" xfId="45" applyNumberFormat="1" applyFont="1" applyFill="1" applyBorder="1" applyAlignment="1" applyProtection="1">
      <alignment horizontal="left" vertical="center" wrapText="1"/>
      <protection hidden="1"/>
    </xf>
    <xf numFmtId="3" fontId="17" fillId="24" borderId="132" xfId="45" applyNumberFormat="1" applyFont="1" applyFill="1" applyBorder="1" applyAlignment="1" applyProtection="1">
      <alignment horizontal="left" vertical="center" wrapText="1"/>
      <protection hidden="1"/>
    </xf>
    <xf numFmtId="3" fontId="17" fillId="24" borderId="145" xfId="45" applyNumberFormat="1" applyFont="1" applyFill="1" applyBorder="1" applyAlignment="1" applyProtection="1">
      <alignment horizontal="left" vertical="center" wrapText="1"/>
      <protection hidden="1"/>
    </xf>
    <xf numFmtId="3" fontId="17" fillId="24" borderId="133" xfId="45" applyNumberFormat="1" applyFont="1" applyFill="1" applyBorder="1" applyAlignment="1" applyProtection="1">
      <alignment horizontal="left" vertical="center" wrapText="1"/>
      <protection hidden="1"/>
    </xf>
    <xf numFmtId="0" fontId="19" fillId="17" borderId="132" xfId="45" applyFont="1" applyFill="1" applyBorder="1" applyAlignment="1" applyProtection="1">
      <alignment horizontal="left" vertical="center" wrapText="1"/>
      <protection locked="0" hidden="1"/>
    </xf>
    <xf numFmtId="0" fontId="19" fillId="17" borderId="145" xfId="45" applyFont="1" applyFill="1" applyBorder="1" applyAlignment="1" applyProtection="1">
      <alignment horizontal="left" vertical="center" wrapText="1"/>
      <protection locked="0" hidden="1"/>
    </xf>
    <xf numFmtId="0" fontId="19" fillId="17" borderId="133" xfId="45" applyFont="1" applyFill="1" applyBorder="1" applyAlignment="1" applyProtection="1">
      <alignment horizontal="left" vertical="center" wrapText="1"/>
      <protection locked="0" hidden="1"/>
    </xf>
    <xf numFmtId="0" fontId="19" fillId="17" borderId="129" xfId="45" applyFont="1" applyFill="1" applyBorder="1" applyAlignment="1" applyProtection="1">
      <alignment horizontal="left" vertical="center" wrapText="1"/>
      <protection locked="0" hidden="1"/>
    </xf>
    <xf numFmtId="0" fontId="19" fillId="17" borderId="143" xfId="45" applyFont="1" applyFill="1" applyBorder="1" applyAlignment="1" applyProtection="1">
      <alignment horizontal="left" vertical="center" wrapText="1"/>
      <protection locked="0" hidden="1"/>
    </xf>
    <xf numFmtId="0" fontId="19" fillId="17" borderId="130" xfId="45" applyFont="1" applyFill="1" applyBorder="1" applyAlignment="1" applyProtection="1">
      <alignment horizontal="left" vertical="center" wrapText="1"/>
      <protection locked="0" hidden="1"/>
    </xf>
    <xf numFmtId="0" fontId="31" fillId="64" borderId="89" xfId="45" applyFont="1" applyFill="1" applyBorder="1" applyAlignment="1" applyProtection="1">
      <alignment horizontal="left" vertical="center"/>
      <protection hidden="1"/>
    </xf>
    <xf numFmtId="0" fontId="31" fillId="27" borderId="89" xfId="45" applyFont="1" applyFill="1" applyBorder="1" applyAlignment="1" applyProtection="1">
      <alignment horizontal="left" vertical="center"/>
      <protection hidden="1"/>
    </xf>
    <xf numFmtId="0" fontId="41" fillId="26" borderId="224" xfId="45" applyFont="1" applyFill="1" applyBorder="1" applyAlignment="1" applyProtection="1">
      <alignment horizontal="center" vertical="center" wrapText="1"/>
      <protection hidden="1"/>
    </xf>
    <xf numFmtId="0" fontId="41" fillId="26" borderId="225" xfId="45" applyFont="1" applyFill="1" applyBorder="1" applyAlignment="1" applyProtection="1">
      <alignment horizontal="center" vertical="center" wrapText="1"/>
      <protection hidden="1"/>
    </xf>
    <xf numFmtId="0" fontId="41" fillId="26" borderId="226" xfId="45" applyFont="1" applyFill="1" applyBorder="1" applyAlignment="1" applyProtection="1">
      <alignment horizontal="center" vertical="center" wrapText="1"/>
      <protection hidden="1"/>
    </xf>
    <xf numFmtId="0" fontId="41" fillId="64" borderId="146" xfId="45" applyNumberFormat="1" applyFont="1" applyFill="1" applyBorder="1" applyAlignment="1" applyProtection="1">
      <alignment horizontal="left" vertical="center" wrapText="1"/>
      <protection hidden="1"/>
    </xf>
    <xf numFmtId="0" fontId="41" fillId="27" borderId="147" xfId="45" applyNumberFormat="1" applyFont="1" applyFill="1" applyBorder="1" applyAlignment="1" applyProtection="1">
      <alignment horizontal="left" vertical="center" wrapText="1"/>
      <protection hidden="1"/>
    </xf>
    <xf numFmtId="0" fontId="41" fillId="27" borderId="148" xfId="45" applyNumberFormat="1" applyFont="1" applyFill="1" applyBorder="1" applyAlignment="1" applyProtection="1">
      <alignment horizontal="left" vertical="center" wrapText="1"/>
      <protection hidden="1"/>
    </xf>
    <xf numFmtId="0" fontId="151" fillId="64" borderId="149" xfId="45" applyNumberFormat="1" applyFont="1" applyFill="1" applyBorder="1" applyAlignment="1" applyProtection="1">
      <alignment horizontal="left" vertical="center" wrapText="1"/>
      <protection hidden="1"/>
    </xf>
    <xf numFmtId="0" fontId="151" fillId="27" borderId="150" xfId="45" applyNumberFormat="1" applyFont="1" applyFill="1" applyBorder="1" applyAlignment="1" applyProtection="1">
      <alignment horizontal="left" vertical="center" wrapText="1"/>
      <protection hidden="1"/>
    </xf>
    <xf numFmtId="0" fontId="151" fillId="27" borderId="151" xfId="45" applyNumberFormat="1" applyFont="1" applyFill="1" applyBorder="1" applyAlignment="1" applyProtection="1">
      <alignment horizontal="left" vertical="center" wrapText="1"/>
      <protection hidden="1"/>
    </xf>
    <xf numFmtId="9" fontId="19" fillId="24" borderId="87" xfId="45" applyNumberFormat="1" applyFont="1" applyFill="1" applyBorder="1" applyAlignment="1" applyProtection="1">
      <alignment horizontal="center" vertical="center" wrapText="1"/>
      <protection hidden="1"/>
    </xf>
    <xf numFmtId="9" fontId="19" fillId="24" borderId="144" xfId="45" applyNumberFormat="1" applyFont="1" applyFill="1" applyBorder="1" applyAlignment="1" applyProtection="1">
      <alignment horizontal="center" vertical="center" wrapText="1"/>
      <protection hidden="1"/>
    </xf>
    <xf numFmtId="9" fontId="19" fillId="24" borderId="131" xfId="45" applyNumberFormat="1" applyFont="1" applyFill="1" applyBorder="1" applyAlignment="1" applyProtection="1">
      <alignment horizontal="center" vertical="center" wrapText="1"/>
      <protection hidden="1"/>
    </xf>
    <xf numFmtId="3" fontId="19" fillId="17" borderId="129" xfId="45" applyNumberFormat="1" applyFont="1" applyFill="1" applyBorder="1" applyAlignment="1" applyProtection="1">
      <alignment horizontal="center" vertical="center" wrapText="1"/>
      <protection locked="0" hidden="1"/>
    </xf>
    <xf numFmtId="3" fontId="19" fillId="17" borderId="143" xfId="45" applyNumberFormat="1" applyFont="1" applyFill="1" applyBorder="1" applyAlignment="1" applyProtection="1">
      <alignment horizontal="center" vertical="center" wrapText="1"/>
      <protection locked="0" hidden="1"/>
    </xf>
    <xf numFmtId="3" fontId="19" fillId="17" borderId="130" xfId="45" applyNumberFormat="1" applyFont="1" applyFill="1" applyBorder="1" applyAlignment="1" applyProtection="1">
      <alignment horizontal="center" vertical="center" wrapText="1"/>
      <protection locked="0" hidden="1"/>
    </xf>
    <xf numFmtId="3" fontId="19" fillId="17" borderId="155" xfId="45" applyNumberFormat="1" applyFont="1" applyFill="1" applyBorder="1" applyAlignment="1" applyProtection="1">
      <alignment horizontal="center" vertical="center" wrapText="1"/>
      <protection locked="0" hidden="1"/>
    </xf>
    <xf numFmtId="3" fontId="19" fillId="17" borderId="154" xfId="45" applyNumberFormat="1" applyFont="1" applyFill="1" applyBorder="1" applyAlignment="1" applyProtection="1">
      <alignment horizontal="center" vertical="center" wrapText="1"/>
      <protection locked="0" hidden="1"/>
    </xf>
    <xf numFmtId="0" fontId="19" fillId="17" borderId="19" xfId="40" applyNumberFormat="1" applyFont="1" applyFill="1" applyBorder="1" applyAlignment="1" applyProtection="1">
      <alignment horizontal="left" vertical="top" wrapText="1"/>
      <protection locked="0"/>
    </xf>
    <xf numFmtId="0" fontId="16" fillId="17" borderId="18" xfId="0" applyFont="1" applyFill="1" applyBorder="1" applyAlignment="1" applyProtection="1">
      <alignment horizontal="left" vertical="top" wrapText="1"/>
      <protection hidden="1"/>
    </xf>
    <xf numFmtId="0" fontId="12" fillId="35" borderId="10" xfId="0" applyFont="1" applyFill="1" applyBorder="1" applyAlignment="1" applyProtection="1">
      <alignment horizontal="left" vertical="top" wrapText="1"/>
      <protection hidden="1"/>
    </xf>
    <xf numFmtId="0" fontId="12" fillId="35" borderId="71" xfId="0" applyFont="1" applyFill="1" applyBorder="1" applyAlignment="1" applyProtection="1">
      <alignment horizontal="left" vertical="top" wrapText="1"/>
      <protection hidden="1"/>
    </xf>
    <xf numFmtId="0" fontId="12" fillId="35" borderId="43" xfId="0" applyFont="1" applyFill="1" applyBorder="1" applyAlignment="1" applyProtection="1">
      <alignment horizontal="left" vertical="top" wrapText="1"/>
      <protection hidden="1"/>
    </xf>
    <xf numFmtId="0" fontId="16" fillId="17" borderId="72" xfId="0" applyFont="1" applyFill="1" applyBorder="1" applyAlignment="1" applyProtection="1">
      <alignment horizontal="left" vertical="top" wrapText="1"/>
      <protection hidden="1"/>
    </xf>
    <xf numFmtId="0" fontId="16" fillId="17" borderId="47" xfId="0" applyFont="1" applyFill="1" applyBorder="1" applyAlignment="1" applyProtection="1">
      <alignment horizontal="left" vertical="top" wrapText="1"/>
      <protection hidden="1"/>
    </xf>
    <xf numFmtId="0" fontId="55" fillId="17" borderId="71" xfId="0" applyFont="1" applyFill="1" applyBorder="1" applyAlignment="1" applyProtection="1">
      <alignment horizontal="left" vertical="top" wrapText="1"/>
      <protection hidden="1"/>
    </xf>
    <xf numFmtId="0" fontId="55" fillId="17" borderId="43" xfId="0" applyFont="1" applyFill="1" applyBorder="1" applyAlignment="1" applyProtection="1">
      <alignment horizontal="left" vertical="top" wrapText="1"/>
      <protection hidden="1"/>
    </xf>
    <xf numFmtId="0" fontId="28" fillId="0" borderId="113" xfId="40" applyNumberFormat="1" applyFont="1" applyFill="1" applyBorder="1" applyAlignment="1" applyProtection="1">
      <alignment horizontal="center" vertical="top" wrapText="1"/>
      <protection locked="0"/>
    </xf>
    <xf numFmtId="0" fontId="28" fillId="0" borderId="48" xfId="40" applyNumberFormat="1" applyFont="1" applyFill="1" applyBorder="1" applyAlignment="1" applyProtection="1">
      <alignment horizontal="center" vertical="top" wrapText="1"/>
      <protection locked="0"/>
    </xf>
    <xf numFmtId="0" fontId="12" fillId="17" borderId="71" xfId="52" applyFont="1" applyFill="1" applyBorder="1" applyAlignment="1" applyProtection="1">
      <alignment horizontal="left" vertical="top" wrapText="1"/>
      <protection hidden="1"/>
    </xf>
    <xf numFmtId="0" fontId="12" fillId="17" borderId="43" xfId="52" applyFont="1" applyFill="1" applyBorder="1" applyAlignment="1" applyProtection="1">
      <alignment horizontal="left" vertical="top" wrapText="1"/>
      <protection hidden="1"/>
    </xf>
    <xf numFmtId="0" fontId="18" fillId="0" borderId="71" xfId="0" applyFont="1" applyFill="1" applyBorder="1" applyAlignment="1" applyProtection="1">
      <alignment horizontal="center" vertical="center" wrapText="1"/>
      <protection hidden="1"/>
    </xf>
    <xf numFmtId="0" fontId="18" fillId="0" borderId="43" xfId="0" applyFont="1" applyFill="1" applyBorder="1" applyAlignment="1" applyProtection="1">
      <alignment horizontal="center" vertical="center" wrapText="1"/>
      <protection hidden="1"/>
    </xf>
    <xf numFmtId="0" fontId="18" fillId="0" borderId="71" xfId="0" applyFont="1" applyFill="1" applyBorder="1" applyAlignment="1" applyProtection="1">
      <alignment horizontal="center" vertical="center" wrapText="1"/>
      <protection locked="0"/>
    </xf>
    <xf numFmtId="0" fontId="18" fillId="0" borderId="43" xfId="0" applyFont="1" applyFill="1" applyBorder="1" applyAlignment="1" applyProtection="1">
      <alignment horizontal="center" vertical="center" wrapText="1"/>
      <protection locked="0"/>
    </xf>
    <xf numFmtId="0" fontId="32" fillId="0" borderId="113" xfId="40" applyNumberFormat="1" applyFont="1" applyFill="1" applyBorder="1" applyAlignment="1" applyProtection="1">
      <alignment horizontal="left" vertical="top" wrapText="1"/>
      <protection locked="0"/>
    </xf>
    <xf numFmtId="0" fontId="32" fillId="0" borderId="48" xfId="40" applyNumberFormat="1" applyFont="1" applyFill="1" applyBorder="1" applyAlignment="1" applyProtection="1">
      <alignment horizontal="left" vertical="top" wrapText="1"/>
      <protection locked="0"/>
    </xf>
    <xf numFmtId="0" fontId="20" fillId="17" borderId="72" xfId="40" applyFont="1" applyFill="1" applyBorder="1" applyAlignment="1" applyProtection="1">
      <alignment vertical="top" wrapText="1"/>
      <protection hidden="1"/>
    </xf>
    <xf numFmtId="0" fontId="20" fillId="17" borderId="93" xfId="40" applyFont="1" applyFill="1" applyBorder="1" applyAlignment="1" applyProtection="1">
      <alignment vertical="top" wrapText="1"/>
      <protection hidden="1"/>
    </xf>
    <xf numFmtId="0" fontId="0" fillId="0" borderId="93" xfId="0" applyBorder="1" applyProtection="1">
      <protection hidden="1"/>
    </xf>
    <xf numFmtId="0" fontId="19" fillId="17" borderId="71" xfId="40" applyFont="1" applyFill="1" applyBorder="1" applyAlignment="1" applyProtection="1">
      <alignment vertical="top" wrapText="1"/>
      <protection hidden="1"/>
    </xf>
    <xf numFmtId="0" fontId="19" fillId="17" borderId="94" xfId="40" applyFont="1" applyFill="1" applyBorder="1" applyAlignment="1" applyProtection="1">
      <alignment vertical="top" wrapText="1"/>
      <protection hidden="1"/>
    </xf>
    <xf numFmtId="0" fontId="0" fillId="0" borderId="94" xfId="0" applyBorder="1" applyProtection="1">
      <protection hidden="1"/>
    </xf>
    <xf numFmtId="0" fontId="19" fillId="17" borderId="36" xfId="40" applyFont="1" applyFill="1" applyBorder="1" applyAlignment="1" applyProtection="1">
      <alignment vertical="top" wrapText="1"/>
      <protection hidden="1"/>
    </xf>
    <xf numFmtId="0" fontId="19" fillId="17" borderId="38" xfId="40" applyFont="1" applyFill="1" applyBorder="1" applyAlignment="1" applyProtection="1">
      <alignment vertical="top" wrapText="1"/>
      <protection hidden="1"/>
    </xf>
    <xf numFmtId="0" fontId="0" fillId="0" borderId="38" xfId="0" applyBorder="1" applyProtection="1">
      <protection hidden="1"/>
    </xf>
    <xf numFmtId="0" fontId="12" fillId="24" borderId="71" xfId="52" applyFont="1" applyFill="1" applyBorder="1" applyAlignment="1" applyProtection="1">
      <alignment horizontal="left" vertical="top" wrapText="1"/>
      <protection hidden="1"/>
    </xf>
    <xf numFmtId="0" fontId="12" fillId="24" borderId="43" xfId="52" applyFont="1" applyFill="1" applyBorder="1" applyAlignment="1" applyProtection="1">
      <alignment horizontal="left" vertical="top" wrapText="1"/>
      <protection hidden="1"/>
    </xf>
    <xf numFmtId="0" fontId="20" fillId="33" borderId="126" xfId="40" applyFont="1" applyFill="1" applyBorder="1" applyAlignment="1" applyProtection="1">
      <alignment horizontal="center" vertical="center" wrapText="1"/>
      <protection hidden="1"/>
    </xf>
    <xf numFmtId="0" fontId="20" fillId="33" borderId="128" xfId="40" quotePrefix="1" applyFont="1" applyFill="1" applyBorder="1" applyAlignment="1" applyProtection="1">
      <alignment horizontal="center" vertical="center" wrapText="1"/>
      <protection hidden="1"/>
    </xf>
    <xf numFmtId="0" fontId="55" fillId="0" borderId="71" xfId="40" applyFont="1" applyFill="1" applyBorder="1" applyAlignment="1" applyProtection="1">
      <alignment horizontal="center" vertical="center" wrapText="1"/>
      <protection hidden="1"/>
    </xf>
    <xf numFmtId="0" fontId="55" fillId="0" borderId="43" xfId="40" applyFont="1" applyFill="1" applyBorder="1" applyAlignment="1" applyProtection="1">
      <alignment horizontal="center" vertical="center" wrapText="1"/>
      <protection hidden="1"/>
    </xf>
    <xf numFmtId="3" fontId="19" fillId="24" borderId="71" xfId="40" applyNumberFormat="1" applyFont="1" applyFill="1" applyBorder="1" applyAlignment="1" applyProtection="1">
      <alignment horizontal="center" vertical="center" wrapText="1"/>
      <protection locked="0"/>
    </xf>
    <xf numFmtId="3" fontId="19" fillId="24" borderId="43" xfId="40" applyNumberFormat="1" applyFont="1" applyFill="1" applyBorder="1" applyAlignment="1" applyProtection="1">
      <alignment horizontal="center" vertical="center" wrapText="1"/>
      <protection locked="0"/>
    </xf>
    <xf numFmtId="0" fontId="19" fillId="17" borderId="71" xfId="40" applyFont="1" applyFill="1" applyBorder="1" applyAlignment="1" applyProtection="1">
      <alignment horizontal="center" vertical="center" wrapText="1"/>
      <protection locked="0"/>
    </xf>
    <xf numFmtId="0" fontId="19" fillId="17" borderId="43" xfId="40" applyFont="1" applyFill="1" applyBorder="1" applyAlignment="1" applyProtection="1">
      <alignment horizontal="center" vertical="center" wrapText="1"/>
      <protection locked="0"/>
    </xf>
    <xf numFmtId="0" fontId="12" fillId="0" borderId="71" xfId="40" applyFont="1" applyFill="1" applyBorder="1" applyAlignment="1" applyProtection="1">
      <alignment horizontal="center" vertical="top" wrapText="1"/>
      <protection locked="0"/>
    </xf>
    <xf numFmtId="0" fontId="12" fillId="0" borderId="43" xfId="40" applyFont="1" applyFill="1" applyBorder="1" applyAlignment="1" applyProtection="1">
      <alignment horizontal="center" vertical="top" wrapText="1"/>
      <protection locked="0"/>
    </xf>
    <xf numFmtId="0" fontId="167" fillId="26" borderId="0" xfId="39" applyFont="1" applyFill="1" applyAlignment="1" applyProtection="1">
      <alignment horizontal="center"/>
      <protection hidden="1"/>
    </xf>
    <xf numFmtId="0" fontId="31" fillId="65" borderId="18" xfId="0" applyFont="1" applyFill="1" applyBorder="1" applyAlignment="1" applyProtection="1">
      <alignment vertical="center"/>
      <protection hidden="1"/>
    </xf>
    <xf numFmtId="0" fontId="0" fillId="27" borderId="10" xfId="0" applyFill="1" applyBorder="1" applyAlignment="1" applyProtection="1">
      <alignment vertical="center"/>
      <protection hidden="1"/>
    </xf>
    <xf numFmtId="0" fontId="0" fillId="27" borderId="61" xfId="0" applyFill="1" applyBorder="1" applyAlignment="1" applyProtection="1">
      <alignment vertical="center"/>
      <protection hidden="1"/>
    </xf>
    <xf numFmtId="0" fontId="31" fillId="65" borderId="56" xfId="0" applyFont="1" applyFill="1" applyBorder="1" applyAlignment="1" applyProtection="1">
      <alignment vertical="center"/>
      <protection hidden="1"/>
    </xf>
    <xf numFmtId="0" fontId="0" fillId="27" borderId="62" xfId="0" applyFill="1" applyBorder="1" applyAlignment="1" applyProtection="1">
      <alignment vertical="center"/>
      <protection hidden="1"/>
    </xf>
    <xf numFmtId="0" fontId="54" fillId="26" borderId="0" xfId="0" applyFont="1" applyFill="1" applyBorder="1" applyAlignment="1" applyProtection="1">
      <alignment horizontal="left" vertical="top"/>
      <protection hidden="1"/>
    </xf>
    <xf numFmtId="0" fontId="87" fillId="26" borderId="0" xfId="0" applyFont="1" applyFill="1" applyBorder="1" applyAlignment="1" applyProtection="1">
      <alignment horizontal="left" vertical="top"/>
      <protection hidden="1"/>
    </xf>
    <xf numFmtId="0" fontId="55" fillId="26" borderId="0" xfId="0" applyFont="1" applyFill="1" applyAlignment="1" applyProtection="1">
      <protection hidden="1"/>
    </xf>
    <xf numFmtId="0" fontId="91" fillId="64" borderId="20" xfId="0" applyFont="1" applyFill="1" applyBorder="1" applyAlignment="1" applyProtection="1">
      <alignment horizontal="left" indent="1"/>
      <protection hidden="1"/>
    </xf>
    <xf numFmtId="0" fontId="91" fillId="27" borderId="0" xfId="0" applyFont="1" applyFill="1" applyBorder="1" applyAlignment="1" applyProtection="1">
      <alignment horizontal="left" indent="1"/>
      <protection hidden="1"/>
    </xf>
    <xf numFmtId="0" fontId="19" fillId="26" borderId="0" xfId="0" applyFont="1" applyFill="1" applyBorder="1" applyAlignment="1" applyProtection="1">
      <alignment horizontal="center" vertical="center" wrapText="1"/>
      <protection hidden="1"/>
    </xf>
    <xf numFmtId="0" fontId="102" fillId="26" borderId="0" xfId="39" applyFont="1" applyFill="1" applyAlignment="1" applyProtection="1">
      <alignment wrapText="1"/>
      <protection hidden="1"/>
    </xf>
    <xf numFmtId="0" fontId="47" fillId="26" borderId="0" xfId="0" applyFont="1" applyFill="1" applyAlignment="1" applyProtection="1">
      <alignment wrapText="1"/>
      <protection hidden="1"/>
    </xf>
    <xf numFmtId="0" fontId="159" fillId="26" borderId="0" xfId="39" applyFont="1" applyFill="1" applyBorder="1" applyAlignment="1" applyProtection="1">
      <alignment horizontal="center" wrapText="1"/>
      <protection hidden="1"/>
    </xf>
    <xf numFmtId="0" fontId="158" fillId="0" borderId="0" xfId="0" applyFont="1" applyAlignment="1">
      <alignment horizontal="center" wrapText="1"/>
    </xf>
    <xf numFmtId="0" fontId="93" fillId="64" borderId="11" xfId="0" applyFont="1" applyFill="1" applyBorder="1" applyAlignment="1" applyProtection="1">
      <alignment horizontal="right" vertical="center" wrapText="1"/>
      <protection hidden="1"/>
    </xf>
    <xf numFmtId="0" fontId="93" fillId="27" borderId="11" xfId="0" applyFont="1" applyFill="1" applyBorder="1" applyAlignment="1" applyProtection="1">
      <alignment horizontal="right" vertical="center" wrapText="1"/>
      <protection hidden="1"/>
    </xf>
    <xf numFmtId="0" fontId="64" fillId="64" borderId="49" xfId="0" applyFont="1" applyFill="1" applyBorder="1" applyAlignment="1" applyProtection="1">
      <alignment horizontal="left" vertical="center"/>
      <protection hidden="1"/>
    </xf>
    <xf numFmtId="0" fontId="0" fillId="27" borderId="79" xfId="0" applyFill="1" applyBorder="1" applyAlignment="1" applyProtection="1">
      <alignment vertical="center"/>
      <protection hidden="1"/>
    </xf>
    <xf numFmtId="0" fontId="64" fillId="64" borderId="79" xfId="0" applyFont="1" applyFill="1" applyBorder="1" applyAlignment="1" applyProtection="1">
      <alignment horizontal="left" vertical="center" wrapText="1"/>
      <protection hidden="1"/>
    </xf>
    <xf numFmtId="0" fontId="64" fillId="27" borderId="105" xfId="0" applyFont="1" applyFill="1" applyBorder="1" applyAlignment="1" applyProtection="1">
      <alignment horizontal="left" vertical="center" wrapText="1"/>
      <protection hidden="1"/>
    </xf>
    <xf numFmtId="0" fontId="92" fillId="64" borderId="95" xfId="0" applyFont="1" applyFill="1" applyBorder="1" applyAlignment="1" applyProtection="1">
      <alignment horizontal="center" vertical="center" wrapText="1"/>
      <protection hidden="1"/>
    </xf>
    <xf numFmtId="0" fontId="92" fillId="27" borderId="108" xfId="0" applyFont="1" applyFill="1" applyBorder="1" applyAlignment="1" applyProtection="1">
      <alignment horizontal="center" vertical="center" wrapText="1"/>
      <protection hidden="1"/>
    </xf>
    <xf numFmtId="0" fontId="89" fillId="64" borderId="15" xfId="0" applyFont="1" applyFill="1" applyBorder="1" applyAlignment="1" applyProtection="1">
      <alignment horizontal="left" vertical="center"/>
      <protection hidden="1"/>
    </xf>
    <xf numFmtId="0" fontId="89" fillId="27" borderId="16" xfId="0" applyFont="1" applyFill="1" applyBorder="1" applyAlignment="1" applyProtection="1">
      <alignment horizontal="left" vertical="center"/>
      <protection hidden="1"/>
    </xf>
    <xf numFmtId="0" fontId="89" fillId="27" borderId="17" xfId="0" applyFont="1" applyFill="1" applyBorder="1" applyAlignment="1" applyProtection="1">
      <alignment horizontal="left" vertical="center"/>
      <protection hidden="1"/>
    </xf>
    <xf numFmtId="0" fontId="89" fillId="27" borderId="20" xfId="0" applyFont="1" applyFill="1" applyBorder="1" applyAlignment="1" applyProtection="1">
      <alignment horizontal="left" vertical="center"/>
      <protection hidden="1"/>
    </xf>
    <xf numFmtId="0" fontId="89" fillId="27" borderId="0" xfId="0" applyFont="1" applyFill="1" applyBorder="1" applyAlignment="1" applyProtection="1">
      <alignment horizontal="left" vertical="center"/>
      <protection hidden="1"/>
    </xf>
    <xf numFmtId="0" fontId="89" fillId="27" borderId="21" xfId="0" applyFont="1" applyFill="1" applyBorder="1" applyAlignment="1" applyProtection="1">
      <alignment horizontal="left" vertical="center"/>
      <protection hidden="1"/>
    </xf>
    <xf numFmtId="0" fontId="89" fillId="27" borderId="23" xfId="0" applyFont="1" applyFill="1" applyBorder="1" applyAlignment="1" applyProtection="1">
      <alignment horizontal="left" vertical="center"/>
      <protection hidden="1"/>
    </xf>
    <xf numFmtId="0" fontId="89" fillId="27" borderId="24" xfId="0" applyFont="1" applyFill="1" applyBorder="1" applyAlignment="1" applyProtection="1">
      <alignment horizontal="left" vertical="center"/>
      <protection hidden="1"/>
    </xf>
    <xf numFmtId="0" fontId="89" fillId="27" borderId="25" xfId="0" applyFont="1" applyFill="1" applyBorder="1" applyAlignment="1" applyProtection="1">
      <alignment horizontal="left" vertical="center"/>
      <protection hidden="1"/>
    </xf>
    <xf numFmtId="0" fontId="64" fillId="64" borderId="20" xfId="0" applyFont="1" applyFill="1" applyBorder="1" applyAlignment="1" applyProtection="1">
      <alignment horizontal="center"/>
      <protection hidden="1"/>
    </xf>
    <xf numFmtId="0" fontId="64" fillId="27" borderId="0" xfId="0" applyFont="1" applyFill="1" applyBorder="1" applyAlignment="1" applyProtection="1">
      <alignment horizontal="center"/>
      <protection hidden="1"/>
    </xf>
    <xf numFmtId="0" fontId="64" fillId="27" borderId="20" xfId="0" applyFont="1" applyFill="1" applyBorder="1" applyAlignment="1" applyProtection="1">
      <alignment horizontal="center"/>
      <protection hidden="1"/>
    </xf>
    <xf numFmtId="0" fontId="93" fillId="64" borderId="19" xfId="0" applyFont="1" applyFill="1" applyBorder="1" applyAlignment="1" applyProtection="1">
      <alignment horizontal="right" vertical="center" wrapText="1"/>
      <protection hidden="1"/>
    </xf>
    <xf numFmtId="0" fontId="93" fillId="27" borderId="19" xfId="0" applyFont="1" applyFill="1" applyBorder="1" applyAlignment="1" applyProtection="1">
      <alignment horizontal="right" vertical="center" wrapText="1"/>
      <protection hidden="1"/>
    </xf>
    <xf numFmtId="0" fontId="93" fillId="64" borderId="18" xfId="0" applyFont="1" applyFill="1" applyBorder="1" applyAlignment="1" applyProtection="1">
      <alignment horizontal="right" vertical="center" wrapText="1"/>
      <protection hidden="1"/>
    </xf>
    <xf numFmtId="0" fontId="93" fillId="27" borderId="18" xfId="0" applyFont="1" applyFill="1" applyBorder="1" applyAlignment="1" applyProtection="1">
      <alignment horizontal="right" vertical="center" wrapText="1"/>
      <protection hidden="1"/>
    </xf>
    <xf numFmtId="168" fontId="68" fillId="24" borderId="33" xfId="28" applyNumberFormat="1" applyFont="1" applyFill="1" applyBorder="1" applyAlignment="1" applyProtection="1">
      <alignment horizontal="center" vertical="center" wrapText="1"/>
      <protection hidden="1"/>
    </xf>
    <xf numFmtId="168" fontId="68" fillId="24" borderId="34" xfId="28" applyNumberFormat="1" applyFont="1" applyFill="1" applyBorder="1" applyAlignment="1" applyProtection="1">
      <alignment horizontal="center" vertical="center" wrapText="1"/>
      <protection hidden="1"/>
    </xf>
    <xf numFmtId="168" fontId="68" fillId="24" borderId="35" xfId="28" applyNumberFormat="1" applyFont="1" applyFill="1" applyBorder="1" applyAlignment="1" applyProtection="1">
      <alignment horizontal="center" vertical="center" wrapText="1"/>
      <protection hidden="1"/>
    </xf>
    <xf numFmtId="0" fontId="16" fillId="17" borderId="15" xfId="0" applyFont="1" applyFill="1" applyBorder="1" applyAlignment="1" applyProtection="1">
      <alignment horizontal="center" vertical="center" wrapText="1"/>
      <protection locked="0" hidden="1"/>
    </xf>
    <xf numFmtId="0" fontId="16" fillId="17" borderId="17" xfId="0" applyFont="1" applyFill="1" applyBorder="1" applyAlignment="1" applyProtection="1">
      <alignment horizontal="center" vertical="center" wrapText="1"/>
      <protection locked="0" hidden="1"/>
    </xf>
    <xf numFmtId="0" fontId="16" fillId="17" borderId="20" xfId="0" applyFont="1" applyFill="1" applyBorder="1" applyAlignment="1" applyProtection="1">
      <alignment horizontal="center" vertical="center" wrapText="1"/>
      <protection locked="0" hidden="1"/>
    </xf>
    <xf numFmtId="0" fontId="16" fillId="17" borderId="21" xfId="0" applyFont="1" applyFill="1" applyBorder="1" applyAlignment="1" applyProtection="1">
      <alignment horizontal="center" vertical="center" wrapText="1"/>
      <protection locked="0" hidden="1"/>
    </xf>
    <xf numFmtId="0" fontId="16" fillId="17" borderId="23" xfId="0" applyFont="1" applyFill="1" applyBorder="1" applyAlignment="1" applyProtection="1">
      <alignment horizontal="center" vertical="center" wrapText="1"/>
      <protection locked="0" hidden="1"/>
    </xf>
    <xf numFmtId="0" fontId="16" fillId="17" borderId="25" xfId="0" applyFont="1" applyFill="1" applyBorder="1" applyAlignment="1" applyProtection="1">
      <alignment horizontal="center" vertical="center" wrapText="1"/>
      <protection locked="0" hidden="1"/>
    </xf>
    <xf numFmtId="0" fontId="161" fillId="17" borderId="15" xfId="0" applyFont="1" applyFill="1" applyBorder="1" applyAlignment="1" applyProtection="1">
      <alignment horizontal="center" vertical="center"/>
      <protection locked="0" hidden="1"/>
    </xf>
    <xf numFmtId="0" fontId="161" fillId="17" borderId="17" xfId="0" applyFont="1" applyFill="1" applyBorder="1" applyAlignment="1" applyProtection="1">
      <alignment horizontal="center" vertical="center"/>
      <protection locked="0" hidden="1"/>
    </xf>
    <xf numFmtId="0" fontId="161" fillId="17" borderId="20" xfId="0" applyFont="1" applyFill="1" applyBorder="1" applyAlignment="1" applyProtection="1">
      <alignment horizontal="center" vertical="center"/>
      <protection locked="0" hidden="1"/>
    </xf>
    <xf numFmtId="0" fontId="161" fillId="17" borderId="21" xfId="0" applyFont="1" applyFill="1" applyBorder="1" applyAlignment="1" applyProtection="1">
      <alignment horizontal="center" vertical="center"/>
      <protection locked="0" hidden="1"/>
    </xf>
    <xf numFmtId="0" fontId="161" fillId="17" borderId="23" xfId="0" applyFont="1" applyFill="1" applyBorder="1" applyAlignment="1" applyProtection="1">
      <alignment horizontal="center" vertical="center"/>
      <protection locked="0" hidden="1"/>
    </xf>
    <xf numFmtId="0" fontId="161" fillId="17" borderId="25" xfId="0" applyFont="1" applyFill="1" applyBorder="1" applyAlignment="1" applyProtection="1">
      <alignment horizontal="center" vertical="center"/>
      <protection locked="0" hidden="1"/>
    </xf>
    <xf numFmtId="0" fontId="89" fillId="64" borderId="15" xfId="0" applyFont="1" applyFill="1" applyBorder="1" applyAlignment="1" applyProtection="1">
      <alignment horizontal="center" vertical="center" wrapText="1"/>
      <protection hidden="1"/>
    </xf>
    <xf numFmtId="0" fontId="89" fillId="27" borderId="17" xfId="0" applyFont="1" applyFill="1" applyBorder="1" applyAlignment="1" applyProtection="1">
      <alignment horizontal="center" vertical="center" wrapText="1"/>
      <protection hidden="1"/>
    </xf>
    <xf numFmtId="0" fontId="89" fillId="27" borderId="20" xfId="0" applyFont="1" applyFill="1" applyBorder="1" applyAlignment="1" applyProtection="1">
      <alignment horizontal="center" vertical="center" wrapText="1"/>
      <protection hidden="1"/>
    </xf>
    <xf numFmtId="0" fontId="89" fillId="27" borderId="21" xfId="0" applyFont="1" applyFill="1" applyBorder="1" applyAlignment="1" applyProtection="1">
      <alignment horizontal="center" vertical="center" wrapText="1"/>
      <protection hidden="1"/>
    </xf>
    <xf numFmtId="0" fontId="89" fillId="27" borderId="23" xfId="0" applyFont="1" applyFill="1" applyBorder="1" applyAlignment="1" applyProtection="1">
      <alignment horizontal="center" vertical="center" wrapText="1"/>
      <protection hidden="1"/>
    </xf>
    <xf numFmtId="0" fontId="89" fillId="27" borderId="25" xfId="0" applyFont="1" applyFill="1" applyBorder="1" applyAlignment="1" applyProtection="1">
      <alignment horizontal="center" vertical="center" wrapText="1"/>
      <protection hidden="1"/>
    </xf>
    <xf numFmtId="3" fontId="53" fillId="24" borderId="33" xfId="0" applyNumberFormat="1" applyFont="1" applyFill="1" applyBorder="1" applyAlignment="1" applyProtection="1">
      <alignment horizontal="center" vertical="center" wrapText="1"/>
      <protection hidden="1"/>
    </xf>
    <xf numFmtId="0" fontId="0" fillId="0" borderId="34" xfId="0" applyBorder="1"/>
    <xf numFmtId="0" fontId="0" fillId="0" borderId="35" xfId="0" applyBorder="1"/>
    <xf numFmtId="0" fontId="31" fillId="64" borderId="45" xfId="0" applyFont="1" applyFill="1" applyBorder="1" applyAlignment="1" applyProtection="1">
      <alignment horizontal="left" vertical="center" wrapText="1"/>
      <protection hidden="1"/>
    </xf>
    <xf numFmtId="0" fontId="0" fillId="27" borderId="46" xfId="0" applyFill="1" applyBorder="1" applyAlignment="1" applyProtection="1">
      <alignment wrapText="1"/>
      <protection hidden="1"/>
    </xf>
    <xf numFmtId="0" fontId="44" fillId="64" borderId="15" xfId="0" applyFont="1" applyFill="1" applyBorder="1" applyAlignment="1" applyProtection="1">
      <alignment horizontal="right" vertical="center" wrapText="1"/>
      <protection hidden="1"/>
    </xf>
    <xf numFmtId="0" fontId="54" fillId="27" borderId="16" xfId="0" applyFont="1" applyFill="1" applyBorder="1" applyAlignment="1" applyProtection="1">
      <alignment horizontal="right" vertical="center" wrapText="1"/>
      <protection hidden="1"/>
    </xf>
    <xf numFmtId="0" fontId="54" fillId="27" borderId="17" xfId="0" applyFont="1" applyFill="1" applyBorder="1" applyAlignment="1" applyProtection="1">
      <alignment horizontal="right" vertical="center" wrapText="1"/>
      <protection hidden="1"/>
    </xf>
    <xf numFmtId="0" fontId="54" fillId="27" borderId="20" xfId="0" applyFont="1" applyFill="1" applyBorder="1" applyAlignment="1" applyProtection="1">
      <alignment horizontal="right" vertical="center" wrapText="1"/>
      <protection hidden="1"/>
    </xf>
    <xf numFmtId="0" fontId="54" fillId="27" borderId="0" xfId="0" applyFont="1" applyFill="1" applyBorder="1" applyAlignment="1" applyProtection="1">
      <alignment horizontal="right" vertical="center" wrapText="1"/>
      <protection hidden="1"/>
    </xf>
    <xf numFmtId="0" fontId="54" fillId="27" borderId="21" xfId="0" applyFont="1" applyFill="1" applyBorder="1" applyAlignment="1" applyProtection="1">
      <alignment horizontal="right" vertical="center" wrapText="1"/>
      <protection hidden="1"/>
    </xf>
    <xf numFmtId="0" fontId="54" fillId="27" borderId="23" xfId="0" applyFont="1" applyFill="1" applyBorder="1" applyAlignment="1" applyProtection="1">
      <alignment horizontal="right" vertical="center" wrapText="1"/>
      <protection hidden="1"/>
    </xf>
    <xf numFmtId="0" fontId="54" fillId="27" borderId="24" xfId="0" applyFont="1" applyFill="1" applyBorder="1" applyAlignment="1" applyProtection="1">
      <alignment horizontal="right" vertical="center" wrapText="1"/>
      <protection hidden="1"/>
    </xf>
    <xf numFmtId="0" fontId="54" fillId="27" borderId="25" xfId="0" applyFont="1" applyFill="1" applyBorder="1" applyAlignment="1" applyProtection="1">
      <alignment horizontal="right" vertical="center" wrapText="1"/>
      <protection hidden="1"/>
    </xf>
    <xf numFmtId="0" fontId="58" fillId="27" borderId="10" xfId="0" applyFont="1" applyFill="1" applyBorder="1" applyAlignment="1" applyProtection="1">
      <alignment vertical="center"/>
      <protection hidden="1"/>
    </xf>
    <xf numFmtId="0" fontId="58" fillId="27" borderId="61" xfId="0" applyFont="1" applyFill="1" applyBorder="1" applyAlignment="1" applyProtection="1">
      <alignment vertical="center"/>
      <protection hidden="1"/>
    </xf>
    <xf numFmtId="0" fontId="31" fillId="65" borderId="45" xfId="0" applyFont="1" applyFill="1" applyBorder="1" applyAlignment="1" applyProtection="1">
      <alignment vertical="center"/>
      <protection hidden="1"/>
    </xf>
    <xf numFmtId="0" fontId="0" fillId="27" borderId="46" xfId="0" applyFill="1" applyBorder="1" applyAlignment="1" applyProtection="1">
      <alignment vertical="center"/>
      <protection hidden="1"/>
    </xf>
    <xf numFmtId="0" fontId="0" fillId="27" borderId="109" xfId="0" applyFill="1" applyBorder="1" applyAlignment="1" applyProtection="1">
      <alignment vertical="center"/>
      <protection hidden="1"/>
    </xf>
    <xf numFmtId="0" fontId="89" fillId="64" borderId="15" xfId="0" applyFont="1" applyFill="1" applyBorder="1" applyAlignment="1" applyProtection="1">
      <alignment horizontal="left" vertical="center" wrapText="1"/>
      <protection hidden="1"/>
    </xf>
    <xf numFmtId="0" fontId="89" fillId="27" borderId="16" xfId="0" applyFont="1" applyFill="1" applyBorder="1" applyAlignment="1" applyProtection="1">
      <alignment horizontal="left" vertical="center" wrapText="1"/>
      <protection hidden="1"/>
    </xf>
    <xf numFmtId="0" fontId="89" fillId="27" borderId="17" xfId="0" applyFont="1" applyFill="1" applyBorder="1" applyAlignment="1" applyProtection="1">
      <alignment horizontal="left" vertical="center" wrapText="1"/>
      <protection hidden="1"/>
    </xf>
    <xf numFmtId="0" fontId="89" fillId="27" borderId="20" xfId="0" applyFont="1" applyFill="1" applyBorder="1" applyAlignment="1" applyProtection="1">
      <alignment horizontal="left" vertical="center" wrapText="1"/>
      <protection hidden="1"/>
    </xf>
    <xf numFmtId="0" fontId="89" fillId="27" borderId="0" xfId="0" applyFont="1" applyFill="1" applyBorder="1" applyAlignment="1" applyProtection="1">
      <alignment horizontal="left" vertical="center" wrapText="1"/>
      <protection hidden="1"/>
    </xf>
    <xf numFmtId="0" fontId="89" fillId="27" borderId="21" xfId="0" applyFont="1" applyFill="1" applyBorder="1" applyAlignment="1" applyProtection="1">
      <alignment horizontal="left" vertical="center" wrapText="1"/>
      <protection hidden="1"/>
    </xf>
    <xf numFmtId="0" fontId="89" fillId="27" borderId="23" xfId="0" applyFont="1" applyFill="1" applyBorder="1" applyAlignment="1" applyProtection="1">
      <alignment horizontal="left" vertical="center" wrapText="1"/>
      <protection hidden="1"/>
    </xf>
    <xf numFmtId="0" fontId="89" fillId="27" borderId="24" xfId="0" applyFont="1" applyFill="1" applyBorder="1" applyAlignment="1" applyProtection="1">
      <alignment horizontal="left" vertical="center" wrapText="1"/>
      <protection hidden="1"/>
    </xf>
    <xf numFmtId="0" fontId="89" fillId="27" borderId="25" xfId="0" applyFont="1" applyFill="1" applyBorder="1" applyAlignment="1" applyProtection="1">
      <alignment horizontal="left" vertical="center" wrapText="1"/>
      <protection hidden="1"/>
    </xf>
    <xf numFmtId="0" fontId="16" fillId="24" borderId="16" xfId="0" applyFont="1" applyFill="1" applyBorder="1" applyAlignment="1" applyProtection="1">
      <alignment horizontal="center" vertical="center" wrapText="1"/>
      <protection hidden="1"/>
    </xf>
    <xf numFmtId="0" fontId="16" fillId="24" borderId="17" xfId="0" applyFont="1" applyFill="1" applyBorder="1" applyAlignment="1" applyProtection="1">
      <alignment horizontal="center" vertical="center" wrapText="1"/>
      <protection hidden="1"/>
    </xf>
    <xf numFmtId="0" fontId="16" fillId="24" borderId="0" xfId="0" applyFont="1" applyFill="1" applyBorder="1" applyAlignment="1" applyProtection="1">
      <alignment horizontal="center" vertical="center" wrapText="1"/>
      <protection hidden="1"/>
    </xf>
    <xf numFmtId="0" fontId="16" fillId="24" borderId="21" xfId="0" applyFont="1" applyFill="1" applyBorder="1" applyAlignment="1" applyProtection="1">
      <alignment horizontal="center" vertical="center" wrapText="1"/>
      <protection hidden="1"/>
    </xf>
    <xf numFmtId="0" fontId="16" fillId="24" borderId="24" xfId="0" applyFont="1" applyFill="1" applyBorder="1" applyAlignment="1" applyProtection="1">
      <alignment horizontal="center" vertical="center" wrapText="1"/>
      <protection hidden="1"/>
    </xf>
    <xf numFmtId="0" fontId="16" fillId="24" borderId="25" xfId="0" applyFont="1" applyFill="1" applyBorder="1" applyAlignment="1" applyProtection="1">
      <alignment horizontal="center" vertical="center" wrapText="1"/>
      <protection hidden="1"/>
    </xf>
    <xf numFmtId="0" fontId="41" fillId="65" borderId="47" xfId="0" applyFont="1" applyFill="1" applyBorder="1" applyAlignment="1" applyProtection="1">
      <alignment vertical="center"/>
      <protection hidden="1"/>
    </xf>
    <xf numFmtId="0" fontId="10" fillId="27" borderId="43" xfId="0" applyFont="1" applyFill="1" applyBorder="1" applyAlignment="1" applyProtection="1">
      <alignment vertical="center"/>
      <protection hidden="1"/>
    </xf>
    <xf numFmtId="0" fontId="10" fillId="27" borderId="40" xfId="0" applyFont="1" applyFill="1" applyBorder="1" applyAlignment="1" applyProtection="1">
      <alignment vertical="center"/>
      <protection hidden="1"/>
    </xf>
    <xf numFmtId="0" fontId="31" fillId="64" borderId="124" xfId="0" applyFont="1" applyFill="1" applyBorder="1" applyAlignment="1" applyProtection="1">
      <alignment horizontal="left" vertical="center" wrapText="1"/>
      <protection hidden="1"/>
    </xf>
    <xf numFmtId="0" fontId="0" fillId="27" borderId="106" xfId="0" applyFill="1" applyBorder="1" applyProtection="1">
      <protection hidden="1"/>
    </xf>
    <xf numFmtId="0" fontId="31" fillId="64" borderId="47" xfId="0" applyFont="1" applyFill="1" applyBorder="1" applyAlignment="1" applyProtection="1">
      <alignment horizontal="left" vertical="center" wrapText="1"/>
      <protection hidden="1"/>
    </xf>
    <xf numFmtId="0" fontId="0" fillId="27" borderId="43" xfId="0" applyFill="1" applyBorder="1" applyAlignment="1" applyProtection="1">
      <alignment wrapText="1"/>
      <protection hidden="1"/>
    </xf>
    <xf numFmtId="0" fontId="31" fillId="64" borderId="18" xfId="0" applyFont="1" applyFill="1" applyBorder="1" applyAlignment="1" applyProtection="1">
      <alignment horizontal="left" vertical="center" wrapText="1"/>
      <protection hidden="1"/>
    </xf>
    <xf numFmtId="0" fontId="0" fillId="27" borderId="10" xfId="0" applyFill="1" applyBorder="1" applyAlignment="1" applyProtection="1">
      <alignment vertical="center" wrapText="1"/>
      <protection hidden="1"/>
    </xf>
    <xf numFmtId="0" fontId="31" fillId="65" borderId="47" xfId="0" applyFont="1" applyFill="1" applyBorder="1" applyAlignment="1" applyProtection="1">
      <alignment vertical="center"/>
      <protection hidden="1"/>
    </xf>
    <xf numFmtId="0" fontId="0" fillId="27" borderId="43" xfId="0" applyFill="1" applyBorder="1" applyAlignment="1" applyProtection="1">
      <alignment vertical="center"/>
      <protection hidden="1"/>
    </xf>
    <xf numFmtId="0" fontId="0" fillId="27" borderId="40" xfId="0" applyFill="1" applyBorder="1" applyAlignment="1" applyProtection="1">
      <alignment vertical="center"/>
      <protection hidden="1"/>
    </xf>
    <xf numFmtId="0" fontId="65" fillId="26" borderId="0" xfId="0" applyFont="1" applyFill="1" applyAlignment="1" applyProtection="1">
      <alignment vertical="top" wrapText="1"/>
      <protection hidden="1"/>
    </xf>
    <xf numFmtId="0" fontId="0" fillId="0" borderId="0" xfId="0" applyAlignment="1">
      <alignment vertical="top" wrapText="1"/>
    </xf>
    <xf numFmtId="0" fontId="93" fillId="64" borderId="64" xfId="0" applyFont="1" applyFill="1" applyBorder="1" applyAlignment="1" applyProtection="1">
      <alignment horizontal="center" vertical="center" wrapText="1"/>
      <protection hidden="1"/>
    </xf>
    <xf numFmtId="0" fontId="93" fillId="27" borderId="64" xfId="0" applyFont="1" applyFill="1" applyBorder="1" applyAlignment="1" applyProtection="1">
      <alignment horizontal="center" vertical="center" wrapText="1"/>
      <protection hidden="1"/>
    </xf>
    <xf numFmtId="0" fontId="0" fillId="64" borderId="79" xfId="0" applyFill="1" applyBorder="1" applyAlignment="1" applyProtection="1">
      <alignment vertical="center"/>
      <protection hidden="1"/>
    </xf>
    <xf numFmtId="0" fontId="0" fillId="27" borderId="79" xfId="0" applyFill="1" applyBorder="1" applyAlignment="1" applyProtection="1">
      <protection hidden="1"/>
    </xf>
    <xf numFmtId="0" fontId="0" fillId="27" borderId="105" xfId="0" applyFill="1" applyBorder="1" applyAlignment="1" applyProtection="1">
      <protection hidden="1"/>
    </xf>
    <xf numFmtId="0" fontId="41" fillId="64" borderId="95" xfId="0" applyFont="1" applyFill="1" applyBorder="1" applyAlignment="1" applyProtection="1">
      <alignment horizontal="center" vertical="center"/>
      <protection hidden="1"/>
    </xf>
    <xf numFmtId="0" fontId="41" fillId="27" borderId="32" xfId="0" applyFont="1" applyFill="1" applyBorder="1" applyAlignment="1" applyProtection="1">
      <alignment horizontal="center" vertical="center"/>
      <protection hidden="1"/>
    </xf>
    <xf numFmtId="0" fontId="41" fillId="27" borderId="108" xfId="0" applyFont="1" applyFill="1" applyBorder="1" applyAlignment="1" applyProtection="1">
      <alignment horizontal="center" vertical="center"/>
      <protection hidden="1"/>
    </xf>
    <xf numFmtId="0" fontId="41" fillId="64" borderId="95" xfId="0" applyFont="1" applyFill="1" applyBorder="1" applyAlignment="1" applyProtection="1">
      <alignment horizontal="center" vertical="center" wrapText="1"/>
      <protection hidden="1"/>
    </xf>
    <xf numFmtId="0" fontId="55" fillId="27" borderId="108" xfId="0" applyFont="1" applyFill="1" applyBorder="1" applyAlignment="1" applyProtection="1">
      <alignment horizontal="center" vertical="center" wrapText="1"/>
      <protection hidden="1"/>
    </xf>
    <xf numFmtId="0" fontId="93" fillId="64" borderId="18" xfId="0" applyFont="1" applyFill="1" applyBorder="1" applyAlignment="1" applyProtection="1">
      <alignment horizontal="center" vertical="center" wrapText="1"/>
      <protection hidden="1"/>
    </xf>
    <xf numFmtId="0" fontId="93" fillId="27" borderId="18" xfId="0" applyFont="1" applyFill="1" applyBorder="1" applyAlignment="1" applyProtection="1">
      <alignment horizontal="center" vertical="center" wrapText="1"/>
      <protection hidden="1"/>
    </xf>
    <xf numFmtId="0" fontId="93" fillId="64" borderId="75" xfId="0" applyFont="1" applyFill="1" applyBorder="1" applyAlignment="1" applyProtection="1">
      <alignment horizontal="center" vertical="center" wrapText="1"/>
      <protection hidden="1"/>
    </xf>
    <xf numFmtId="0" fontId="93" fillId="27" borderId="75" xfId="0" applyFont="1" applyFill="1" applyBorder="1" applyAlignment="1" applyProtection="1">
      <alignment horizontal="center" vertical="center" wrapText="1"/>
      <protection hidden="1"/>
    </xf>
    <xf numFmtId="0" fontId="177" fillId="26" borderId="164" xfId="0" applyFont="1" applyFill="1" applyBorder="1" applyAlignment="1" applyProtection="1">
      <alignment horizontal="center"/>
      <protection hidden="1"/>
    </xf>
    <xf numFmtId="0" fontId="177" fillId="26" borderId="165" xfId="0" applyFont="1" applyFill="1" applyBorder="1" applyAlignment="1" applyProtection="1">
      <alignment horizontal="center"/>
      <protection hidden="1"/>
    </xf>
    <xf numFmtId="0" fontId="177" fillId="26" borderId="166" xfId="0" applyFont="1" applyFill="1" applyBorder="1" applyAlignment="1" applyProtection="1">
      <alignment horizontal="center"/>
      <protection hidden="1"/>
    </xf>
    <xf numFmtId="0" fontId="163" fillId="26" borderId="156" xfId="0" applyFont="1" applyFill="1" applyBorder="1" applyAlignment="1" applyProtection="1">
      <alignment horizontal="center" vertical="center"/>
      <protection locked="0" hidden="1"/>
    </xf>
    <xf numFmtId="0" fontId="163" fillId="26" borderId="158" xfId="0" applyFont="1" applyFill="1" applyBorder="1" applyAlignment="1" applyProtection="1">
      <alignment horizontal="center" vertical="center"/>
      <protection locked="0" hidden="1"/>
    </xf>
    <xf numFmtId="0" fontId="163" fillId="26" borderId="161" xfId="0" applyFont="1" applyFill="1" applyBorder="1" applyAlignment="1" applyProtection="1">
      <alignment horizontal="center" vertical="center"/>
      <protection locked="0" hidden="1"/>
    </xf>
    <xf numFmtId="0" fontId="163" fillId="26" borderId="163" xfId="0" applyFont="1" applyFill="1" applyBorder="1" applyAlignment="1" applyProtection="1">
      <alignment horizontal="center" vertical="center"/>
      <protection locked="0" hidden="1"/>
    </xf>
    <xf numFmtId="0" fontId="19" fillId="17" borderId="71" xfId="40" applyFont="1" applyFill="1" applyBorder="1" applyAlignment="1" applyProtection="1">
      <alignment horizontal="left" vertical="top" wrapText="1"/>
      <protection hidden="1"/>
    </xf>
    <xf numFmtId="0" fontId="19" fillId="17" borderId="94" xfId="40" applyFont="1" applyFill="1" applyBorder="1" applyAlignment="1" applyProtection="1">
      <alignment horizontal="left" vertical="top" wrapText="1"/>
      <protection hidden="1"/>
    </xf>
    <xf numFmtId="0" fontId="19" fillId="17" borderId="43" xfId="40" applyFont="1" applyFill="1" applyBorder="1" applyAlignment="1" applyProtection="1">
      <alignment horizontal="left" vertical="top" wrapText="1"/>
      <protection hidden="1"/>
    </xf>
    <xf numFmtId="0" fontId="20" fillId="17" borderId="72" xfId="40" applyFont="1" applyFill="1" applyBorder="1" applyAlignment="1" applyProtection="1">
      <alignment horizontal="left" vertical="top" wrapText="1"/>
      <protection hidden="1"/>
    </xf>
    <xf numFmtId="0" fontId="20" fillId="17" borderId="93" xfId="40" applyFont="1" applyFill="1" applyBorder="1" applyAlignment="1" applyProtection="1">
      <alignment horizontal="left" vertical="top" wrapText="1"/>
      <protection hidden="1"/>
    </xf>
    <xf numFmtId="0" fontId="20" fillId="17" borderId="47" xfId="40" applyFont="1" applyFill="1" applyBorder="1" applyAlignment="1" applyProtection="1">
      <alignment horizontal="left" vertical="top" wrapText="1"/>
      <protection hidden="1"/>
    </xf>
    <xf numFmtId="0" fontId="20" fillId="17" borderId="37" xfId="40" applyFont="1" applyFill="1" applyBorder="1" applyAlignment="1" applyProtection="1">
      <alignment horizontal="center" vertical="top" wrapText="1"/>
      <protection hidden="1"/>
    </xf>
    <xf numFmtId="0" fontId="20" fillId="17" borderId="39" xfId="40" applyFont="1" applyFill="1" applyBorder="1" applyAlignment="1" applyProtection="1">
      <alignment horizontal="center" vertical="top" wrapText="1"/>
      <protection hidden="1"/>
    </xf>
    <xf numFmtId="0" fontId="20" fillId="17" borderId="41" xfId="40" applyFont="1" applyFill="1" applyBorder="1" applyAlignment="1" applyProtection="1">
      <alignment horizontal="center" vertical="top" wrapText="1"/>
      <protection hidden="1"/>
    </xf>
    <xf numFmtId="0" fontId="12" fillId="17" borderId="71" xfId="40" applyFont="1" applyFill="1" applyBorder="1" applyAlignment="1" applyProtection="1">
      <alignment horizontal="left" vertical="top" wrapText="1"/>
      <protection hidden="1"/>
    </xf>
    <xf numFmtId="0" fontId="12" fillId="17" borderId="94" xfId="40" applyFont="1" applyFill="1" applyBorder="1" applyAlignment="1" applyProtection="1">
      <alignment horizontal="left" vertical="top" wrapText="1"/>
      <protection hidden="1"/>
    </xf>
    <xf numFmtId="0" fontId="12" fillId="17" borderId="43" xfId="40" applyFont="1" applyFill="1" applyBorder="1" applyAlignment="1" applyProtection="1">
      <alignment horizontal="left" vertical="top" wrapText="1"/>
      <protection hidden="1"/>
    </xf>
    <xf numFmtId="0" fontId="63" fillId="17" borderId="10" xfId="40" applyNumberFormat="1" applyFont="1" applyFill="1" applyBorder="1" applyAlignment="1" applyProtection="1">
      <alignment horizontal="center" vertical="top" wrapText="1"/>
      <protection locked="0"/>
    </xf>
    <xf numFmtId="0" fontId="63" fillId="17" borderId="113" xfId="40" applyNumberFormat="1" applyFont="1" applyFill="1" applyBorder="1" applyAlignment="1" applyProtection="1">
      <alignment vertical="top" wrapText="1"/>
      <protection locked="0"/>
    </xf>
    <xf numFmtId="0" fontId="63" fillId="17" borderId="48" xfId="40" applyNumberFormat="1" applyFont="1" applyFill="1" applyBorder="1" applyAlignment="1" applyProtection="1">
      <alignment vertical="top" wrapText="1"/>
      <protection locked="0"/>
    </xf>
    <xf numFmtId="0" fontId="19" fillId="17" borderId="71" xfId="40" applyFont="1" applyFill="1" applyBorder="1" applyAlignment="1" applyProtection="1">
      <alignment horizontal="center" vertical="center" wrapText="1"/>
      <protection hidden="1"/>
    </xf>
    <xf numFmtId="0" fontId="19" fillId="17" borderId="43" xfId="40" applyFont="1" applyFill="1" applyBorder="1" applyAlignment="1" applyProtection="1">
      <alignment horizontal="center" vertical="center" wrapText="1"/>
      <protection hidden="1"/>
    </xf>
    <xf numFmtId="0" fontId="11" fillId="17" borderId="71" xfId="0" applyFont="1" applyFill="1" applyBorder="1" applyAlignment="1" applyProtection="1">
      <alignment horizontal="center" vertical="center"/>
      <protection locked="0"/>
    </xf>
    <xf numFmtId="0" fontId="11" fillId="17" borderId="43" xfId="0" applyFont="1" applyFill="1" applyBorder="1" applyAlignment="1" applyProtection="1">
      <alignment horizontal="center" vertical="center"/>
      <protection locked="0"/>
    </xf>
    <xf numFmtId="3" fontId="20" fillId="24" borderId="71" xfId="40" applyNumberFormat="1" applyFont="1" applyFill="1" applyBorder="1" applyAlignment="1" applyProtection="1">
      <alignment horizontal="center" vertical="center" wrapText="1"/>
      <protection hidden="1"/>
    </xf>
    <xf numFmtId="3" fontId="20" fillId="24" borderId="43" xfId="40" applyNumberFormat="1" applyFont="1" applyFill="1" applyBorder="1" applyAlignment="1" applyProtection="1">
      <alignment horizontal="center" vertical="center" wrapText="1"/>
      <protection hidden="1"/>
    </xf>
    <xf numFmtId="0" fontId="41" fillId="26" borderId="20" xfId="42" applyFont="1" applyFill="1" applyBorder="1" applyAlignment="1" applyProtection="1">
      <alignment horizontal="center" vertical="center" wrapText="1"/>
      <protection hidden="1"/>
    </xf>
    <xf numFmtId="0" fontId="0" fillId="26" borderId="21" xfId="0" applyFill="1" applyBorder="1" applyAlignment="1" applyProtection="1">
      <alignment horizontal="center" vertical="center" wrapText="1"/>
      <protection hidden="1"/>
    </xf>
    <xf numFmtId="0" fontId="41" fillId="26" borderId="0" xfId="42" applyFont="1" applyFill="1" applyBorder="1" applyAlignment="1" applyProtection="1">
      <alignment horizontal="center" vertical="center"/>
      <protection hidden="1"/>
    </xf>
    <xf numFmtId="0" fontId="41" fillId="26" borderId="21" xfId="42" applyFont="1" applyFill="1" applyBorder="1" applyAlignment="1" applyProtection="1">
      <alignment horizontal="center" vertical="center"/>
      <protection hidden="1"/>
    </xf>
    <xf numFmtId="0" fontId="31" fillId="26" borderId="0" xfId="42" applyFont="1" applyFill="1" applyAlignment="1" applyProtection="1">
      <alignment horizontal="justify" vertical="top" wrapText="1"/>
      <protection hidden="1"/>
    </xf>
    <xf numFmtId="0" fontId="41" fillId="64" borderId="54" xfId="42" applyFont="1" applyFill="1" applyBorder="1" applyAlignment="1" applyProtection="1">
      <alignment horizontal="center" vertical="center" wrapText="1"/>
      <protection hidden="1"/>
    </xf>
    <xf numFmtId="0" fontId="41" fillId="27" borderId="74" xfId="42" applyFont="1" applyFill="1" applyBorder="1" applyAlignment="1" applyProtection="1">
      <alignment horizontal="center" vertical="center" wrapText="1"/>
      <protection hidden="1"/>
    </xf>
    <xf numFmtId="0" fontId="41" fillId="64" borderId="33" xfId="42" applyFont="1" applyFill="1" applyBorder="1" applyAlignment="1" applyProtection="1">
      <alignment vertical="center" wrapText="1"/>
      <protection hidden="1"/>
    </xf>
    <xf numFmtId="0" fontId="41" fillId="27" borderId="104" xfId="42" applyFont="1" applyFill="1" applyBorder="1" applyAlignment="1" applyProtection="1">
      <alignment vertical="center" wrapText="1"/>
      <protection hidden="1"/>
    </xf>
    <xf numFmtId="0" fontId="41" fillId="26" borderId="101" xfId="42" applyFont="1" applyFill="1" applyBorder="1" applyAlignment="1" applyProtection="1">
      <alignment horizontal="center" wrapText="1"/>
      <protection hidden="1"/>
    </xf>
    <xf numFmtId="0" fontId="0" fillId="26" borderId="102" xfId="0" applyFill="1" applyBorder="1" applyAlignment="1" applyProtection="1">
      <alignment horizontal="center" wrapText="1"/>
      <protection hidden="1"/>
    </xf>
    <xf numFmtId="0" fontId="44" fillId="64" borderId="49" xfId="42" applyFont="1" applyFill="1" applyBorder="1" applyAlignment="1" applyProtection="1">
      <alignment horizontal="right" vertical="center"/>
      <protection hidden="1"/>
    </xf>
    <xf numFmtId="0" fontId="44" fillId="27" borderId="105" xfId="42" applyFont="1" applyFill="1" applyBorder="1" applyAlignment="1" applyProtection="1">
      <alignment horizontal="right" vertical="center"/>
      <protection hidden="1"/>
    </xf>
    <xf numFmtId="0" fontId="65" fillId="26" borderId="0" xfId="42" applyFont="1" applyFill="1" applyAlignment="1" applyProtection="1">
      <alignment horizontal="center"/>
      <protection hidden="1"/>
    </xf>
    <xf numFmtId="0" fontId="64" fillId="64" borderId="49" xfId="42" applyFont="1" applyFill="1" applyBorder="1" applyAlignment="1" applyProtection="1">
      <protection hidden="1"/>
    </xf>
    <xf numFmtId="0" fontId="64" fillId="64" borderId="49" xfId="42" applyFont="1" applyFill="1" applyBorder="1" applyAlignment="1" applyProtection="1">
      <alignment horizontal="center"/>
      <protection hidden="1"/>
    </xf>
    <xf numFmtId="0" fontId="64" fillId="27" borderId="105" xfId="42" applyFont="1" applyFill="1" applyBorder="1" applyAlignment="1" applyProtection="1">
      <alignment horizontal="center"/>
      <protection hidden="1"/>
    </xf>
    <xf numFmtId="0" fontId="44" fillId="64" borderId="49" xfId="41" applyFont="1" applyFill="1" applyBorder="1" applyAlignment="1" applyProtection="1">
      <alignment horizontal="right" vertical="center"/>
      <protection hidden="1"/>
    </xf>
    <xf numFmtId="0" fontId="44" fillId="27" borderId="79" xfId="41" applyFont="1" applyFill="1" applyBorder="1" applyAlignment="1" applyProtection="1">
      <alignment horizontal="right" vertical="center"/>
      <protection hidden="1"/>
    </xf>
    <xf numFmtId="0" fontId="44" fillId="27" borderId="105" xfId="41" applyFont="1" applyFill="1" applyBorder="1" applyAlignment="1" applyProtection="1">
      <alignment horizontal="right" vertical="center"/>
      <protection hidden="1"/>
    </xf>
    <xf numFmtId="0" fontId="41" fillId="26" borderId="0" xfId="42" applyFont="1" applyFill="1" applyBorder="1" applyAlignment="1" applyProtection="1">
      <alignment vertical="top" wrapText="1"/>
      <protection hidden="1"/>
    </xf>
    <xf numFmtId="0" fontId="31" fillId="26" borderId="0" xfId="42" applyFont="1" applyFill="1" applyBorder="1" applyAlignment="1" applyProtection="1">
      <alignment vertical="top" wrapText="1"/>
      <protection hidden="1"/>
    </xf>
    <xf numFmtId="0" fontId="41" fillId="26" borderId="0" xfId="42" applyFont="1" applyFill="1" applyBorder="1" applyAlignment="1" applyProtection="1">
      <alignment horizontal="center" vertical="top" wrapText="1"/>
      <protection hidden="1"/>
    </xf>
    <xf numFmtId="0" fontId="0" fillId="0" borderId="47" xfId="0" applyBorder="1" applyAlignment="1" applyProtection="1">
      <alignment horizontal="left" vertical="top" wrapText="1"/>
      <protection hidden="1"/>
    </xf>
    <xf numFmtId="0" fontId="12" fillId="17" borderId="71" xfId="0" applyFont="1" applyFill="1" applyBorder="1" applyAlignment="1" applyProtection="1">
      <alignment horizontal="left" vertical="top" wrapText="1"/>
      <protection hidden="1"/>
    </xf>
    <xf numFmtId="0" fontId="55" fillId="17" borderId="94" xfId="0" applyFont="1" applyFill="1" applyBorder="1" applyAlignment="1" applyProtection="1">
      <alignment horizontal="left" vertical="top" wrapText="1"/>
      <protection hidden="1"/>
    </xf>
    <xf numFmtId="0" fontId="0" fillId="0" borderId="43" xfId="0" applyBorder="1" applyAlignment="1" applyProtection="1">
      <alignment horizontal="left" vertical="top" wrapText="1"/>
      <protection hidden="1"/>
    </xf>
    <xf numFmtId="0" fontId="66" fillId="17" borderId="113" xfId="40" applyNumberFormat="1" applyFont="1" applyFill="1" applyBorder="1" applyAlignment="1" applyProtection="1">
      <alignment horizontal="center" vertical="center" wrapText="1"/>
      <protection locked="0"/>
    </xf>
    <xf numFmtId="0" fontId="66" fillId="17" borderId="48" xfId="40" applyNumberFormat="1" applyFont="1" applyFill="1" applyBorder="1" applyAlignment="1" applyProtection="1">
      <alignment horizontal="center" vertical="center" wrapText="1"/>
      <protection locked="0"/>
    </xf>
    <xf numFmtId="0" fontId="12" fillId="17" borderId="71" xfId="40" applyFont="1" applyFill="1" applyBorder="1" applyAlignment="1" applyProtection="1">
      <alignment horizontal="center" vertical="center" wrapText="1"/>
      <protection hidden="1"/>
    </xf>
    <xf numFmtId="0" fontId="12" fillId="17" borderId="43" xfId="40" applyFont="1" applyFill="1" applyBorder="1" applyAlignment="1" applyProtection="1">
      <alignment horizontal="center" vertical="center" wrapText="1"/>
      <protection hidden="1"/>
    </xf>
    <xf numFmtId="0" fontId="187" fillId="42" borderId="0" xfId="114" applyFont="1" applyFill="1" applyBorder="1" applyAlignment="1">
      <alignment horizontal="left"/>
    </xf>
    <xf numFmtId="0" fontId="193" fillId="0" borderId="182" xfId="114" applyFont="1" applyBorder="1"/>
    <xf numFmtId="0" fontId="187" fillId="42" borderId="0" xfId="114" applyFont="1" applyFill="1" applyBorder="1" applyAlignment="1"/>
    <xf numFmtId="4" fontId="187" fillId="68" borderId="0" xfId="114" applyNumberFormat="1" applyFont="1" applyFill="1" applyBorder="1" applyAlignment="1">
      <alignment horizontal="center"/>
    </xf>
    <xf numFmtId="0" fontId="187" fillId="42" borderId="0" xfId="114" applyFont="1" applyFill="1" applyBorder="1" applyAlignment="1">
      <alignment horizontal="right"/>
    </xf>
    <xf numFmtId="0" fontId="166" fillId="37" borderId="0" xfId="114" applyFont="1" applyFill="1" applyAlignment="1">
      <alignment horizontal="left" wrapText="1"/>
    </xf>
    <xf numFmtId="20" fontId="187" fillId="41" borderId="0" xfId="114" applyNumberFormat="1" applyFont="1" applyFill="1" applyBorder="1" applyAlignment="1">
      <alignment horizontal="center" vertical="center" wrapText="1"/>
    </xf>
    <xf numFmtId="0" fontId="187" fillId="48" borderId="0" xfId="114" applyFont="1" applyFill="1" applyBorder="1" applyAlignment="1">
      <alignment horizontal="left"/>
    </xf>
    <xf numFmtId="20" fontId="187" fillId="41" borderId="0" xfId="114" applyNumberFormat="1" applyFont="1" applyFill="1" applyBorder="1" applyAlignment="1">
      <alignment horizontal="center" wrapText="1"/>
    </xf>
    <xf numFmtId="20" fontId="187" fillId="41" borderId="188" xfId="114" applyNumberFormat="1" applyFont="1" applyFill="1" applyBorder="1" applyAlignment="1">
      <alignment horizontal="center" wrapText="1"/>
    </xf>
    <xf numFmtId="0" fontId="179" fillId="35" borderId="184" xfId="115" applyNumberFormat="1" applyFont="1" applyFill="1" applyBorder="1" applyAlignment="1" applyProtection="1">
      <alignment horizontal="center"/>
      <protection locked="0"/>
    </xf>
    <xf numFmtId="0" fontId="179" fillId="35" borderId="171" xfId="115" applyNumberFormat="1" applyFont="1" applyFill="1" applyBorder="1" applyAlignment="1" applyProtection="1">
      <alignment horizontal="center"/>
      <protection locked="0"/>
    </xf>
    <xf numFmtId="0" fontId="187" fillId="62" borderId="0" xfId="114" applyFont="1" applyFill="1" applyBorder="1" applyAlignment="1">
      <alignment horizontal="left"/>
    </xf>
    <xf numFmtId="20" fontId="184" fillId="34" borderId="0" xfId="114" applyNumberFormat="1" applyFont="1" applyFill="1" applyBorder="1" applyAlignment="1">
      <alignment horizontal="center"/>
    </xf>
    <xf numFmtId="20" fontId="184" fillId="34" borderId="0" xfId="114" applyNumberFormat="1" applyFont="1" applyFill="1" applyBorder="1" applyAlignment="1">
      <alignment horizontal="center" wrapText="1"/>
    </xf>
    <xf numFmtId="4" fontId="187" fillId="61" borderId="0" xfId="114" applyNumberFormat="1" applyFont="1" applyFill="1" applyBorder="1" applyAlignment="1">
      <alignment horizontal="center" vertical="center" wrapText="1"/>
    </xf>
    <xf numFmtId="0" fontId="179" fillId="35" borderId="178" xfId="115" applyNumberFormat="1" applyFont="1" applyFill="1" applyBorder="1" applyAlignment="1" applyProtection="1">
      <alignment horizontal="center"/>
      <protection locked="0"/>
    </xf>
    <xf numFmtId="0" fontId="179" fillId="35" borderId="193" xfId="115" applyNumberFormat="1" applyFont="1" applyFill="1" applyBorder="1" applyAlignment="1" applyProtection="1">
      <alignment horizontal="center"/>
      <protection locked="0"/>
    </xf>
    <xf numFmtId="0" fontId="187" fillId="61" borderId="0" xfId="114" applyFont="1" applyFill="1" applyBorder="1" applyAlignment="1">
      <alignment horizontal="left"/>
    </xf>
    <xf numFmtId="20" fontId="166" fillId="41" borderId="0" xfId="52" applyNumberFormat="1" applyFont="1" applyFill="1" applyBorder="1" applyAlignment="1">
      <alignment horizontal="left"/>
    </xf>
    <xf numFmtId="20" fontId="184" fillId="41" borderId="0" xfId="114" applyNumberFormat="1" applyFont="1" applyFill="1" applyBorder="1" applyAlignment="1">
      <alignment horizontal="center" wrapText="1"/>
    </xf>
    <xf numFmtId="0" fontId="166" fillId="67" borderId="0" xfId="114" applyFont="1" applyFill="1" applyAlignment="1">
      <alignment horizontal="center"/>
    </xf>
    <xf numFmtId="4" fontId="184" fillId="43" borderId="0" xfId="114" applyNumberFormat="1" applyFont="1" applyFill="1" applyBorder="1" applyAlignment="1">
      <alignment horizontal="left"/>
    </xf>
    <xf numFmtId="3" fontId="184" fillId="44" borderId="0" xfId="114" applyNumberFormat="1" applyFont="1" applyFill="1" applyBorder="1" applyAlignment="1">
      <alignment horizontal="left"/>
    </xf>
    <xf numFmtId="0" fontId="184" fillId="37" borderId="0" xfId="114" applyFont="1" applyFill="1" applyAlignment="1">
      <alignment horizontal="center"/>
    </xf>
    <xf numFmtId="0" fontId="6" fillId="35" borderId="183" xfId="115" applyNumberFormat="1" applyFont="1" applyFill="1" applyBorder="1" applyAlignment="1" applyProtection="1">
      <alignment horizontal="center"/>
      <protection locked="0"/>
    </xf>
    <xf numFmtId="0" fontId="6" fillId="35" borderId="0" xfId="115" applyNumberFormat="1" applyFont="1" applyFill="1" applyBorder="1" applyAlignment="1" applyProtection="1">
      <alignment horizontal="center"/>
      <protection locked="0"/>
    </xf>
    <xf numFmtId="20" fontId="166" fillId="41" borderId="170" xfId="52" applyNumberFormat="1" applyFont="1" applyFill="1" applyBorder="1" applyAlignment="1">
      <alignment horizontal="center"/>
    </xf>
    <xf numFmtId="20" fontId="166" fillId="41" borderId="171" xfId="52" applyNumberFormat="1" applyFont="1" applyFill="1" applyBorder="1" applyAlignment="1">
      <alignment horizontal="center"/>
    </xf>
    <xf numFmtId="20" fontId="187" fillId="41" borderId="0" xfId="114" applyNumberFormat="1" applyFont="1" applyFill="1" applyBorder="1" applyAlignment="1">
      <alignment horizontal="center"/>
    </xf>
    <xf numFmtId="20" fontId="187" fillId="41" borderId="0" xfId="114" applyNumberFormat="1" applyFont="1" applyFill="1" applyBorder="1" applyAlignment="1">
      <alignment horizontal="left"/>
    </xf>
    <xf numFmtId="20" fontId="187" fillId="41" borderId="182" xfId="114" applyNumberFormat="1" applyFont="1" applyFill="1" applyBorder="1" applyAlignment="1">
      <alignment horizontal="left"/>
    </xf>
    <xf numFmtId="0" fontId="6" fillId="35" borderId="182" xfId="115" applyNumberFormat="1" applyFont="1" applyFill="1" applyBorder="1" applyAlignment="1" applyProtection="1">
      <alignment horizontal="center"/>
      <protection locked="0"/>
    </xf>
    <xf numFmtId="0" fontId="187" fillId="41" borderId="0" xfId="114" applyFont="1" applyFill="1" applyAlignment="1">
      <alignment horizontal="center" wrapText="1"/>
    </xf>
    <xf numFmtId="0" fontId="187" fillId="41" borderId="182" xfId="114" applyFont="1" applyFill="1" applyBorder="1" applyAlignment="1">
      <alignment horizontal="center" wrapText="1"/>
    </xf>
    <xf numFmtId="20" fontId="187" fillId="43" borderId="0" xfId="114" applyNumberFormat="1" applyFont="1" applyFill="1" applyBorder="1" applyAlignment="1">
      <alignment horizontal="center" wrapText="1"/>
    </xf>
    <xf numFmtId="3" fontId="187" fillId="44" borderId="195" xfId="114" applyNumberFormat="1" applyFont="1" applyFill="1" applyBorder="1" applyAlignment="1">
      <alignment horizontal="center" wrapText="1"/>
    </xf>
    <xf numFmtId="3" fontId="187" fillId="44" borderId="0" xfId="114" applyNumberFormat="1" applyFont="1" applyFill="1" applyBorder="1" applyAlignment="1">
      <alignment horizontal="center" wrapText="1"/>
    </xf>
    <xf numFmtId="3" fontId="187" fillId="44" borderId="0" xfId="114" applyNumberFormat="1" applyFont="1" applyFill="1" applyBorder="1" applyAlignment="1">
      <alignment horizontal="left" wrapText="1"/>
    </xf>
    <xf numFmtId="0" fontId="166" fillId="42" borderId="206" xfId="52" applyFont="1" applyFill="1" applyBorder="1" applyAlignment="1">
      <alignment horizontal="left" wrapText="1"/>
    </xf>
    <xf numFmtId="0" fontId="166" fillId="42" borderId="177" xfId="52" applyFont="1" applyFill="1" applyBorder="1" applyAlignment="1">
      <alignment horizontal="left" wrapText="1"/>
    </xf>
    <xf numFmtId="0" fontId="12" fillId="35" borderId="206" xfId="115" applyNumberFormat="1" applyFont="1" applyFill="1" applyBorder="1" applyAlignment="1">
      <alignment horizontal="center" vertical="center"/>
    </xf>
    <xf numFmtId="0" fontId="12" fillId="35" borderId="177" xfId="115" applyNumberFormat="1" applyFont="1" applyFill="1" applyBorder="1" applyAlignment="1">
      <alignment horizontal="center" vertical="center"/>
    </xf>
    <xf numFmtId="0" fontId="190" fillId="35" borderId="195" xfId="115" applyNumberFormat="1" applyFont="1" applyFill="1" applyBorder="1" applyAlignment="1" applyProtection="1">
      <alignment horizontal="center" vertical="center"/>
      <protection locked="0"/>
    </xf>
    <xf numFmtId="0" fontId="190" fillId="35" borderId="0" xfId="115" applyNumberFormat="1" applyFont="1" applyFill="1" applyBorder="1" applyAlignment="1" applyProtection="1">
      <alignment horizontal="center" vertical="center"/>
      <protection locked="0"/>
    </xf>
    <xf numFmtId="20" fontId="166" fillId="41" borderId="184" xfId="52" applyNumberFormat="1" applyFont="1" applyFill="1" applyBorder="1" applyAlignment="1">
      <alignment horizontal="left"/>
    </xf>
    <xf numFmtId="20" fontId="166" fillId="41" borderId="171" xfId="52" applyNumberFormat="1" applyFont="1" applyFill="1" applyBorder="1" applyAlignment="1">
      <alignment horizontal="left"/>
    </xf>
    <xf numFmtId="0" fontId="166" fillId="42" borderId="184" xfId="52" applyFont="1" applyFill="1" applyBorder="1" applyAlignment="1">
      <alignment horizontal="left"/>
    </xf>
    <xf numFmtId="0" fontId="166" fillId="42" borderId="171" xfId="52" applyFont="1" applyFill="1" applyBorder="1" applyAlignment="1">
      <alignment horizontal="left"/>
    </xf>
    <xf numFmtId="0" fontId="187" fillId="37" borderId="0" xfId="114" applyFont="1" applyFill="1" applyAlignment="1">
      <alignment horizontal="left" wrapText="1"/>
    </xf>
    <xf numFmtId="0" fontId="187" fillId="37" borderId="182" xfId="114" applyFont="1" applyFill="1" applyBorder="1" applyAlignment="1">
      <alignment horizontal="left" wrapText="1"/>
    </xf>
    <xf numFmtId="0" fontId="190" fillId="35" borderId="194" xfId="115" applyNumberFormat="1" applyFont="1" applyFill="1" applyBorder="1" applyAlignment="1" applyProtection="1">
      <alignment horizontal="center" vertical="center"/>
      <protection locked="0"/>
    </xf>
    <xf numFmtId="0" fontId="190" fillId="35" borderId="183" xfId="115" applyNumberFormat="1" applyFont="1" applyFill="1" applyBorder="1" applyAlignment="1" applyProtection="1">
      <alignment horizontal="center" vertical="center"/>
      <protection locked="0"/>
    </xf>
    <xf numFmtId="0" fontId="187" fillId="41" borderId="0" xfId="114" applyFont="1" applyFill="1" applyAlignment="1">
      <alignment horizontal="left"/>
    </xf>
    <xf numFmtId="0" fontId="187" fillId="41" borderId="182" xfId="114" applyFont="1" applyFill="1" applyBorder="1" applyAlignment="1">
      <alignment horizontal="left"/>
    </xf>
    <xf numFmtId="3" fontId="187" fillId="44" borderId="223" xfId="114" applyNumberFormat="1" applyFont="1" applyFill="1" applyBorder="1" applyAlignment="1">
      <alignment horizontal="center" wrapText="1"/>
    </xf>
    <xf numFmtId="0" fontId="190" fillId="35" borderId="183" xfId="115" applyNumberFormat="1" applyFont="1" applyFill="1" applyBorder="1" applyAlignment="1" applyProtection="1">
      <alignment horizontal="center"/>
      <protection locked="0"/>
    </xf>
    <xf numFmtId="0" fontId="190" fillId="35" borderId="0" xfId="115" applyNumberFormat="1" applyFont="1" applyFill="1" applyBorder="1" applyAlignment="1" applyProtection="1">
      <alignment horizontal="center"/>
      <protection locked="0"/>
    </xf>
    <xf numFmtId="20" fontId="187" fillId="43" borderId="223" xfId="114" applyNumberFormat="1" applyFont="1" applyFill="1" applyBorder="1" applyAlignment="1">
      <alignment horizontal="center" wrapText="1"/>
    </xf>
    <xf numFmtId="20" fontId="187" fillId="54" borderId="185" xfId="114" applyNumberFormat="1" applyFont="1" applyFill="1" applyBorder="1" applyAlignment="1">
      <alignment horizontal="left" wrapText="1"/>
    </xf>
    <xf numFmtId="20" fontId="187" fillId="54" borderId="186" xfId="114" applyNumberFormat="1" applyFont="1" applyFill="1" applyBorder="1" applyAlignment="1">
      <alignment horizontal="left" wrapText="1"/>
    </xf>
    <xf numFmtId="20" fontId="187" fillId="43" borderId="186" xfId="114" applyNumberFormat="1" applyFont="1" applyFill="1" applyBorder="1" applyAlignment="1">
      <alignment horizontal="center" wrapText="1"/>
    </xf>
    <xf numFmtId="20" fontId="187" fillId="58" borderId="186" xfId="114" applyNumberFormat="1" applyFont="1" applyFill="1" applyBorder="1" applyAlignment="1">
      <alignment horizontal="left" wrapText="1"/>
    </xf>
    <xf numFmtId="20" fontId="184" fillId="41" borderId="188" xfId="114" applyNumberFormat="1" applyFont="1" applyFill="1" applyBorder="1" applyAlignment="1">
      <alignment horizontal="center" wrapText="1"/>
    </xf>
    <xf numFmtId="20" fontId="184" fillId="41" borderId="216" xfId="114" applyNumberFormat="1" applyFont="1" applyFill="1" applyBorder="1" applyAlignment="1">
      <alignment horizontal="center" wrapText="1"/>
    </xf>
    <xf numFmtId="0" fontId="190" fillId="35" borderId="176" xfId="115" applyNumberFormat="1" applyFont="1" applyFill="1" applyBorder="1" applyAlignment="1" applyProtection="1">
      <alignment horizontal="center"/>
      <protection locked="0"/>
    </xf>
    <xf numFmtId="9" fontId="190" fillId="35" borderId="176" xfId="115" applyNumberFormat="1" applyFont="1" applyFill="1" applyBorder="1" applyAlignment="1" applyProtection="1">
      <alignment horizontal="center" wrapText="1"/>
      <protection locked="0"/>
    </xf>
    <xf numFmtId="20" fontId="166" fillId="41" borderId="0" xfId="52" applyNumberFormat="1" applyFont="1" applyFill="1" applyBorder="1" applyAlignment="1">
      <alignment horizontal="center" wrapText="1"/>
    </xf>
    <xf numFmtId="9" fontId="190" fillId="35" borderId="176" xfId="115" applyNumberFormat="1" applyFont="1" applyFill="1" applyBorder="1" applyAlignment="1" applyProtection="1">
      <alignment horizontal="center"/>
      <protection locked="0"/>
    </xf>
    <xf numFmtId="3" fontId="190" fillId="35" borderId="184" xfId="115" applyNumberFormat="1" applyFont="1" applyFill="1" applyBorder="1" applyAlignment="1" applyProtection="1">
      <alignment horizontal="center"/>
      <protection locked="0"/>
    </xf>
    <xf numFmtId="3" fontId="190" fillId="35" borderId="171" xfId="115" applyNumberFormat="1" applyFont="1" applyFill="1" applyBorder="1" applyAlignment="1" applyProtection="1">
      <alignment horizontal="center"/>
      <protection locked="0"/>
    </xf>
    <xf numFmtId="3" fontId="187" fillId="43" borderId="184" xfId="114" applyNumberFormat="1" applyFont="1" applyFill="1" applyBorder="1" applyAlignment="1">
      <alignment horizontal="center"/>
    </xf>
    <xf numFmtId="3" fontId="187" fillId="43" borderId="171" xfId="114" applyNumberFormat="1" applyFont="1" applyFill="1" applyBorder="1" applyAlignment="1">
      <alignment horizontal="center"/>
    </xf>
    <xf numFmtId="20" fontId="184" fillId="41" borderId="179" xfId="114" applyNumberFormat="1" applyFont="1" applyFill="1" applyBorder="1" applyAlignment="1">
      <alignment horizontal="center" wrapText="1"/>
    </xf>
    <xf numFmtId="20" fontId="184" fillId="43" borderId="0" xfId="114" applyNumberFormat="1" applyFont="1" applyFill="1" applyBorder="1" applyAlignment="1">
      <alignment horizontal="center"/>
    </xf>
    <xf numFmtId="20" fontId="184" fillId="44" borderId="0" xfId="114" applyNumberFormat="1" applyFont="1" applyFill="1" applyBorder="1" applyAlignment="1">
      <alignment horizontal="center"/>
    </xf>
    <xf numFmtId="20" fontId="184" fillId="41" borderId="180" xfId="114" applyNumberFormat="1" applyFont="1" applyFill="1" applyBorder="1" applyAlignment="1">
      <alignment horizontal="center" wrapText="1"/>
    </xf>
    <xf numFmtId="20" fontId="184" fillId="41" borderId="181" xfId="114" applyNumberFormat="1" applyFont="1" applyFill="1" applyBorder="1" applyAlignment="1">
      <alignment horizontal="center" wrapText="1"/>
    </xf>
    <xf numFmtId="0" fontId="190" fillId="35" borderId="184" xfId="115" applyFont="1" applyFill="1" applyBorder="1" applyAlignment="1" applyProtection="1">
      <alignment horizontal="center"/>
      <protection locked="0"/>
    </xf>
    <xf numFmtId="0" fontId="190" fillId="35" borderId="171" xfId="115" applyFont="1" applyFill="1" applyBorder="1" applyAlignment="1" applyProtection="1">
      <alignment horizontal="center"/>
      <protection locked="0"/>
    </xf>
    <xf numFmtId="0" fontId="187" fillId="42" borderId="177" xfId="52" applyFont="1" applyFill="1" applyBorder="1" applyAlignment="1">
      <alignment horizontal="left"/>
    </xf>
    <xf numFmtId="0" fontId="187" fillId="42" borderId="176" xfId="52" applyFont="1" applyFill="1" applyBorder="1" applyAlignment="1">
      <alignment horizontal="left"/>
    </xf>
    <xf numFmtId="20" fontId="184" fillId="43" borderId="175" xfId="114" applyNumberFormat="1" applyFont="1" applyFill="1" applyBorder="1" applyAlignment="1">
      <alignment horizontal="left" wrapText="1"/>
    </xf>
    <xf numFmtId="3" fontId="184" fillId="44" borderId="175" xfId="114" applyNumberFormat="1" applyFont="1" applyFill="1" applyBorder="1" applyAlignment="1">
      <alignment horizontal="center"/>
    </xf>
    <xf numFmtId="20" fontId="187" fillId="43" borderId="0" xfId="114" applyNumberFormat="1" applyFont="1" applyFill="1" applyBorder="1" applyAlignment="1">
      <alignment horizontal="right" wrapText="1"/>
    </xf>
    <xf numFmtId="3" fontId="187" fillId="44" borderId="0" xfId="114" applyNumberFormat="1" applyFont="1" applyFill="1" applyBorder="1" applyAlignment="1">
      <alignment horizontal="right"/>
    </xf>
    <xf numFmtId="0" fontId="187" fillId="41" borderId="0" xfId="114" applyFont="1" applyFill="1" applyAlignment="1">
      <alignment horizontal="center"/>
    </xf>
    <xf numFmtId="173" fontId="18" fillId="35" borderId="177" xfId="115" applyNumberFormat="1" applyFont="1" applyFill="1" applyBorder="1" applyAlignment="1">
      <alignment horizontal="center" wrapText="1"/>
    </xf>
    <xf numFmtId="0" fontId="190" fillId="35" borderId="176" xfId="115" applyNumberFormat="1" applyFont="1" applyFill="1" applyBorder="1" applyAlignment="1">
      <alignment horizontal="center" wrapText="1"/>
    </xf>
    <xf numFmtId="3" fontId="187" fillId="44" borderId="0" xfId="114" applyNumberFormat="1" applyFont="1" applyFill="1" applyBorder="1" applyAlignment="1">
      <alignment horizontal="center"/>
    </xf>
    <xf numFmtId="0" fontId="18" fillId="35" borderId="176" xfId="115" applyNumberFormat="1" applyFont="1" applyFill="1" applyBorder="1" applyAlignment="1">
      <alignment horizontal="center" wrapText="1"/>
    </xf>
    <xf numFmtId="20" fontId="187" fillId="41" borderId="0" xfId="114" applyNumberFormat="1" applyFont="1" applyFill="1" applyBorder="1" applyAlignment="1">
      <alignment horizontal="left" wrapText="1"/>
    </xf>
    <xf numFmtId="0" fontId="190" fillId="35" borderId="178" xfId="115" applyNumberFormat="1" applyFont="1" applyFill="1" applyBorder="1" applyAlignment="1" applyProtection="1">
      <alignment horizontal="left"/>
      <protection locked="0"/>
    </xf>
    <xf numFmtId="0" fontId="190" fillId="35" borderId="188" xfId="115" applyNumberFormat="1" applyFont="1" applyFill="1" applyBorder="1" applyAlignment="1" applyProtection="1">
      <alignment horizontal="left"/>
      <protection locked="0"/>
    </xf>
    <xf numFmtId="0" fontId="190" fillId="35" borderId="193" xfId="115" applyNumberFormat="1" applyFont="1" applyFill="1" applyBorder="1" applyAlignment="1" applyProtection="1">
      <alignment horizontal="left"/>
      <protection locked="0"/>
    </xf>
    <xf numFmtId="0" fontId="222" fillId="37" borderId="0" xfId="114" applyFont="1" applyFill="1" applyBorder="1" applyAlignment="1">
      <alignment horizontal="center" vertical="top" wrapText="1"/>
    </xf>
    <xf numFmtId="0" fontId="190" fillId="35" borderId="184" xfId="115" applyNumberFormat="1" applyFont="1" applyFill="1" applyBorder="1" applyAlignment="1" applyProtection="1">
      <alignment horizontal="left"/>
      <protection locked="0"/>
    </xf>
    <xf numFmtId="0" fontId="190" fillId="35" borderId="170" xfId="115" applyNumberFormat="1" applyFont="1" applyFill="1" applyBorder="1" applyAlignment="1" applyProtection="1">
      <alignment horizontal="left"/>
      <protection locked="0"/>
    </xf>
    <xf numFmtId="0" fontId="190" fillId="35" borderId="171" xfId="115" applyNumberFormat="1" applyFont="1" applyFill="1" applyBorder="1" applyAlignment="1" applyProtection="1">
      <alignment horizontal="left"/>
      <protection locked="0"/>
    </xf>
    <xf numFmtId="0" fontId="199" fillId="34" borderId="176" xfId="114" applyFont="1" applyFill="1" applyBorder="1" applyAlignment="1">
      <alignment horizontal="center"/>
    </xf>
    <xf numFmtId="20" fontId="187" fillId="41" borderId="182" xfId="114" applyNumberFormat="1" applyFont="1" applyFill="1" applyBorder="1" applyAlignment="1">
      <alignment horizontal="left" wrapText="1"/>
    </xf>
    <xf numFmtId="0" fontId="190" fillId="0" borderId="183" xfId="114" applyFont="1" applyBorder="1" applyAlignment="1" applyProtection="1">
      <alignment horizontal="center"/>
      <protection locked="0"/>
    </xf>
    <xf numFmtId="0" fontId="190" fillId="0" borderId="0" xfId="114" applyFont="1" applyBorder="1" applyAlignment="1" applyProtection="1">
      <alignment horizontal="center"/>
      <protection locked="0"/>
    </xf>
    <xf numFmtId="0" fontId="199" fillId="34" borderId="206" xfId="114" applyFont="1" applyFill="1" applyBorder="1" applyAlignment="1">
      <alignment horizontal="center"/>
    </xf>
    <xf numFmtId="0" fontId="197" fillId="0" borderId="61" xfId="114" applyFont="1" applyBorder="1" applyAlignment="1">
      <alignment horizontal="left"/>
    </xf>
    <xf numFmtId="0" fontId="197" fillId="0" borderId="64" xfId="114" applyFont="1" applyBorder="1" applyAlignment="1">
      <alignment horizontal="left"/>
    </xf>
    <xf numFmtId="0" fontId="197" fillId="0" borderId="10" xfId="114" applyFont="1" applyBorder="1" applyAlignment="1">
      <alignment horizontal="left"/>
    </xf>
    <xf numFmtId="3" fontId="184" fillId="42" borderId="195" xfId="114" applyNumberFormat="1" applyFont="1" applyFill="1" applyBorder="1" applyAlignment="1">
      <alignment horizontal="center" wrapText="1"/>
    </xf>
    <xf numFmtId="3" fontId="184" fillId="42" borderId="188" xfId="114" applyNumberFormat="1" applyFont="1" applyFill="1" applyBorder="1" applyAlignment="1">
      <alignment horizontal="center" wrapText="1"/>
    </xf>
    <xf numFmtId="3" fontId="184" fillId="42" borderId="0" xfId="114" applyNumberFormat="1" applyFont="1" applyFill="1" applyBorder="1" applyAlignment="1">
      <alignment horizontal="center" wrapText="1"/>
    </xf>
    <xf numFmtId="0" fontId="187" fillId="41" borderId="182" xfId="114" applyFont="1" applyFill="1" applyBorder="1" applyAlignment="1">
      <alignment horizontal="center"/>
    </xf>
    <xf numFmtId="3" fontId="194" fillId="34" borderId="184" xfId="114" applyNumberFormat="1" applyFont="1" applyFill="1" applyBorder="1" applyAlignment="1">
      <alignment horizontal="center"/>
    </xf>
    <xf numFmtId="3" fontId="194" fillId="34" borderId="171" xfId="114" applyNumberFormat="1" applyFont="1" applyFill="1" applyBorder="1" applyAlignment="1">
      <alignment horizontal="center"/>
    </xf>
    <xf numFmtId="3" fontId="184" fillId="42" borderId="0" xfId="114" applyNumberFormat="1" applyFont="1" applyFill="1" applyBorder="1" applyAlignment="1">
      <alignment horizontal="left"/>
    </xf>
    <xf numFmtId="20" fontId="184" fillId="43" borderId="188" xfId="114" applyNumberFormat="1" applyFont="1" applyFill="1" applyBorder="1" applyAlignment="1">
      <alignment horizontal="center" wrapText="1"/>
    </xf>
    <xf numFmtId="3" fontId="184" fillId="44" borderId="188" xfId="114" applyNumberFormat="1" applyFont="1" applyFill="1" applyBorder="1" applyAlignment="1">
      <alignment horizontal="center"/>
    </xf>
    <xf numFmtId="0" fontId="190" fillId="35" borderId="184" xfId="115" applyNumberFormat="1" applyFont="1" applyFill="1" applyBorder="1" applyAlignment="1" applyProtection="1">
      <alignment horizontal="center"/>
      <protection locked="0"/>
    </xf>
    <xf numFmtId="0" fontId="190" fillId="35" borderId="171" xfId="115" applyNumberFormat="1" applyFont="1" applyFill="1" applyBorder="1" applyAlignment="1" applyProtection="1">
      <alignment horizontal="center"/>
      <protection locked="0"/>
    </xf>
    <xf numFmtId="20" fontId="187" fillId="41" borderId="61" xfId="114" applyNumberFormat="1" applyFont="1" applyFill="1" applyBorder="1" applyAlignment="1">
      <alignment horizontal="left" wrapText="1"/>
    </xf>
    <xf numFmtId="20" fontId="187" fillId="41" borderId="64" xfId="114" applyNumberFormat="1" applyFont="1" applyFill="1" applyBorder="1" applyAlignment="1">
      <alignment horizontal="left" wrapText="1"/>
    </xf>
    <xf numFmtId="20" fontId="184" fillId="41" borderId="194" xfId="114" applyNumberFormat="1" applyFont="1" applyFill="1" applyBorder="1" applyAlignment="1">
      <alignment horizontal="center" wrapText="1"/>
    </xf>
    <xf numFmtId="20" fontId="184" fillId="41" borderId="178" xfId="114" applyNumberFormat="1" applyFont="1" applyFill="1" applyBorder="1" applyAlignment="1">
      <alignment horizontal="center" wrapText="1"/>
    </xf>
    <xf numFmtId="20" fontId="184" fillId="41" borderId="195" xfId="114" applyNumberFormat="1" applyFont="1" applyFill="1" applyBorder="1" applyAlignment="1">
      <alignment horizontal="center" wrapText="1"/>
    </xf>
    <xf numFmtId="20" fontId="184" fillId="41" borderId="230" xfId="114" applyNumberFormat="1" applyFont="1" applyFill="1" applyBorder="1" applyAlignment="1">
      <alignment horizontal="center" wrapText="1"/>
    </xf>
    <xf numFmtId="20" fontId="184" fillId="41" borderId="231" xfId="114" applyNumberFormat="1" applyFont="1" applyFill="1" applyBorder="1" applyAlignment="1">
      <alignment horizontal="center" wrapText="1"/>
    </xf>
    <xf numFmtId="20" fontId="184" fillId="41" borderId="183" xfId="114" applyNumberFormat="1" applyFont="1" applyFill="1" applyBorder="1" applyAlignment="1">
      <alignment horizontal="center" wrapText="1"/>
    </xf>
    <xf numFmtId="20" fontId="184" fillId="41" borderId="182" xfId="114" applyNumberFormat="1" applyFont="1" applyFill="1" applyBorder="1" applyAlignment="1">
      <alignment horizontal="center" wrapText="1"/>
    </xf>
    <xf numFmtId="20" fontId="184" fillId="41" borderId="193" xfId="114" applyNumberFormat="1" applyFont="1" applyFill="1" applyBorder="1" applyAlignment="1">
      <alignment horizontal="center" wrapText="1"/>
    </xf>
    <xf numFmtId="20" fontId="184" fillId="41" borderId="0" xfId="114" applyNumberFormat="1" applyFont="1" applyFill="1" applyBorder="1" applyAlignment="1">
      <alignment horizontal="left" wrapText="1"/>
    </xf>
    <xf numFmtId="20" fontId="184" fillId="41" borderId="189" xfId="114" applyNumberFormat="1" applyFont="1" applyFill="1" applyBorder="1" applyAlignment="1">
      <alignment horizontal="center" wrapText="1"/>
    </xf>
    <xf numFmtId="20" fontId="187" fillId="41" borderId="36" xfId="114" applyNumberFormat="1" applyFont="1" applyFill="1" applyBorder="1" applyAlignment="1">
      <alignment horizontal="center" wrapText="1"/>
    </xf>
    <xf numFmtId="20" fontId="187" fillId="41" borderId="37" xfId="114" applyNumberFormat="1" applyFont="1" applyFill="1" applyBorder="1" applyAlignment="1">
      <alignment horizontal="center" wrapText="1"/>
    </xf>
    <xf numFmtId="20" fontId="187" fillId="41" borderId="38" xfId="114" applyNumberFormat="1" applyFont="1" applyFill="1" applyBorder="1" applyAlignment="1">
      <alignment horizontal="center" wrapText="1"/>
    </xf>
    <xf numFmtId="20" fontId="187" fillId="41" borderId="39" xfId="114" applyNumberFormat="1" applyFont="1" applyFill="1" applyBorder="1" applyAlignment="1">
      <alignment horizontal="center" wrapText="1"/>
    </xf>
    <xf numFmtId="20" fontId="187" fillId="41" borderId="40" xfId="114" applyNumberFormat="1" applyFont="1" applyFill="1" applyBorder="1" applyAlignment="1">
      <alignment horizontal="center" wrapText="1"/>
    </xf>
    <xf numFmtId="20" fontId="187" fillId="41" borderId="41" xfId="114" applyNumberFormat="1" applyFont="1" applyFill="1" applyBorder="1" applyAlignment="1">
      <alignment horizontal="center" wrapText="1"/>
    </xf>
    <xf numFmtId="20" fontId="184" fillId="41" borderId="228" xfId="114" applyNumberFormat="1" applyFont="1" applyFill="1" applyBorder="1" applyAlignment="1">
      <alignment horizontal="center" wrapText="1"/>
    </xf>
    <xf numFmtId="20" fontId="184" fillId="41" borderId="170" xfId="114" applyNumberFormat="1" applyFont="1" applyFill="1" applyBorder="1" applyAlignment="1">
      <alignment horizontal="center" wrapText="1"/>
    </xf>
    <xf numFmtId="20" fontId="184" fillId="41" borderId="229" xfId="114" applyNumberFormat="1" applyFont="1" applyFill="1" applyBorder="1" applyAlignment="1">
      <alignment horizontal="center" wrapText="1"/>
    </xf>
    <xf numFmtId="20" fontId="184" fillId="41" borderId="176" xfId="114" applyNumberFormat="1" applyFont="1" applyFill="1" applyBorder="1" applyAlignment="1">
      <alignment horizontal="center" wrapText="1"/>
    </xf>
    <xf numFmtId="20" fontId="184" fillId="41" borderId="192" xfId="114" applyNumberFormat="1" applyFont="1" applyFill="1" applyBorder="1" applyAlignment="1">
      <alignment horizontal="center" wrapText="1"/>
    </xf>
    <xf numFmtId="20" fontId="184" fillId="41" borderId="191" xfId="114" applyNumberFormat="1" applyFont="1" applyFill="1" applyBorder="1" applyAlignment="1">
      <alignment horizontal="center" wrapText="1"/>
    </xf>
    <xf numFmtId="20" fontId="187" fillId="41" borderId="206" xfId="114" applyNumberFormat="1" applyFont="1" applyFill="1" applyBorder="1" applyAlignment="1">
      <alignment horizontal="left" wrapText="1"/>
    </xf>
    <xf numFmtId="20" fontId="187" fillId="41" borderId="177" xfId="114" applyNumberFormat="1" applyFont="1" applyFill="1" applyBorder="1" applyAlignment="1">
      <alignment horizontal="left" wrapText="1"/>
    </xf>
    <xf numFmtId="20" fontId="187" fillId="41" borderId="176" xfId="114" applyNumberFormat="1" applyFont="1" applyFill="1" applyBorder="1" applyAlignment="1">
      <alignment horizontal="center" wrapText="1"/>
    </xf>
    <xf numFmtId="20" fontId="187" fillId="41" borderId="194" xfId="114" applyNumberFormat="1" applyFont="1" applyFill="1" applyBorder="1" applyAlignment="1">
      <alignment horizontal="center" wrapText="1"/>
    </xf>
    <xf numFmtId="20" fontId="187" fillId="41" borderId="201" xfId="114" applyNumberFormat="1" applyFont="1" applyFill="1" applyBorder="1" applyAlignment="1">
      <alignment horizontal="center" wrapText="1"/>
    </xf>
    <xf numFmtId="20" fontId="187" fillId="41" borderId="178" xfId="114" applyNumberFormat="1" applyFont="1" applyFill="1" applyBorder="1" applyAlignment="1">
      <alignment horizontal="center" wrapText="1"/>
    </xf>
    <xf numFmtId="20" fontId="187" fillId="41" borderId="193" xfId="114" applyNumberFormat="1" applyFont="1" applyFill="1" applyBorder="1" applyAlignment="1">
      <alignment horizontal="center" wrapText="1"/>
    </xf>
    <xf numFmtId="20" fontId="187" fillId="41" borderId="206" xfId="114" applyNumberFormat="1" applyFont="1" applyFill="1" applyBorder="1" applyAlignment="1">
      <alignment horizontal="center" wrapText="1"/>
    </xf>
    <xf numFmtId="20" fontId="187" fillId="41" borderId="177" xfId="114" applyNumberFormat="1" applyFont="1" applyFill="1" applyBorder="1" applyAlignment="1">
      <alignment horizontal="center" wrapText="1"/>
    </xf>
    <xf numFmtId="20" fontId="187" fillId="41" borderId="60" xfId="114" applyNumberFormat="1" applyFont="1" applyFill="1" applyBorder="1" applyAlignment="1">
      <alignment horizontal="center"/>
    </xf>
    <xf numFmtId="20" fontId="187" fillId="41" borderId="37" xfId="114" applyNumberFormat="1" applyFont="1" applyFill="1" applyBorder="1" applyAlignment="1">
      <alignment horizontal="center"/>
    </xf>
    <xf numFmtId="20" fontId="187" fillId="41" borderId="39" xfId="114" applyNumberFormat="1" applyFont="1" applyFill="1" applyBorder="1" applyAlignment="1">
      <alignment horizontal="center"/>
    </xf>
    <xf numFmtId="20" fontId="187" fillId="41" borderId="32" xfId="114" applyNumberFormat="1" applyFont="1" applyFill="1" applyBorder="1" applyAlignment="1">
      <alignment horizontal="center"/>
    </xf>
    <xf numFmtId="20" fontId="187" fillId="41" borderId="41" xfId="114" applyNumberFormat="1" applyFont="1" applyFill="1" applyBorder="1" applyAlignment="1">
      <alignment horizontal="center"/>
    </xf>
    <xf numFmtId="20" fontId="187" fillId="41" borderId="10" xfId="114" applyNumberFormat="1" applyFont="1" applyFill="1" applyBorder="1" applyAlignment="1">
      <alignment horizontal="center"/>
    </xf>
    <xf numFmtId="20" fontId="224" fillId="41" borderId="184" xfId="35" applyNumberFormat="1" applyFont="1" applyFill="1" applyBorder="1" applyAlignment="1" applyProtection="1">
      <alignment horizontal="center" wrapText="1"/>
    </xf>
    <xf numFmtId="20" fontId="224" fillId="41" borderId="171" xfId="35" applyNumberFormat="1" applyFont="1" applyFill="1" applyBorder="1" applyAlignment="1" applyProtection="1">
      <alignment horizontal="center" wrapText="1"/>
    </xf>
    <xf numFmtId="20" fontId="166" fillId="41" borderId="61" xfId="114" applyNumberFormat="1" applyFont="1" applyFill="1" applyBorder="1" applyAlignment="1">
      <alignment horizontal="left" vertical="center"/>
    </xf>
    <xf numFmtId="20" fontId="166" fillId="41" borderId="62" xfId="114" applyNumberFormat="1" applyFont="1" applyFill="1" applyBorder="1" applyAlignment="1">
      <alignment horizontal="left" vertical="center"/>
    </xf>
    <xf numFmtId="0" fontId="179" fillId="45" borderId="0" xfId="114" applyFont="1" applyFill="1" applyAlignment="1">
      <alignment horizontal="center"/>
    </xf>
    <xf numFmtId="0" fontId="227" fillId="64" borderId="239" xfId="114" applyFont="1" applyFill="1" applyBorder="1" applyAlignment="1">
      <alignment horizontal="center"/>
    </xf>
    <xf numFmtId="0" fontId="184" fillId="64" borderId="239" xfId="114" applyFont="1" applyFill="1" applyBorder="1" applyAlignment="1">
      <alignment horizontal="center"/>
    </xf>
    <xf numFmtId="0" fontId="211" fillId="34" borderId="0" xfId="114" applyFont="1" applyFill="1" applyAlignment="1">
      <alignment horizontal="center" wrapText="1"/>
    </xf>
    <xf numFmtId="0" fontId="179" fillId="35" borderId="180" xfId="114" applyFont="1" applyFill="1" applyBorder="1" applyAlignment="1">
      <alignment horizontal="center"/>
    </xf>
    <xf numFmtId="0" fontId="179" fillId="35" borderId="181" xfId="114" applyFont="1" applyFill="1" applyBorder="1" applyAlignment="1">
      <alignment horizontal="center"/>
    </xf>
    <xf numFmtId="20" fontId="166" fillId="41" borderId="61" xfId="114" applyNumberFormat="1" applyFont="1" applyFill="1" applyBorder="1" applyAlignment="1">
      <alignment horizontal="center" vertical="center"/>
    </xf>
    <xf numFmtId="20" fontId="166" fillId="41" borderId="62" xfId="114" applyNumberFormat="1" applyFont="1" applyFill="1" applyBorder="1" applyAlignment="1">
      <alignment horizontal="center" vertical="center"/>
    </xf>
    <xf numFmtId="20" fontId="166" fillId="41" borderId="64" xfId="114" applyNumberFormat="1" applyFont="1" applyFill="1" applyBorder="1" applyAlignment="1">
      <alignment horizontal="center" vertical="center"/>
    </xf>
    <xf numFmtId="0" fontId="180" fillId="35" borderId="170" xfId="115" applyNumberFormat="1" applyFont="1" applyFill="1" applyBorder="1" applyAlignment="1">
      <alignment horizontal="center"/>
    </xf>
    <xf numFmtId="0" fontId="180" fillId="35" borderId="171" xfId="115" applyNumberFormat="1" applyFont="1" applyFill="1" applyBorder="1" applyAlignment="1">
      <alignment horizontal="center"/>
    </xf>
    <xf numFmtId="0" fontId="181" fillId="64" borderId="172" xfId="114" applyFont="1" applyFill="1" applyBorder="1" applyAlignment="1">
      <alignment horizontal="center"/>
    </xf>
    <xf numFmtId="0" fontId="181" fillId="64" borderId="173" xfId="114" applyFont="1" applyFill="1" applyBorder="1" applyAlignment="1">
      <alignment horizontal="center"/>
    </xf>
    <xf numFmtId="0" fontId="183" fillId="64" borderId="0" xfId="114" applyFont="1" applyFill="1" applyAlignment="1">
      <alignment horizontal="center"/>
    </xf>
    <xf numFmtId="3" fontId="186" fillId="34" borderId="180" xfId="115" applyNumberFormat="1" applyFont="1" applyFill="1" applyBorder="1" applyAlignment="1">
      <alignment horizontal="center" wrapText="1"/>
    </xf>
    <xf numFmtId="3" fontId="186" fillId="34" borderId="181" xfId="115" applyNumberFormat="1" applyFont="1" applyFill="1" applyBorder="1" applyAlignment="1">
      <alignment horizontal="center" wrapText="1"/>
    </xf>
    <xf numFmtId="0" fontId="185" fillId="42" borderId="180" xfId="114" applyFont="1" applyFill="1" applyBorder="1" applyAlignment="1">
      <alignment horizontal="center"/>
    </xf>
    <xf numFmtId="0" fontId="185" fillId="42" borderId="181" xfId="114" applyFont="1" applyFill="1" applyBorder="1" applyAlignment="1">
      <alignment horizontal="center"/>
    </xf>
    <xf numFmtId="0" fontId="69" fillId="0" borderId="0" xfId="44" applyAlignment="1">
      <alignment horizontal="center"/>
    </xf>
    <xf numFmtId="0" fontId="150" fillId="26" borderId="20" xfId="40" applyFont="1" applyFill="1" applyBorder="1" applyAlignment="1" applyProtection="1">
      <alignment horizontal="center" vertical="center" wrapText="1"/>
      <protection hidden="1"/>
    </xf>
    <xf numFmtId="0" fontId="32" fillId="17" borderId="19" xfId="40" applyNumberFormat="1" applyFont="1" applyFill="1" applyBorder="1" applyAlignment="1" applyProtection="1">
      <alignment horizontal="left" vertical="top" wrapText="1"/>
      <protection locked="0"/>
    </xf>
    <xf numFmtId="0" fontId="55" fillId="17" borderId="71" xfId="40" applyFont="1" applyFill="1" applyBorder="1" applyAlignment="1" applyProtection="1">
      <alignment horizontal="center" vertical="center" wrapText="1"/>
      <protection hidden="1"/>
    </xf>
    <xf numFmtId="0" fontId="55" fillId="17" borderId="94" xfId="40" applyFont="1" applyFill="1" applyBorder="1" applyAlignment="1" applyProtection="1">
      <alignment horizontal="center" vertical="center" wrapText="1"/>
      <protection hidden="1"/>
    </xf>
    <xf numFmtId="0" fontId="55" fillId="17" borderId="10" xfId="0" applyFont="1" applyFill="1" applyBorder="1" applyAlignment="1" applyProtection="1">
      <alignment horizontal="left" vertical="top" wrapText="1"/>
      <protection hidden="1"/>
    </xf>
    <xf numFmtId="0" fontId="32" fillId="17" borderId="113" xfId="40" applyNumberFormat="1" applyFont="1" applyFill="1" applyBorder="1" applyAlignment="1" applyProtection="1">
      <alignment horizontal="left" vertical="top" wrapText="1"/>
      <protection locked="0"/>
    </xf>
    <xf numFmtId="0" fontId="32" fillId="17" borderId="48" xfId="40" applyNumberFormat="1" applyFont="1" applyFill="1" applyBorder="1" applyAlignment="1" applyProtection="1">
      <alignment horizontal="left" vertical="top" wrapText="1"/>
      <protection locked="0"/>
    </xf>
    <xf numFmtId="0" fontId="12" fillId="17" borderId="10" xfId="40" applyFont="1" applyFill="1" applyBorder="1" applyAlignment="1" applyProtection="1">
      <alignment horizontal="center" vertical="center" wrapText="1"/>
      <protection locked="0"/>
    </xf>
    <xf numFmtId="0" fontId="55" fillId="17" borderId="71" xfId="0" applyFont="1" applyFill="1" applyBorder="1" applyAlignment="1" applyProtection="1">
      <alignment vertical="top" wrapText="1"/>
      <protection hidden="1"/>
    </xf>
    <xf numFmtId="0" fontId="105" fillId="17" borderId="94" xfId="0" applyFont="1" applyFill="1" applyBorder="1" applyAlignment="1" applyProtection="1">
      <alignment vertical="top" wrapText="1"/>
      <protection hidden="1"/>
    </xf>
    <xf numFmtId="0" fontId="16" fillId="17" borderId="72" xfId="40" applyFont="1" applyFill="1" applyBorder="1" applyAlignment="1" applyProtection="1">
      <alignment vertical="top" wrapText="1"/>
      <protection hidden="1"/>
    </xf>
    <xf numFmtId="0" fontId="105" fillId="17" borderId="93" xfId="0" applyFont="1" applyFill="1" applyBorder="1" applyAlignment="1" applyProtection="1">
      <alignment vertical="top" wrapText="1"/>
      <protection hidden="1"/>
    </xf>
    <xf numFmtId="0" fontId="16" fillId="17" borderId="72" xfId="40" applyFont="1" applyFill="1" applyBorder="1" applyAlignment="1" applyProtection="1">
      <alignment horizontal="left" vertical="top" wrapText="1"/>
      <protection hidden="1"/>
    </xf>
    <xf numFmtId="0" fontId="16" fillId="17" borderId="47" xfId="40" applyFont="1" applyFill="1" applyBorder="1" applyAlignment="1" applyProtection="1">
      <alignment horizontal="left" vertical="top" wrapText="1"/>
      <protection hidden="1"/>
    </xf>
    <xf numFmtId="0" fontId="12" fillId="17" borderId="81" xfId="0" applyFont="1" applyFill="1" applyBorder="1" applyAlignment="1" applyProtection="1">
      <alignment horizontal="left" vertical="top" wrapText="1"/>
      <protection hidden="1"/>
    </xf>
    <xf numFmtId="0" fontId="12" fillId="17" borderId="94" xfId="0" applyFont="1" applyFill="1" applyBorder="1" applyAlignment="1" applyProtection="1">
      <alignment horizontal="left" vertical="top" wrapText="1"/>
      <protection hidden="1"/>
    </xf>
    <xf numFmtId="0" fontId="12" fillId="17" borderId="43" xfId="0" applyFont="1" applyFill="1" applyBorder="1" applyAlignment="1" applyProtection="1">
      <alignment horizontal="left" vertical="top" wrapText="1"/>
      <protection hidden="1"/>
    </xf>
    <xf numFmtId="0" fontId="17" fillId="26" borderId="20" xfId="40" applyFont="1" applyFill="1" applyBorder="1" applyAlignment="1" applyProtection="1">
      <alignment horizontal="center" vertical="center" wrapText="1"/>
      <protection locked="0" hidden="1"/>
    </xf>
    <xf numFmtId="0" fontId="149" fillId="33" borderId="81" xfId="40" applyFont="1" applyFill="1" applyBorder="1" applyAlignment="1" applyProtection="1">
      <alignment horizontal="center" vertical="center" wrapText="1"/>
      <protection hidden="1"/>
    </xf>
    <xf numFmtId="0" fontId="149" fillId="33" borderId="94" xfId="40" applyFont="1" applyFill="1" applyBorder="1" applyAlignment="1" applyProtection="1">
      <alignment horizontal="center" vertical="center" wrapText="1"/>
      <protection hidden="1"/>
    </xf>
    <xf numFmtId="0" fontId="149" fillId="33" borderId="43" xfId="40" applyFont="1" applyFill="1" applyBorder="1" applyAlignment="1" applyProtection="1">
      <alignment horizontal="center" vertical="center" wrapText="1"/>
      <protection hidden="1"/>
    </xf>
    <xf numFmtId="0" fontId="20" fillId="33" borderId="81" xfId="40" quotePrefix="1" applyFont="1" applyFill="1" applyBorder="1" applyAlignment="1" applyProtection="1">
      <alignment horizontal="center" vertical="center" wrapText="1"/>
      <protection locked="0" hidden="1"/>
    </xf>
    <xf numFmtId="0" fontId="20" fillId="33" borderId="94" xfId="40" quotePrefix="1" applyFont="1" applyFill="1" applyBorder="1" applyAlignment="1" applyProtection="1">
      <alignment horizontal="center" vertical="center" wrapText="1"/>
      <protection locked="0" hidden="1"/>
    </xf>
    <xf numFmtId="0" fontId="20" fillId="33" borderId="43" xfId="40" quotePrefix="1" applyFont="1" applyFill="1" applyBorder="1" applyAlignment="1" applyProtection="1">
      <alignment horizontal="center" vertical="center" wrapText="1"/>
      <protection locked="0" hidden="1"/>
    </xf>
    <xf numFmtId="0" fontId="20" fillId="33" borderId="81" xfId="40" quotePrefix="1" applyFont="1" applyFill="1" applyBorder="1" applyAlignment="1" applyProtection="1">
      <alignment horizontal="center" vertical="center" wrapText="1"/>
      <protection hidden="1"/>
    </xf>
    <xf numFmtId="0" fontId="20" fillId="33" borderId="94" xfId="40" quotePrefix="1" applyFont="1" applyFill="1" applyBorder="1" applyAlignment="1" applyProtection="1">
      <alignment horizontal="center" vertical="center" wrapText="1"/>
      <protection hidden="1"/>
    </xf>
    <xf numFmtId="0" fontId="20" fillId="33" borderId="43" xfId="40" quotePrefix="1" applyFont="1" applyFill="1" applyBorder="1" applyAlignment="1" applyProtection="1">
      <alignment horizontal="center" vertical="center" wrapText="1"/>
      <protection hidden="1"/>
    </xf>
    <xf numFmtId="0" fontId="34" fillId="33" borderId="82" xfId="40" applyFont="1" applyFill="1" applyBorder="1" applyAlignment="1" applyProtection="1">
      <alignment horizontal="left" vertical="top" wrapText="1"/>
      <protection locked="0" hidden="1"/>
    </xf>
    <xf numFmtId="0" fontId="34" fillId="33" borderId="112" xfId="40" applyFont="1" applyFill="1" applyBorder="1" applyAlignment="1" applyProtection="1">
      <alignment horizontal="left" vertical="top" wrapText="1"/>
      <protection locked="0" hidden="1"/>
    </xf>
    <xf numFmtId="0" fontId="34" fillId="33" borderId="48" xfId="40" applyFont="1" applyFill="1" applyBorder="1" applyAlignment="1" applyProtection="1">
      <alignment horizontal="left" vertical="top" wrapText="1"/>
      <protection locked="0" hidden="1"/>
    </xf>
    <xf numFmtId="0" fontId="44" fillId="64" borderId="61" xfId="41" applyFont="1" applyFill="1" applyBorder="1" applyAlignment="1" applyProtection="1">
      <alignment horizontal="left" vertical="center"/>
      <protection hidden="1"/>
    </xf>
    <xf numFmtId="0" fontId="12" fillId="27" borderId="62" xfId="41" applyFill="1" applyBorder="1" applyAlignment="1" applyProtection="1">
      <alignment horizontal="left" vertical="center"/>
      <protection hidden="1"/>
    </xf>
    <xf numFmtId="0" fontId="12" fillId="27" borderId="64" xfId="41" applyFill="1" applyBorder="1" applyAlignment="1" applyProtection="1">
      <alignment horizontal="left" vertical="center"/>
      <protection hidden="1"/>
    </xf>
    <xf numFmtId="0" fontId="41" fillId="26" borderId="61" xfId="42" applyFont="1" applyFill="1" applyBorder="1" applyAlignment="1" applyProtection="1">
      <alignment horizontal="left"/>
      <protection locked="0" hidden="1"/>
    </xf>
    <xf numFmtId="0" fontId="41" fillId="26" borderId="75" xfId="42" applyFont="1" applyFill="1" applyBorder="1" applyAlignment="1" applyProtection="1">
      <alignment horizontal="left"/>
      <protection locked="0" hidden="1"/>
    </xf>
    <xf numFmtId="0" fontId="41" fillId="26" borderId="109" xfId="42" applyFont="1" applyFill="1" applyBorder="1" applyAlignment="1" applyProtection="1">
      <alignment horizontal="left"/>
      <protection locked="0" hidden="1"/>
    </xf>
    <xf numFmtId="0" fontId="41" fillId="26" borderId="76" xfId="42" applyFont="1" applyFill="1" applyBorder="1" applyAlignment="1" applyProtection="1">
      <alignment horizontal="left"/>
      <protection locked="0" hidden="1"/>
    </xf>
    <xf numFmtId="0" fontId="41" fillId="26" borderId="51" xfId="42" applyFont="1" applyFill="1" applyBorder="1" applyAlignment="1" applyProtection="1">
      <alignment horizontal="left" vertical="top" wrapText="1"/>
      <protection locked="0" hidden="1"/>
    </xf>
    <xf numFmtId="0" fontId="41" fillId="26" borderId="52" xfId="42" applyFont="1" applyFill="1" applyBorder="1" applyAlignment="1" applyProtection="1">
      <alignment horizontal="left" vertical="top" wrapText="1"/>
      <protection locked="0" hidden="1"/>
    </xf>
    <xf numFmtId="0" fontId="64" fillId="64" borderId="61" xfId="42" applyFont="1" applyFill="1" applyBorder="1" applyAlignment="1" applyProtection="1">
      <alignment horizontal="center"/>
      <protection hidden="1"/>
    </xf>
    <xf numFmtId="0" fontId="0" fillId="27" borderId="64" xfId="0" applyFill="1" applyBorder="1" applyAlignment="1" applyProtection="1">
      <alignment horizontal="center"/>
      <protection hidden="1"/>
    </xf>
    <xf numFmtId="0" fontId="0" fillId="27" borderId="62" xfId="0" applyFill="1" applyBorder="1" applyAlignment="1" applyProtection="1">
      <alignment horizontal="center"/>
      <protection hidden="1"/>
    </xf>
    <xf numFmtId="0" fontId="41" fillId="26" borderId="0" xfId="41" applyFont="1" applyFill="1" applyBorder="1" applyAlignment="1" applyProtection="1">
      <alignment horizontal="left" vertical="center"/>
      <protection hidden="1"/>
    </xf>
    <xf numFmtId="0" fontId="20" fillId="0" borderId="72" xfId="40" applyFont="1" applyFill="1" applyBorder="1" applyAlignment="1" applyProtection="1">
      <alignment horizontal="left" vertical="top" wrapText="1"/>
      <protection hidden="1"/>
    </xf>
    <xf numFmtId="0" fontId="20" fillId="0" borderId="93" xfId="40" applyFont="1" applyFill="1" applyBorder="1" applyAlignment="1" applyProtection="1">
      <alignment horizontal="left" vertical="top" wrapText="1"/>
      <protection hidden="1"/>
    </xf>
    <xf numFmtId="0" fontId="20" fillId="0" borderId="124" xfId="40" applyFont="1" applyFill="1" applyBorder="1" applyAlignment="1" applyProtection="1">
      <alignment horizontal="left" vertical="top" wrapText="1"/>
      <protection hidden="1"/>
    </xf>
    <xf numFmtId="0" fontId="12" fillId="0" borderId="71" xfId="0" applyFont="1" applyFill="1" applyBorder="1" applyAlignment="1" applyProtection="1">
      <alignment horizontal="left" vertical="top" wrapText="1"/>
      <protection hidden="1"/>
    </xf>
    <xf numFmtId="0" fontId="12" fillId="0" borderId="94" xfId="0" applyFont="1" applyFill="1" applyBorder="1" applyAlignment="1" applyProtection="1">
      <alignment horizontal="left" vertical="top" wrapText="1"/>
      <protection hidden="1"/>
    </xf>
    <xf numFmtId="0" fontId="12" fillId="0" borderId="106" xfId="0" applyFont="1" applyFill="1" applyBorder="1" applyAlignment="1" applyProtection="1">
      <alignment horizontal="left" vertical="top" wrapText="1"/>
      <protection hidden="1"/>
    </xf>
    <xf numFmtId="0" fontId="12" fillId="0" borderId="71" xfId="40" applyFont="1" applyFill="1" applyBorder="1" applyAlignment="1" applyProtection="1">
      <alignment horizontal="left" vertical="top" wrapText="1"/>
      <protection hidden="1"/>
    </xf>
    <xf numFmtId="0" fontId="12" fillId="0" borderId="94" xfId="40" applyFont="1" applyFill="1" applyBorder="1" applyAlignment="1" applyProtection="1">
      <alignment horizontal="left" vertical="top" wrapText="1"/>
      <protection hidden="1"/>
    </xf>
    <xf numFmtId="0" fontId="12" fillId="0" borderId="106" xfId="40" applyFont="1" applyFill="1" applyBorder="1" applyAlignment="1" applyProtection="1">
      <alignment horizontal="left" vertical="top" wrapText="1"/>
      <protection hidden="1"/>
    </xf>
    <xf numFmtId="0" fontId="32" fillId="0" borderId="113" xfId="40" applyNumberFormat="1" applyFont="1" applyFill="1" applyBorder="1" applyAlignment="1" applyProtection="1">
      <alignment horizontal="center" vertical="top" wrapText="1"/>
      <protection locked="0"/>
    </xf>
    <xf numFmtId="0" fontId="32" fillId="0" borderId="112" xfId="40" applyNumberFormat="1" applyFont="1" applyFill="1" applyBorder="1" applyAlignment="1" applyProtection="1">
      <alignment horizontal="center" vertical="top" wrapText="1"/>
      <protection locked="0"/>
    </xf>
    <xf numFmtId="0" fontId="32" fillId="0" borderId="48" xfId="40" applyNumberFormat="1" applyFont="1" applyFill="1" applyBorder="1" applyAlignment="1" applyProtection="1">
      <alignment horizontal="center" vertical="top" wrapText="1"/>
      <protection locked="0"/>
    </xf>
    <xf numFmtId="0" fontId="20" fillId="17" borderId="18" xfId="40" applyFont="1" applyFill="1" applyBorder="1" applyAlignment="1" applyProtection="1">
      <alignment horizontal="left" vertical="top" wrapText="1"/>
      <protection hidden="1"/>
    </xf>
    <xf numFmtId="0" fontId="12" fillId="17" borderId="10" xfId="0" applyFont="1" applyFill="1" applyBorder="1" applyAlignment="1" applyProtection="1">
      <alignment horizontal="left" vertical="top" wrapText="1"/>
      <protection hidden="1"/>
    </xf>
    <xf numFmtId="0" fontId="19" fillId="17" borderId="10" xfId="40" applyFont="1" applyFill="1" applyBorder="1" applyAlignment="1" applyProtection="1">
      <alignment horizontal="left" vertical="top" wrapText="1"/>
      <protection hidden="1"/>
    </xf>
    <xf numFmtId="0" fontId="20" fillId="0" borderId="18" xfId="40" applyFont="1" applyFill="1" applyBorder="1" applyAlignment="1" applyProtection="1">
      <alignment horizontal="left" vertical="top" wrapText="1"/>
      <protection hidden="1"/>
    </xf>
    <xf numFmtId="0" fontId="12" fillId="0" borderId="10" xfId="0" applyFont="1" applyFill="1" applyBorder="1" applyAlignment="1" applyProtection="1">
      <alignment horizontal="left" vertical="top" wrapText="1"/>
      <protection hidden="1"/>
    </xf>
    <xf numFmtId="0" fontId="19" fillId="0" borderId="61" xfId="40" applyFont="1" applyFill="1" applyBorder="1" applyAlignment="1" applyProtection="1">
      <alignment horizontal="left" vertical="top" wrapText="1"/>
      <protection hidden="1"/>
    </xf>
    <xf numFmtId="0" fontId="16" fillId="26" borderId="0" xfId="48" applyNumberFormat="1" applyFont="1" applyFill="1" applyBorder="1" applyAlignment="1" applyProtection="1">
      <alignment horizontal="center" vertical="top" wrapText="1"/>
      <protection hidden="1"/>
    </xf>
    <xf numFmtId="0" fontId="16" fillId="26" borderId="0" xfId="41" applyFont="1" applyFill="1" applyBorder="1" applyAlignment="1" applyProtection="1">
      <alignment horizontal="center" vertical="top" wrapText="1"/>
      <protection hidden="1"/>
    </xf>
    <xf numFmtId="0" fontId="41" fillId="64" borderId="47" xfId="41" applyFont="1" applyFill="1" applyBorder="1" applyAlignment="1" applyProtection="1">
      <alignment horizontal="left" vertical="center" wrapText="1"/>
      <protection hidden="1"/>
    </xf>
    <xf numFmtId="0" fontId="41" fillId="27" borderId="43" xfId="41" applyFont="1" applyFill="1" applyBorder="1" applyAlignment="1" applyProtection="1">
      <alignment horizontal="left" vertical="center" wrapText="1"/>
      <protection hidden="1"/>
    </xf>
    <xf numFmtId="0" fontId="12" fillId="26" borderId="10" xfId="42" applyFont="1" applyFill="1" applyBorder="1" applyAlignment="1" applyProtection="1">
      <alignment horizontal="center" vertical="center"/>
      <protection hidden="1"/>
    </xf>
    <xf numFmtId="0" fontId="41" fillId="26" borderId="0" xfId="41" applyFont="1" applyFill="1" applyBorder="1" applyAlignment="1" applyProtection="1">
      <alignment horizontal="center" vertical="center"/>
      <protection hidden="1"/>
    </xf>
    <xf numFmtId="0" fontId="44" fillId="64" borderId="50" xfId="42" applyFont="1" applyFill="1" applyBorder="1" applyAlignment="1" applyProtection="1">
      <alignment horizontal="left" vertical="center" wrapText="1"/>
      <protection hidden="1"/>
    </xf>
    <xf numFmtId="0" fontId="44" fillId="27" borderId="127" xfId="42" applyFont="1" applyFill="1" applyBorder="1" applyAlignment="1" applyProtection="1">
      <alignment horizontal="left" vertical="center" wrapText="1"/>
      <protection hidden="1"/>
    </xf>
    <xf numFmtId="0" fontId="12" fillId="26" borderId="61" xfId="0" applyFont="1" applyFill="1" applyBorder="1" applyAlignment="1" applyProtection="1">
      <alignment horizontal="left" vertical="top" wrapText="1"/>
      <protection hidden="1"/>
    </xf>
    <xf numFmtId="0" fontId="12" fillId="26" borderId="64" xfId="0" applyFont="1" applyFill="1" applyBorder="1" applyAlignment="1" applyProtection="1">
      <alignment horizontal="left" vertical="top" wrapText="1"/>
      <protection hidden="1"/>
    </xf>
    <xf numFmtId="0" fontId="12" fillId="26" borderId="61" xfId="0" applyFont="1" applyFill="1" applyBorder="1" applyAlignment="1" applyProtection="1">
      <alignment horizontal="left" vertical="top"/>
      <protection hidden="1"/>
    </xf>
    <xf numFmtId="0" fontId="12" fillId="26" borderId="64" xfId="0" applyFont="1" applyFill="1" applyBorder="1" applyAlignment="1" applyProtection="1">
      <alignment horizontal="left" vertical="top"/>
      <protection hidden="1"/>
    </xf>
    <xf numFmtId="0" fontId="12" fillId="26" borderId="0" xfId="0" applyFont="1" applyFill="1" applyBorder="1" applyAlignment="1" applyProtection="1">
      <alignment horizontal="left" vertical="top"/>
      <protection hidden="1"/>
    </xf>
    <xf numFmtId="0" fontId="16" fillId="26" borderId="101" xfId="42" applyFont="1" applyFill="1" applyBorder="1" applyAlignment="1" applyProtection="1">
      <alignment horizontal="center" vertical="center" wrapText="1"/>
      <protection hidden="1"/>
    </xf>
    <xf numFmtId="0" fontId="16" fillId="26" borderId="95" xfId="42" applyFont="1" applyFill="1" applyBorder="1" applyAlignment="1" applyProtection="1">
      <alignment horizontal="center" vertical="center" wrapText="1"/>
      <protection hidden="1"/>
    </xf>
    <xf numFmtId="0" fontId="16" fillId="26" borderId="13" xfId="42" applyFont="1" applyFill="1" applyBorder="1" applyAlignment="1" applyProtection="1">
      <alignment horizontal="center" vertical="top" wrapText="1"/>
      <protection hidden="1"/>
    </xf>
    <xf numFmtId="0" fontId="16" fillId="26" borderId="44" xfId="42" applyFont="1" applyFill="1" applyBorder="1" applyAlignment="1" applyProtection="1">
      <alignment horizontal="center" vertical="top" wrapText="1"/>
      <protection hidden="1"/>
    </xf>
    <xf numFmtId="0" fontId="16" fillId="26" borderId="14" xfId="42" applyFont="1" applyFill="1" applyBorder="1" applyAlignment="1" applyProtection="1">
      <alignment horizontal="center" vertical="top" wrapText="1"/>
      <protection hidden="1"/>
    </xf>
    <xf numFmtId="0" fontId="41" fillId="64" borderId="13" xfId="42" applyFont="1" applyFill="1" applyBorder="1" applyAlignment="1" applyProtection="1">
      <alignment horizontal="center" vertical="center" wrapText="1"/>
      <protection hidden="1"/>
    </xf>
    <xf numFmtId="0" fontId="41" fillId="27" borderId="45" xfId="42" applyFont="1" applyFill="1" applyBorder="1" applyAlignment="1" applyProtection="1">
      <alignment horizontal="center" vertical="center" wrapText="1"/>
      <protection hidden="1"/>
    </xf>
    <xf numFmtId="0" fontId="41" fillId="64" borderId="44" xfId="42" applyFont="1" applyFill="1" applyBorder="1" applyAlignment="1" applyProtection="1">
      <alignment horizontal="center" vertical="center" wrapText="1"/>
      <protection hidden="1"/>
    </xf>
    <xf numFmtId="0" fontId="41" fillId="27" borderId="46" xfId="42" applyFont="1" applyFill="1" applyBorder="1" applyAlignment="1" applyProtection="1">
      <alignment horizontal="center" vertical="center" wrapText="1"/>
      <protection hidden="1"/>
    </xf>
    <xf numFmtId="9" fontId="41" fillId="64" borderId="14" xfId="42" applyNumberFormat="1" applyFont="1" applyFill="1" applyBorder="1" applyAlignment="1" applyProtection="1">
      <alignment horizontal="center" vertical="center" wrapText="1"/>
      <protection hidden="1"/>
    </xf>
    <xf numFmtId="9" fontId="41" fillId="27" borderId="22" xfId="42" applyNumberFormat="1" applyFont="1" applyFill="1" applyBorder="1" applyAlignment="1" applyProtection="1">
      <alignment horizontal="center" vertical="center" wrapText="1"/>
      <protection hidden="1"/>
    </xf>
    <xf numFmtId="0" fontId="16" fillId="26" borderId="0" xfId="42" applyFont="1" applyFill="1" applyBorder="1" applyAlignment="1" applyProtection="1">
      <alignment horizontal="center" vertical="top" wrapText="1"/>
      <protection hidden="1"/>
    </xf>
    <xf numFmtId="0" fontId="41" fillId="64" borderId="72" xfId="42" applyFont="1" applyFill="1" applyBorder="1" applyAlignment="1" applyProtection="1">
      <alignment horizontal="left" vertical="center" wrapText="1"/>
      <protection hidden="1"/>
    </xf>
    <xf numFmtId="0" fontId="41" fillId="27" borderId="36" xfId="42" applyFont="1" applyFill="1" applyBorder="1" applyAlignment="1" applyProtection="1">
      <alignment horizontal="left" vertical="center" wrapText="1"/>
      <protection hidden="1"/>
    </xf>
    <xf numFmtId="0" fontId="41" fillId="64" borderId="50" xfId="41" applyFont="1" applyFill="1" applyBorder="1" applyAlignment="1" applyProtection="1">
      <alignment horizontal="left" vertical="center" wrapText="1"/>
      <protection hidden="1"/>
    </xf>
    <xf numFmtId="0" fontId="41" fillId="27" borderId="51" xfId="41" applyFont="1" applyFill="1" applyBorder="1" applyAlignment="1" applyProtection="1">
      <alignment horizontal="left" vertical="center" wrapText="1"/>
      <protection hidden="1"/>
    </xf>
    <xf numFmtId="0" fontId="41" fillId="27" borderId="52" xfId="41" applyFont="1" applyFill="1" applyBorder="1" applyAlignment="1" applyProtection="1">
      <alignment horizontal="left" vertical="center" wrapText="1"/>
      <protection hidden="1"/>
    </xf>
    <xf numFmtId="0" fontId="41" fillId="64" borderId="50" xfId="42" applyFont="1" applyFill="1" applyBorder="1" applyAlignment="1" applyProtection="1">
      <alignment vertical="top" wrapText="1"/>
      <protection hidden="1"/>
    </xf>
    <xf numFmtId="0" fontId="10" fillId="27" borderId="51" xfId="0" applyFont="1" applyFill="1" applyBorder="1" applyAlignment="1" applyProtection="1">
      <alignment vertical="top" wrapText="1"/>
      <protection hidden="1"/>
    </xf>
    <xf numFmtId="0" fontId="41" fillId="64" borderId="49" xfId="41" applyFont="1" applyFill="1" applyBorder="1" applyAlignment="1" applyProtection="1">
      <alignment horizontal="center" vertical="center"/>
      <protection hidden="1"/>
    </xf>
    <xf numFmtId="0" fontId="41" fillId="27" borderId="111" xfId="41" applyFont="1" applyFill="1" applyBorder="1" applyAlignment="1" applyProtection="1">
      <alignment horizontal="center" vertical="center"/>
      <protection hidden="1"/>
    </xf>
    <xf numFmtId="0" fontId="52" fillId="26" borderId="0" xfId="42" quotePrefix="1" applyFont="1" applyFill="1" applyBorder="1" applyAlignment="1" applyProtection="1">
      <alignment horizontal="left" vertical="center"/>
      <protection hidden="1"/>
    </xf>
    <xf numFmtId="0" fontId="52" fillId="26" borderId="0" xfId="42" applyFont="1" applyFill="1" applyBorder="1" applyAlignment="1" applyProtection="1">
      <alignment horizontal="left" vertical="center"/>
      <protection hidden="1"/>
    </xf>
    <xf numFmtId="0" fontId="87" fillId="26" borderId="0" xfId="42" applyFont="1" applyFill="1" applyBorder="1" applyAlignment="1" applyProtection="1">
      <alignment horizontal="left" vertical="center"/>
      <protection hidden="1"/>
    </xf>
    <xf numFmtId="0" fontId="64" fillId="26" borderId="0" xfId="42" applyFont="1" applyFill="1" applyBorder="1" applyAlignment="1" applyProtection="1">
      <alignment horizontal="left"/>
      <protection hidden="1"/>
    </xf>
    <xf numFmtId="0" fontId="44" fillId="26" borderId="0" xfId="42" applyFont="1" applyFill="1" applyBorder="1" applyAlignment="1" applyProtection="1">
      <alignment horizontal="left" vertical="center" wrapText="1"/>
      <protection hidden="1"/>
    </xf>
    <xf numFmtId="0" fontId="41" fillId="26" borderId="0" xfId="42" applyFont="1" applyFill="1" applyBorder="1" applyAlignment="1" applyProtection="1">
      <alignment horizontal="left" vertical="center"/>
      <protection hidden="1"/>
    </xf>
    <xf numFmtId="0" fontId="19" fillId="17" borderId="81" xfId="0" applyFont="1" applyFill="1" applyBorder="1" applyAlignment="1" applyProtection="1">
      <alignment horizontal="center" vertical="center" wrapText="1"/>
      <protection hidden="1"/>
    </xf>
    <xf numFmtId="0" fontId="0" fillId="0" borderId="94" xfId="0" applyBorder="1" applyAlignment="1" applyProtection="1">
      <alignment horizontal="center" vertical="center" wrapText="1"/>
      <protection hidden="1"/>
    </xf>
    <xf numFmtId="0" fontId="0" fillId="0" borderId="106" xfId="0" applyBorder="1" applyAlignment="1" applyProtection="1">
      <alignment horizontal="center" vertical="center" wrapText="1"/>
      <protection hidden="1"/>
    </xf>
    <xf numFmtId="0" fontId="16" fillId="17" borderId="37" xfId="0" applyFont="1" applyFill="1" applyBorder="1" applyAlignment="1" applyProtection="1">
      <alignment horizontal="center" wrapText="1"/>
      <protection hidden="1"/>
    </xf>
    <xf numFmtId="0" fontId="10" fillId="0" borderId="41" xfId="0" applyFont="1" applyBorder="1" applyAlignment="1">
      <alignment horizontal="center" wrapText="1"/>
    </xf>
    <xf numFmtId="0" fontId="90" fillId="17" borderId="36" xfId="0" applyFont="1" applyFill="1" applyBorder="1" applyAlignment="1" applyProtection="1">
      <alignment vertical="center" wrapText="1"/>
      <protection hidden="1"/>
    </xf>
    <xf numFmtId="0" fontId="101" fillId="17" borderId="60" xfId="0" applyFont="1" applyFill="1" applyBorder="1" applyAlignment="1" applyProtection="1">
      <alignment vertical="center" wrapText="1"/>
      <protection hidden="1"/>
    </xf>
    <xf numFmtId="0" fontId="101" fillId="17" borderId="37" xfId="0" applyFont="1" applyFill="1" applyBorder="1" applyAlignment="1" applyProtection="1">
      <alignment vertical="center" wrapText="1"/>
      <protection hidden="1"/>
    </xf>
    <xf numFmtId="0" fontId="145" fillId="0" borderId="38" xfId="0" applyFont="1" applyBorder="1" applyAlignment="1">
      <alignment wrapText="1"/>
    </xf>
    <xf numFmtId="0" fontId="145" fillId="0" borderId="0" xfId="0" applyFont="1" applyBorder="1" applyAlignment="1">
      <alignment wrapText="1"/>
    </xf>
    <xf numFmtId="0" fontId="145" fillId="0" borderId="39" xfId="0" applyFont="1" applyBorder="1" applyAlignment="1">
      <alignment wrapText="1"/>
    </xf>
    <xf numFmtId="0" fontId="145" fillId="0" borderId="38" xfId="0" applyFont="1" applyBorder="1" applyAlignment="1"/>
    <xf numFmtId="0" fontId="145" fillId="0" borderId="0" xfId="0" applyFont="1" applyBorder="1" applyAlignment="1"/>
    <xf numFmtId="0" fontId="145" fillId="0" borderId="39" xfId="0" applyFont="1" applyBorder="1" applyAlignment="1"/>
    <xf numFmtId="0" fontId="145" fillId="0" borderId="40" xfId="0" applyFont="1" applyBorder="1" applyAlignment="1"/>
    <xf numFmtId="0" fontId="145" fillId="0" borderId="32" xfId="0" applyFont="1" applyBorder="1" applyAlignment="1"/>
    <xf numFmtId="0" fontId="145" fillId="0" borderId="41" xfId="0" applyFont="1" applyBorder="1" applyAlignment="1"/>
    <xf numFmtId="0" fontId="16" fillId="17" borderId="71" xfId="0" applyFont="1" applyFill="1" applyBorder="1" applyAlignment="1" applyProtection="1">
      <alignment horizontal="center" wrapText="1"/>
      <protection hidden="1"/>
    </xf>
    <xf numFmtId="0" fontId="10" fillId="0" borderId="43" xfId="0" applyFont="1" applyBorder="1" applyAlignment="1">
      <alignment horizontal="center" wrapText="1"/>
    </xf>
    <xf numFmtId="0" fontId="31" fillId="64" borderId="15" xfId="0" applyFont="1" applyFill="1" applyBorder="1" applyAlignment="1" applyProtection="1">
      <alignment horizontal="left" vertical="top"/>
      <protection locked="0" hidden="1"/>
    </xf>
    <xf numFmtId="0" fontId="31" fillId="27" borderId="16" xfId="0" applyFont="1" applyFill="1" applyBorder="1" applyAlignment="1" applyProtection="1">
      <alignment horizontal="left" vertical="top"/>
      <protection locked="0" hidden="1"/>
    </xf>
    <xf numFmtId="0" fontId="31" fillId="27" borderId="17" xfId="0" applyFont="1" applyFill="1" applyBorder="1" applyAlignment="1" applyProtection="1">
      <alignment horizontal="left" vertical="top"/>
      <protection locked="0" hidden="1"/>
    </xf>
    <xf numFmtId="0" fontId="31" fillId="27" borderId="23" xfId="0" applyFont="1" applyFill="1" applyBorder="1" applyAlignment="1" applyProtection="1">
      <alignment horizontal="left" vertical="top"/>
      <protection locked="0" hidden="1"/>
    </xf>
    <xf numFmtId="0" fontId="31" fillId="27" borderId="24" xfId="0" applyFont="1" applyFill="1" applyBorder="1" applyAlignment="1" applyProtection="1">
      <alignment horizontal="left" vertical="top"/>
      <protection locked="0" hidden="1"/>
    </xf>
    <xf numFmtId="0" fontId="31" fillId="27" borderId="25" xfId="0" applyFont="1" applyFill="1" applyBorder="1" applyAlignment="1" applyProtection="1">
      <alignment horizontal="left" vertical="top"/>
      <protection locked="0" hidden="1"/>
    </xf>
    <xf numFmtId="0" fontId="109" fillId="64" borderId="49" xfId="0" applyFont="1" applyFill="1" applyBorder="1" applyAlignment="1" applyProtection="1">
      <alignment horizontal="left" vertical="center" wrapText="1"/>
      <protection hidden="1"/>
    </xf>
    <xf numFmtId="0" fontId="0" fillId="27" borderId="79" xfId="0" applyFill="1" applyBorder="1" applyAlignment="1">
      <alignment wrapText="1"/>
    </xf>
    <xf numFmtId="0" fontId="0" fillId="27" borderId="105" xfId="0" applyFill="1" applyBorder="1" applyAlignment="1">
      <alignment wrapText="1"/>
    </xf>
    <xf numFmtId="0" fontId="15" fillId="0" borderId="0" xfId="42" applyFont="1" applyFill="1" applyAlignment="1">
      <alignment horizontal="left"/>
    </xf>
    <xf numFmtId="0" fontId="12" fillId="0" borderId="0" xfId="42" applyFont="1" applyFill="1" applyAlignment="1">
      <alignment horizontal="right"/>
    </xf>
  </cellXfs>
  <cellStyles count="138">
    <cellStyle name="20% - Accent1" xfId="1" builtinId="30" customBuiltin="1"/>
    <cellStyle name="20% - Accent1 2" xfId="61"/>
    <cellStyle name="20% - Accent2" xfId="2" builtinId="34" customBuiltin="1"/>
    <cellStyle name="20% - Accent2 2" xfId="87"/>
    <cellStyle name="20% - Accent3" xfId="3" builtinId="38" customBuiltin="1"/>
    <cellStyle name="20% - Accent3 2" xfId="94"/>
    <cellStyle name="20% - Accent4" xfId="4" builtinId="42" customBuiltin="1"/>
    <cellStyle name="20% - Accent4 2" xfId="66"/>
    <cellStyle name="20% - Accent5" xfId="5" builtinId="46" customBuiltin="1"/>
    <cellStyle name="20% - Accent5 2" xfId="63"/>
    <cellStyle name="20% - Accent6" xfId="6" builtinId="50" customBuiltin="1"/>
    <cellStyle name="20% - Accent6 2" xfId="90"/>
    <cellStyle name="40% - Accent1" xfId="7" builtinId="31" customBuiltin="1"/>
    <cellStyle name="40% - Accent1 2" xfId="68"/>
    <cellStyle name="40% - Accent2" xfId="8" builtinId="35" customBuiltin="1"/>
    <cellStyle name="40% - Accent2 2" xfId="106"/>
    <cellStyle name="40% - Accent3" xfId="9" builtinId="39" customBuiltin="1"/>
    <cellStyle name="40% - Accent3 2" xfId="62"/>
    <cellStyle name="40% - Accent4" xfId="10" builtinId="43" customBuiltin="1"/>
    <cellStyle name="40% - Accent4 2" xfId="69"/>
    <cellStyle name="40% - Accent5" xfId="11" builtinId="47" customBuiltin="1"/>
    <cellStyle name="40% - Accent5 2" xfId="60"/>
    <cellStyle name="40% - Accent6" xfId="12" builtinId="51" customBuiltin="1"/>
    <cellStyle name="40% - Accent6 2" xfId="104"/>
    <cellStyle name="60% - Accent1" xfId="13" builtinId="32" customBuiltin="1"/>
    <cellStyle name="60% - Accent1 2" xfId="105"/>
    <cellStyle name="60% - Accent2" xfId="14" builtinId="36" customBuiltin="1"/>
    <cellStyle name="60% - Accent2 2" xfId="84"/>
    <cellStyle name="60% - Accent3" xfId="15" builtinId="40" customBuiltin="1"/>
    <cellStyle name="60% - Accent3 2" xfId="88"/>
    <cellStyle name="60% - Accent4" xfId="16" builtinId="44" customBuiltin="1"/>
    <cellStyle name="60% - Accent4 2" xfId="101"/>
    <cellStyle name="60% - Accent5" xfId="17" builtinId="48" customBuiltin="1"/>
    <cellStyle name="60% - Accent5 2" xfId="64"/>
    <cellStyle name="60% - Accent6" xfId="18" builtinId="52" customBuiltin="1"/>
    <cellStyle name="60% - Accent6 2" xfId="70"/>
    <cellStyle name="Accent1" xfId="19" builtinId="29" customBuiltin="1"/>
    <cellStyle name="Accent1 2" xfId="71"/>
    <cellStyle name="Accent2" xfId="20" builtinId="33" customBuiltin="1"/>
    <cellStyle name="Accent2 2" xfId="72"/>
    <cellStyle name="Accent3" xfId="21" builtinId="37" customBuiltin="1"/>
    <cellStyle name="Accent3 2" xfId="73"/>
    <cellStyle name="Accent4" xfId="22" builtinId="41" customBuiltin="1"/>
    <cellStyle name="Accent4 2" xfId="74"/>
    <cellStyle name="Accent5" xfId="23" builtinId="45" customBuiltin="1"/>
    <cellStyle name="Accent5 2" xfId="75"/>
    <cellStyle name="Accent6" xfId="24" builtinId="49" customBuiltin="1"/>
    <cellStyle name="Accent6 2" xfId="76"/>
    <cellStyle name="Bad" xfId="25" builtinId="27" customBuiltin="1"/>
    <cellStyle name="Bad 2" xfId="77"/>
    <cellStyle name="Calculation" xfId="26" builtinId="22" customBuiltin="1"/>
    <cellStyle name="Calculation 2" xfId="78"/>
    <cellStyle name="Check Cell" xfId="27" builtinId="23" customBuiltin="1"/>
    <cellStyle name="Check Cell 2" xfId="103"/>
    <cellStyle name="Comma" xfId="28" builtinId="3"/>
    <cellStyle name="Comma 2" xfId="81"/>
    <cellStyle name="Explanatory Text" xfId="29" builtinId="53" customBuiltin="1"/>
    <cellStyle name="Explanatory Text 2" xfId="100"/>
    <cellStyle name="Good" xfId="30" builtinId="26" customBuiltin="1"/>
    <cellStyle name="Good 2" xfId="93"/>
    <cellStyle name="Heading 1" xfId="31" builtinId="16" customBuiltin="1"/>
    <cellStyle name="Heading 1 2" xfId="102"/>
    <cellStyle name="Heading 2" xfId="32" builtinId="17" customBuiltin="1"/>
    <cellStyle name="Heading 2 2" xfId="85"/>
    <cellStyle name="Heading 3" xfId="33" builtinId="18" customBuiltin="1"/>
    <cellStyle name="Heading 3 2" xfId="92"/>
    <cellStyle name="Heading 4" xfId="34" builtinId="19" customBuiltin="1"/>
    <cellStyle name="Heading 4 2" xfId="83"/>
    <cellStyle name="Hyperlink" xfId="35" builtinId="8"/>
    <cellStyle name="Hyperlink 2" xfId="53"/>
    <cellStyle name="Input" xfId="36" builtinId="20" customBuiltin="1"/>
    <cellStyle name="Input 2" xfId="79"/>
    <cellStyle name="Linked Cell" xfId="37" builtinId="24" customBuiltin="1"/>
    <cellStyle name="Linked Cell 2" xfId="67"/>
    <cellStyle name="Neutral" xfId="38" builtinId="28" customBuiltin="1"/>
    <cellStyle name="Neutral 2" xfId="82"/>
    <cellStyle name="Normal" xfId="0" builtinId="0"/>
    <cellStyle name="Normal 2" xfId="52"/>
    <cellStyle name="Normal 2 2" xfId="57"/>
    <cellStyle name="Normal 2 2 2" xfId="98"/>
    <cellStyle name="Normal 2 2 2 2" xfId="125"/>
    <cellStyle name="Normal 2 2 3" xfId="111"/>
    <cellStyle name="Normal 2 2 3 2" xfId="130"/>
    <cellStyle name="Normal 2 2 4" xfId="115"/>
    <cellStyle name="Normal 2 2 4 2" xfId="134"/>
    <cellStyle name="Normal 2 2 5" xfId="120"/>
    <cellStyle name="Normal 2 3" xfId="136"/>
    <cellStyle name="Normal 3" xfId="54"/>
    <cellStyle name="Normal 3 2" xfId="55"/>
    <cellStyle name="Normal 3 2 2" xfId="96"/>
    <cellStyle name="Normal 3 2 2 2" xfId="123"/>
    <cellStyle name="Normal 3 2 3" xfId="109"/>
    <cellStyle name="Normal 3 2 3 2" xfId="128"/>
    <cellStyle name="Normal 3 2 4" xfId="118"/>
    <cellStyle name="Normal 3 3" xfId="56"/>
    <cellStyle name="Normal 3 3 2" xfId="97"/>
    <cellStyle name="Normal 3 3 2 2" xfId="124"/>
    <cellStyle name="Normal 3 3 3" xfId="110"/>
    <cellStyle name="Normal 3 3 3 2" xfId="129"/>
    <cellStyle name="Normal 3 3 4" xfId="114"/>
    <cellStyle name="Normal 3 3 4 2" xfId="133"/>
    <cellStyle name="Normal 3 3 5" xfId="119"/>
    <cellStyle name="Normal 3 4" xfId="59"/>
    <cellStyle name="Normal 3 5" xfId="95"/>
    <cellStyle name="Normal 3 5 2" xfId="122"/>
    <cellStyle name="Normal 3 6" xfId="108"/>
    <cellStyle name="Normal 3 6 2" xfId="127"/>
    <cellStyle name="Normal 3 7" xfId="113"/>
    <cellStyle name="Normal 3 7 2" xfId="132"/>
    <cellStyle name="Normal 3 8" xfId="137"/>
    <cellStyle name="Normal 3 9" xfId="117"/>
    <cellStyle name="Normal_Green Star - Office Design v3 Energy Calculator_for use in excel for TSC" xfId="39"/>
    <cellStyle name="Normal_healthcare edit.xls" xfId="40"/>
    <cellStyle name="Normal_NEW Office Water Calculator from GHD changed_d" xfId="41"/>
    <cellStyle name="Normal_office as built edit.xls" xfId="42"/>
    <cellStyle name="Normal_office interiors edit.xls" xfId="43"/>
    <cellStyle name="Normal_rainfall data" xfId="44"/>
    <cellStyle name="Normal_shopping centre design edit.xls" xfId="45"/>
    <cellStyle name="Note" xfId="46" builtinId="10" customBuiltin="1"/>
    <cellStyle name="Note 2" xfId="86"/>
    <cellStyle name="Output" xfId="47" builtinId="21" customBuiltin="1"/>
    <cellStyle name="Output 2" xfId="107"/>
    <cellStyle name="Percent" xfId="48" builtinId="5"/>
    <cellStyle name="Percent 2" xfId="58"/>
    <cellStyle name="Percent 2 2" xfId="99"/>
    <cellStyle name="Percent 2 2 2" xfId="126"/>
    <cellStyle name="Percent 2 3" xfId="112"/>
    <cellStyle name="Percent 2 3 2" xfId="131"/>
    <cellStyle name="Percent 2 4" xfId="116"/>
    <cellStyle name="Percent 2 4 2" xfId="135"/>
    <cellStyle name="Percent 2 5" xfId="121"/>
    <cellStyle name="Percent 3" xfId="89"/>
    <cellStyle name="Title" xfId="49" builtinId="15" customBuiltin="1"/>
    <cellStyle name="Title 2" xfId="91"/>
    <cellStyle name="Total" xfId="50" builtinId="25" customBuiltin="1"/>
    <cellStyle name="Total 2" xfId="65"/>
    <cellStyle name="Warning Text" xfId="51" builtinId="11" customBuiltin="1"/>
    <cellStyle name="Warning Text 2" xfId="80"/>
  </cellStyles>
  <dxfs count="56">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dxf>
    <dxf>
      <font>
        <b/>
        <i val="0"/>
        <condense val="0"/>
        <extend val="0"/>
        <color indexed="10"/>
      </font>
    </dxf>
    <dxf>
      <font>
        <color theme="1" tint="0.24994659260841701"/>
      </font>
      <fill>
        <patternFill>
          <bgColor theme="1" tint="0.24994659260841701"/>
        </patternFill>
      </fill>
      <border>
        <left/>
        <right/>
        <top/>
        <bottom/>
        <vertical/>
        <horizontal/>
      </border>
    </dxf>
    <dxf>
      <font>
        <color theme="0" tint="-0.14996795556505021"/>
      </font>
      <fill>
        <patternFill>
          <bgColor theme="0" tint="-4.9989318521683403E-2"/>
        </patternFill>
      </fill>
    </dxf>
    <dxf>
      <font>
        <color theme="1" tint="0.24994659260841701"/>
      </font>
      <fill>
        <patternFill>
          <bgColor theme="1" tint="0.24994659260841701"/>
        </patternFill>
      </fill>
      <border>
        <left/>
        <right/>
        <top/>
        <bottom/>
        <vertical/>
        <horizontal/>
      </border>
    </dxf>
    <dxf>
      <font>
        <color theme="1" tint="0.24994659260841701"/>
      </font>
      <fill>
        <patternFill>
          <bgColor theme="1" tint="0.24994659260841701"/>
        </patternFill>
      </fill>
      <border>
        <left/>
        <right/>
        <top/>
        <bottom/>
        <vertical/>
        <horizontal/>
      </border>
    </dxf>
    <dxf>
      <font>
        <color theme="1" tint="0.24994659260841701"/>
      </font>
      <fill>
        <patternFill>
          <bgColor theme="1" tint="0.24994659260841701"/>
        </patternFill>
      </fill>
      <border>
        <left/>
        <right/>
        <top/>
        <bottom/>
      </border>
    </dxf>
    <dxf>
      <font>
        <color theme="1" tint="0.24994659260841701"/>
      </font>
      <fill>
        <patternFill>
          <bgColor theme="1" tint="0.24994659260841701"/>
        </patternFill>
      </fill>
      <border>
        <left/>
        <right/>
        <top/>
        <bottom/>
      </border>
    </dxf>
    <dxf>
      <font>
        <color theme="0"/>
      </font>
      <fill>
        <patternFill>
          <bgColor theme="5" tint="-0.24994659260841701"/>
        </patternFill>
      </fill>
    </dxf>
    <dxf>
      <font>
        <color theme="0"/>
      </font>
      <fill>
        <patternFill>
          <bgColor theme="5" tint="-0.24994659260841701"/>
        </patternFill>
      </fill>
    </dxf>
    <dxf>
      <font>
        <color theme="0"/>
      </font>
      <fill>
        <patternFill>
          <bgColor theme="5" tint="-0.24994659260841701"/>
        </patternFill>
      </fill>
    </dxf>
    <dxf>
      <font>
        <color theme="1" tint="0.24994659260841701"/>
      </font>
      <fill>
        <patternFill>
          <bgColor theme="1" tint="0.24994659260841701"/>
        </patternFill>
      </fill>
      <border>
        <left/>
        <right/>
        <top/>
        <bottom/>
        <vertical/>
        <horizontal/>
      </border>
    </dxf>
    <dxf>
      <font>
        <color theme="1" tint="0.24994659260841701"/>
      </font>
      <fill>
        <patternFill>
          <bgColor theme="1" tint="0.24994659260841701"/>
        </patternFill>
      </fill>
      <border>
        <left/>
        <right/>
        <top/>
        <bottom/>
        <vertical/>
        <horizontal/>
      </border>
    </dxf>
    <dxf>
      <font>
        <color theme="1" tint="0.24994659260841701"/>
      </font>
      <fill>
        <patternFill>
          <bgColor theme="1" tint="0.24994659260841701"/>
        </patternFill>
      </fill>
      <border>
        <left/>
        <right/>
        <top/>
        <bottom/>
        <vertical/>
        <horizontal/>
      </border>
    </dxf>
    <dxf>
      <font>
        <color theme="1" tint="0.24994659260841701"/>
      </font>
      <fill>
        <patternFill>
          <bgColor theme="1" tint="0.24994659260841701"/>
        </patternFill>
      </fill>
      <border>
        <left/>
        <right/>
        <top/>
        <bottom/>
      </border>
    </dxf>
    <dxf>
      <font>
        <color theme="1" tint="0.24994659260841701"/>
      </font>
    </dxf>
    <dxf>
      <font>
        <color theme="1" tint="0.24994659260841701"/>
      </font>
    </dxf>
    <dxf>
      <font>
        <color theme="0" tint="-0.14996795556505021"/>
      </font>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4.9989318521683403E-2"/>
        </patternFill>
      </fill>
      <border>
        <left style="thin">
          <color theme="0" tint="-0.14993743705557422"/>
        </left>
        <right style="thin">
          <color theme="0" tint="-0.14993743705557422"/>
        </right>
        <top style="thin">
          <color theme="0" tint="-0.14993743705557422"/>
        </top>
        <bottom style="thin">
          <color theme="0" tint="-0.14993743705557422"/>
        </bottom>
        <vertical/>
        <horizontal/>
      </border>
    </dxf>
    <dxf>
      <font>
        <color theme="0" tint="-0.14996795556505021"/>
      </font>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border>
    </dxf>
    <dxf>
      <font>
        <color theme="0" tint="-0.14996795556505021"/>
      </font>
    </dxf>
    <dxf>
      <font>
        <color theme="0" tint="-0.14996795556505021"/>
      </font>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1" tint="0.24994659260841701"/>
      </font>
    </dxf>
    <dxf>
      <font>
        <color theme="0" tint="-0.14996795556505021"/>
      </font>
      <fill>
        <patternFill>
          <bgColor theme="0" tint="-0.14996795556505021"/>
        </patternFill>
      </fill>
    </dxf>
    <dxf>
      <font>
        <color rgb="FF969696"/>
      </font>
      <fill>
        <patternFill>
          <bgColor theme="0" tint="-0.14996795556505021"/>
        </patternFill>
      </fill>
    </dxf>
    <dxf>
      <font>
        <color theme="0" tint="-0.14996795556505021"/>
      </font>
      <fill>
        <patternFill>
          <bgColor theme="0" tint="-4.9989318521683403E-2"/>
        </patternFill>
      </fill>
    </dxf>
    <dxf>
      <font>
        <condense val="0"/>
        <extend val="0"/>
        <color indexed="14"/>
      </font>
      <fill>
        <patternFill>
          <bgColor indexed="14"/>
        </patternFill>
      </fill>
      <border>
        <left/>
        <right/>
        <top/>
        <bottom/>
      </border>
    </dxf>
    <dxf>
      <font>
        <condense val="0"/>
        <extend val="0"/>
        <color indexed="14"/>
      </font>
      <fill>
        <patternFill>
          <bgColor indexed="14"/>
        </patternFill>
      </fill>
      <border>
        <left/>
        <right/>
        <top/>
        <bottom/>
      </border>
    </dxf>
    <dxf>
      <font>
        <condense val="0"/>
        <extend val="0"/>
        <color indexed="14"/>
      </font>
      <fill>
        <patternFill>
          <bgColor indexed="14"/>
        </patternFill>
      </fill>
      <border>
        <left/>
        <right/>
        <top/>
        <bottom/>
      </border>
    </dxf>
    <dxf>
      <font>
        <condense val="0"/>
        <extend val="0"/>
        <color indexed="14"/>
      </font>
      <fill>
        <patternFill>
          <bgColor indexed="14"/>
        </patternFill>
      </fill>
      <border>
        <left/>
        <right/>
        <top/>
        <bottom/>
      </border>
    </dxf>
    <dxf>
      <font>
        <condense val="0"/>
        <extend val="0"/>
        <color indexed="14"/>
      </font>
      <fill>
        <patternFill>
          <bgColor indexed="14"/>
        </patternFill>
      </fill>
      <border>
        <left/>
        <right/>
        <top/>
        <bottom/>
      </border>
    </dxf>
    <dxf>
      <font>
        <condense val="0"/>
        <extend val="0"/>
        <color indexed="14"/>
      </font>
      <fill>
        <patternFill>
          <bgColor indexed="14"/>
        </patternFill>
      </fill>
      <border>
        <left/>
        <right/>
        <top/>
        <bottom/>
      </border>
    </dxf>
    <dxf>
      <font>
        <condense val="0"/>
        <extend val="0"/>
        <color indexed="14"/>
      </font>
      <fill>
        <patternFill>
          <bgColor indexed="14"/>
        </patternFill>
      </fill>
      <border>
        <left/>
        <right/>
        <top/>
        <bottom/>
      </border>
    </dxf>
    <dxf>
      <font>
        <condense val="0"/>
        <extend val="0"/>
        <color indexed="14"/>
      </font>
      <fill>
        <patternFill>
          <bgColor indexed="14"/>
        </patternFill>
      </fill>
      <border>
        <left/>
        <right/>
        <top/>
        <bottom/>
      </border>
    </dxf>
    <dxf>
      <font>
        <condense val="0"/>
        <extend val="0"/>
        <color indexed="14"/>
      </font>
      <fill>
        <patternFill>
          <bgColor indexed="14"/>
        </patternFill>
      </fill>
      <border>
        <left/>
        <right/>
        <top/>
        <bottom/>
      </border>
    </dxf>
    <dxf>
      <font>
        <condense val="0"/>
        <extend val="0"/>
        <color indexed="14"/>
      </font>
      <fill>
        <patternFill>
          <bgColor indexed="14"/>
        </patternFill>
      </fill>
      <border>
        <left/>
        <right/>
        <top/>
        <bottom/>
      </border>
    </dxf>
    <dxf>
      <font>
        <condense val="0"/>
        <extend val="0"/>
        <color indexed="14"/>
      </font>
      <fill>
        <patternFill>
          <bgColor indexed="14"/>
        </patternFill>
      </fill>
      <border>
        <left/>
        <right/>
        <top/>
        <bottom/>
      </border>
    </dxf>
    <dxf>
      <font>
        <condense val="0"/>
        <extend val="0"/>
        <color indexed="14"/>
      </font>
      <fill>
        <patternFill>
          <bgColor indexed="14"/>
        </patternFill>
      </fill>
      <border>
        <left/>
        <right/>
        <top/>
        <bottom/>
      </border>
    </dxf>
    <dxf>
      <font>
        <condense val="0"/>
        <extend val="0"/>
        <color indexed="14"/>
      </font>
      <fill>
        <patternFill>
          <bgColor indexed="14"/>
        </patternFill>
      </fill>
      <border>
        <left/>
        <right/>
        <top/>
        <bottom/>
      </border>
    </dxf>
    <dxf>
      <font>
        <condense val="0"/>
        <extend val="0"/>
        <color indexed="14"/>
      </font>
      <fill>
        <patternFill>
          <bgColor indexed="14"/>
        </patternFill>
      </fill>
      <border>
        <left/>
        <right/>
        <top/>
        <bottom/>
      </border>
    </dxf>
    <dxf>
      <font>
        <condense val="0"/>
        <extend val="0"/>
        <color indexed="14"/>
      </font>
      <fill>
        <patternFill>
          <bgColor indexed="14"/>
        </patternFill>
      </fill>
      <border>
        <left/>
        <right/>
        <top/>
        <bottom/>
      </border>
    </dxf>
    <dxf>
      <font>
        <condense val="0"/>
        <extend val="0"/>
        <color indexed="14"/>
      </font>
      <fill>
        <patternFill>
          <bgColor indexed="14"/>
        </patternFill>
      </fill>
      <border>
        <left/>
        <right/>
        <top/>
        <bottom/>
      </border>
    </dxf>
    <dxf>
      <font>
        <condense val="0"/>
        <extend val="0"/>
        <color indexed="49"/>
      </font>
      <fill>
        <patternFill>
          <bgColor indexed="49"/>
        </patternFill>
      </fill>
      <border>
        <left/>
        <right/>
        <top/>
        <bottom/>
      </border>
    </dxf>
    <dxf>
      <font>
        <condense val="0"/>
        <extend val="0"/>
        <color indexed="49"/>
      </font>
      <fill>
        <patternFill>
          <bgColor indexed="49"/>
        </patternFill>
      </fill>
      <border>
        <left/>
        <right/>
        <top/>
        <bottom/>
      </border>
    </dxf>
    <dxf>
      <font>
        <condense val="0"/>
        <extend val="0"/>
        <color indexed="10"/>
      </font>
    </dxf>
    <dxf>
      <font>
        <b/>
        <i val="0"/>
        <condense val="0"/>
        <extend val="0"/>
        <color indexed="10"/>
      </font>
      <fill>
        <patternFill patternType="solid">
          <bgColor indexed="22"/>
        </patternFill>
      </fill>
      <border>
        <left style="thin">
          <color indexed="64"/>
        </left>
        <right style="thin">
          <color indexed="64"/>
        </right>
        <top style="thin">
          <color indexed="64"/>
        </top>
        <bottom style="thin">
          <color indexed="64"/>
        </bottom>
      </border>
    </dxf>
    <dxf>
      <font>
        <condense val="0"/>
        <extend val="0"/>
        <color indexed="49"/>
      </font>
      <fill>
        <patternFill>
          <bgColor indexed="49"/>
        </patternFill>
      </fill>
      <border>
        <left/>
        <right/>
        <top/>
        <bottom/>
      </border>
    </dxf>
    <dxf>
      <font>
        <b/>
        <i val="0"/>
        <condense val="0"/>
        <extend val="0"/>
        <color indexed="10"/>
      </font>
    </dxf>
    <dxf>
      <font>
        <strike val="0"/>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6EBB1F"/>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2C3238"/>
      <rgbColor rgb="00CCFFFF"/>
      <rgbColor rgb="009DA927"/>
      <rgbColor rgb="00FFFF99"/>
      <rgbColor rgb="0099CCFF"/>
      <rgbColor rgb="00698F13"/>
      <rgbColor rgb="009D4639"/>
      <rgbColor rgb="00FFCC99"/>
      <rgbColor rgb="003366FF"/>
      <rgbColor rgb="0033CCCC"/>
      <rgbColor rgb="00706E16"/>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66FF"/>
      <color rgb="FFCC3300"/>
      <color rgb="FFD47C1F"/>
      <color rgb="FF9D4639"/>
      <color rgb="FF1F497D"/>
      <color rgb="FF4F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'Potable Water Calculator'!$B$101</c:f>
          <c:strCache>
            <c:ptCount val="1"/>
            <c:pt idx="0">
              <c:v>Summary of occupant amenity water consumption</c:v>
            </c:pt>
          </c:strCache>
        </c:strRef>
      </c:tx>
      <c:layout>
        <c:manualLayout>
          <c:xMode val="edge"/>
          <c:yMode val="edge"/>
          <c:x val="0.10387303208649742"/>
          <c:y val="3.8495855153119082E-2"/>
        </c:manualLayout>
      </c:layout>
      <c:overlay val="1"/>
      <c:txPr>
        <a:bodyPr/>
        <a:lstStyle/>
        <a:p>
          <a:pPr>
            <a:defRPr lang="en-ZA" sz="1050">
              <a:latin typeface="Arial" pitchFamily="34" charset="0"/>
              <a:cs typeface="Arial" pitchFamily="34" charset="0"/>
            </a:defRPr>
          </a:pPr>
          <a:endParaRPr lang="en-US"/>
        </a:p>
      </c:txPr>
    </c:title>
    <c:autoTitleDeleted val="0"/>
    <c:plotArea>
      <c:layout>
        <c:manualLayout>
          <c:layoutTarget val="inner"/>
          <c:xMode val="edge"/>
          <c:yMode val="edge"/>
          <c:x val="0.11914788949464288"/>
          <c:y val="0.18685702083807221"/>
          <c:w val="0.67379005954810778"/>
          <c:h val="0.65680730469820015"/>
        </c:manualLayout>
      </c:layout>
      <c:barChart>
        <c:barDir val="col"/>
        <c:grouping val="stacked"/>
        <c:varyColors val="0"/>
        <c:ser>
          <c:idx val="4"/>
          <c:order val="0"/>
          <c:tx>
            <c:strRef>
              <c:f>'Potable Water Calculator'!$B$105</c:f>
              <c:strCache>
                <c:ptCount val="1"/>
                <c:pt idx="0">
                  <c:v>WC</c:v>
                </c:pt>
              </c:strCache>
            </c:strRef>
          </c:tx>
          <c:spPr>
            <a:solidFill>
              <a:schemeClr val="bg2">
                <a:lumMod val="25000"/>
              </a:schemeClr>
            </a:solidFill>
            <a:effectLst>
              <a:outerShdw blurRad="50800" dist="38100" dir="2700000" algn="tl" rotWithShape="0">
                <a:prstClr val="black">
                  <a:alpha val="40000"/>
                </a:prstClr>
              </a:outerShdw>
            </a:effectLst>
          </c:spPr>
          <c:invertIfNegative val="0"/>
          <c:cat>
            <c:strRef>
              <c:f>'Potable Water Calculator'!$M$4:$M$5</c:f>
              <c:strCache>
                <c:ptCount val="2"/>
                <c:pt idx="0">
                  <c:v>Actual Building</c:v>
                </c:pt>
                <c:pt idx="1">
                  <c:v>Notional Building</c:v>
                </c:pt>
              </c:strCache>
            </c:strRef>
          </c:cat>
          <c:val>
            <c:numRef>
              <c:f>'Potable Water Calculator'!$C$105:$D$105</c:f>
              <c:numCache>
                <c:formatCode>#,##0</c:formatCode>
                <c:ptCount val="2"/>
                <c:pt idx="0">
                  <c:v>0</c:v>
                </c:pt>
                <c:pt idx="1">
                  <c:v>0</c:v>
                </c:pt>
              </c:numCache>
            </c:numRef>
          </c:val>
        </c:ser>
        <c:ser>
          <c:idx val="0"/>
          <c:order val="1"/>
          <c:tx>
            <c:strRef>
              <c:f>'Potable Water Calculator'!$B$106</c:f>
              <c:strCache>
                <c:ptCount val="1"/>
                <c:pt idx="0">
                  <c:v>Urinals</c:v>
                </c:pt>
              </c:strCache>
            </c:strRef>
          </c:tx>
          <c:spPr>
            <a:solidFill>
              <a:schemeClr val="bg2">
                <a:lumMod val="50000"/>
              </a:schemeClr>
            </a:solidFill>
          </c:spPr>
          <c:invertIfNegative val="0"/>
          <c:cat>
            <c:strRef>
              <c:f>'Potable Water Calculator'!$M$4:$M$5</c:f>
              <c:strCache>
                <c:ptCount val="2"/>
                <c:pt idx="0">
                  <c:v>Actual Building</c:v>
                </c:pt>
                <c:pt idx="1">
                  <c:v>Notional Building</c:v>
                </c:pt>
              </c:strCache>
            </c:strRef>
          </c:cat>
          <c:val>
            <c:numRef>
              <c:f>'Potable Water Calculator'!$C$106:$D$106</c:f>
              <c:numCache>
                <c:formatCode>#,##0</c:formatCode>
                <c:ptCount val="2"/>
                <c:pt idx="0">
                  <c:v>0</c:v>
                </c:pt>
                <c:pt idx="1">
                  <c:v>0</c:v>
                </c:pt>
              </c:numCache>
            </c:numRef>
          </c:val>
        </c:ser>
        <c:ser>
          <c:idx val="1"/>
          <c:order val="2"/>
          <c:tx>
            <c:strRef>
              <c:f>'Potable Water Calculator'!$B$107</c:f>
              <c:strCache>
                <c:ptCount val="1"/>
                <c:pt idx="0">
                  <c:v>Indoor taps</c:v>
                </c:pt>
              </c:strCache>
            </c:strRef>
          </c:tx>
          <c:spPr>
            <a:solidFill>
              <a:schemeClr val="accent1">
                <a:lumMod val="75000"/>
              </a:schemeClr>
            </a:solidFill>
          </c:spPr>
          <c:invertIfNegative val="0"/>
          <c:cat>
            <c:strRef>
              <c:f>'Potable Water Calculator'!$M$4:$M$5</c:f>
              <c:strCache>
                <c:ptCount val="2"/>
                <c:pt idx="0">
                  <c:v>Actual Building</c:v>
                </c:pt>
                <c:pt idx="1">
                  <c:v>Notional Building</c:v>
                </c:pt>
              </c:strCache>
            </c:strRef>
          </c:cat>
          <c:val>
            <c:numRef>
              <c:f>'Potable Water Calculator'!$C$107:$D$107</c:f>
              <c:numCache>
                <c:formatCode>#,##0</c:formatCode>
                <c:ptCount val="2"/>
                <c:pt idx="0">
                  <c:v>0</c:v>
                </c:pt>
                <c:pt idx="1">
                  <c:v>0</c:v>
                </c:pt>
              </c:numCache>
            </c:numRef>
          </c:val>
        </c:ser>
        <c:ser>
          <c:idx val="2"/>
          <c:order val="3"/>
          <c:tx>
            <c:strRef>
              <c:f>'Potable Water Calculator'!$B$108</c:f>
              <c:strCache>
                <c:ptCount val="1"/>
                <c:pt idx="0">
                  <c:v>Showers</c:v>
                </c:pt>
              </c:strCache>
            </c:strRef>
          </c:tx>
          <c:spPr>
            <a:solidFill>
              <a:schemeClr val="tx2"/>
            </a:solidFill>
          </c:spPr>
          <c:invertIfNegative val="0"/>
          <c:cat>
            <c:strRef>
              <c:f>'Potable Water Calculator'!$M$4:$M$5</c:f>
              <c:strCache>
                <c:ptCount val="2"/>
                <c:pt idx="0">
                  <c:v>Actual Building</c:v>
                </c:pt>
                <c:pt idx="1">
                  <c:v>Notional Building</c:v>
                </c:pt>
              </c:strCache>
            </c:strRef>
          </c:cat>
          <c:val>
            <c:numRef>
              <c:f>'Potable Water Calculator'!$C$108:$D$108</c:f>
              <c:numCache>
                <c:formatCode>#,##0</c:formatCode>
                <c:ptCount val="2"/>
                <c:pt idx="0">
                  <c:v>0</c:v>
                </c:pt>
                <c:pt idx="1">
                  <c:v>0</c:v>
                </c:pt>
              </c:numCache>
            </c:numRef>
          </c:val>
        </c:ser>
        <c:dLbls>
          <c:showLegendKey val="0"/>
          <c:showVal val="0"/>
          <c:showCatName val="0"/>
          <c:showSerName val="0"/>
          <c:showPercent val="0"/>
          <c:showBubbleSize val="0"/>
        </c:dLbls>
        <c:gapWidth val="127"/>
        <c:overlap val="100"/>
        <c:axId val="1143245472"/>
        <c:axId val="1143248192"/>
      </c:barChart>
      <c:catAx>
        <c:axId val="1143245472"/>
        <c:scaling>
          <c:orientation val="minMax"/>
        </c:scaling>
        <c:delete val="0"/>
        <c:axPos val="b"/>
        <c:numFmt formatCode="General" sourceLinked="1"/>
        <c:majorTickMark val="out"/>
        <c:minorTickMark val="none"/>
        <c:tickLblPos val="nextTo"/>
        <c:txPr>
          <a:bodyPr/>
          <a:lstStyle/>
          <a:p>
            <a:pPr>
              <a:defRPr lang="en-ZA" sz="1000" b="1">
                <a:latin typeface="Arial" pitchFamily="34" charset="0"/>
                <a:cs typeface="Arial" pitchFamily="34" charset="0"/>
              </a:defRPr>
            </a:pPr>
            <a:endParaRPr lang="en-US"/>
          </a:p>
        </c:txPr>
        <c:crossAx val="1143248192"/>
        <c:crosses val="autoZero"/>
        <c:auto val="1"/>
        <c:lblAlgn val="ctr"/>
        <c:lblOffset val="100"/>
        <c:noMultiLvlLbl val="0"/>
      </c:catAx>
      <c:valAx>
        <c:axId val="1143248192"/>
        <c:scaling>
          <c:orientation val="minMax"/>
        </c:scaling>
        <c:delete val="0"/>
        <c:axPos val="l"/>
        <c:majorGridlines/>
        <c:title>
          <c:tx>
            <c:strRef>
              <c:f>'Potable Water Calculator'!$C$104</c:f>
              <c:strCache>
                <c:ptCount val="1"/>
                <c:pt idx="0">
                  <c:v>(m3 per year)</c:v>
                </c:pt>
              </c:strCache>
            </c:strRef>
          </c:tx>
          <c:layout>
            <c:manualLayout>
              <c:xMode val="edge"/>
              <c:yMode val="edge"/>
              <c:x val="5.9720063378505116E-3"/>
              <c:y val="0.34179604211338388"/>
            </c:manualLayout>
          </c:layout>
          <c:overlay val="0"/>
          <c:txPr>
            <a:bodyPr rot="-5400000" vert="horz"/>
            <a:lstStyle/>
            <a:p>
              <a:pPr>
                <a:defRPr lang="en-ZA" sz="900">
                  <a:latin typeface="Arial" pitchFamily="34" charset="0"/>
                  <a:cs typeface="Arial" pitchFamily="34" charset="0"/>
                </a:defRPr>
              </a:pPr>
              <a:endParaRPr lang="en-US"/>
            </a:p>
          </c:txPr>
        </c:title>
        <c:numFmt formatCode="0" sourceLinked="0"/>
        <c:majorTickMark val="none"/>
        <c:minorTickMark val="none"/>
        <c:tickLblPos val="nextTo"/>
        <c:txPr>
          <a:bodyPr/>
          <a:lstStyle/>
          <a:p>
            <a:pPr>
              <a:defRPr lang="en-ZA" sz="700">
                <a:solidFill>
                  <a:schemeClr val="tx1">
                    <a:lumMod val="65000"/>
                    <a:lumOff val="35000"/>
                  </a:schemeClr>
                </a:solidFill>
                <a:latin typeface="Arial" pitchFamily="34" charset="0"/>
                <a:cs typeface="Arial" pitchFamily="34" charset="0"/>
              </a:defRPr>
            </a:pPr>
            <a:endParaRPr lang="en-US"/>
          </a:p>
        </c:txPr>
        <c:crossAx val="1143245472"/>
        <c:crosses val="autoZero"/>
        <c:crossBetween val="between"/>
      </c:valAx>
      <c:spPr>
        <a:noFill/>
      </c:spPr>
    </c:plotArea>
    <c:legend>
      <c:legendPos val="r"/>
      <c:layout>
        <c:manualLayout>
          <c:xMode val="edge"/>
          <c:yMode val="edge"/>
          <c:x val="0.79624134828242199"/>
          <c:y val="0.38254648248967488"/>
          <c:w val="0.18123629691781445"/>
          <c:h val="0.333981152346841"/>
        </c:manualLayout>
      </c:layout>
      <c:overlay val="0"/>
      <c:spPr>
        <a:solidFill>
          <a:schemeClr val="bg1"/>
        </a:solidFill>
      </c:spPr>
      <c:txPr>
        <a:bodyPr/>
        <a:lstStyle/>
        <a:p>
          <a:pPr>
            <a:defRPr lang="en-ZA"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1266" l="0.70000000000000062" r="0.70000000000000062" t="0.75000000000001266"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1350" b="1" i="0" u="none" strike="noStrike" baseline="0">
                <a:solidFill>
                  <a:srgbClr val="000000"/>
                </a:solidFill>
                <a:latin typeface="Verdana"/>
                <a:ea typeface="Verdana"/>
                <a:cs typeface="Verdana"/>
              </a:defRPr>
            </a:pPr>
            <a:r>
              <a:rPr lang="en-ZA"/>
              <a:t>Points Achieved</a:t>
            </a:r>
          </a:p>
        </c:rich>
      </c:tx>
      <c:layout>
        <c:manualLayout>
          <c:xMode val="edge"/>
          <c:yMode val="edge"/>
          <c:x val="0.38726818298907129"/>
          <c:y val="3.0737704918032786E-2"/>
        </c:manualLayout>
      </c:layout>
      <c:overlay val="0"/>
      <c:spPr>
        <a:noFill/>
        <a:ln w="25400">
          <a:noFill/>
        </a:ln>
      </c:spPr>
    </c:title>
    <c:autoTitleDeleted val="0"/>
    <c:plotArea>
      <c:layout>
        <c:manualLayout>
          <c:layoutTarget val="inner"/>
          <c:xMode val="edge"/>
          <c:yMode val="edge"/>
          <c:x val="7.7990746860542123E-2"/>
          <c:y val="0.25261125482515773"/>
          <c:w val="0.89358889623265036"/>
          <c:h val="0.45151775468748712"/>
        </c:manualLayout>
      </c:layout>
      <c:barChart>
        <c:barDir val="col"/>
        <c:grouping val="stacked"/>
        <c:varyColors val="0"/>
        <c:ser>
          <c:idx val="0"/>
          <c:order val="0"/>
          <c:tx>
            <c:strRef>
              <c:f>Calculation1!$H$64</c:f>
              <c:strCache>
                <c:ptCount val="1"/>
                <c:pt idx="0">
                  <c:v>Available</c:v>
                </c:pt>
              </c:strCache>
            </c:strRef>
          </c:tx>
          <c:spPr>
            <a:solidFill>
              <a:srgbClr val="003366"/>
            </a:solidFill>
            <a:ln w="12700">
              <a:solidFill>
                <a:srgbClr val="003366"/>
              </a:solidFill>
              <a:prstDash val="solid"/>
            </a:ln>
          </c:spPr>
          <c:invertIfNegative val="0"/>
          <c:cat>
            <c:strRef>
              <c:f>Calculation1!$G$65:$G$80</c:f>
              <c:strCache>
                <c:ptCount val="15"/>
                <c:pt idx="0">
                  <c:v>Management</c:v>
                </c:pt>
                <c:pt idx="2">
                  <c:v>IEQ</c:v>
                </c:pt>
                <c:pt idx="4">
                  <c:v>Energy</c:v>
                </c:pt>
                <c:pt idx="6">
                  <c:v>Transport</c:v>
                </c:pt>
                <c:pt idx="8">
                  <c:v>Water</c:v>
                </c:pt>
                <c:pt idx="10">
                  <c:v>Materials</c:v>
                </c:pt>
                <c:pt idx="12">
                  <c:v>Land use &amp; Ecology</c:v>
                </c:pt>
                <c:pt idx="14">
                  <c:v>Emissions</c:v>
                </c:pt>
              </c:strCache>
            </c:strRef>
          </c:cat>
          <c:val>
            <c:numRef>
              <c:f>Calculation1!$H$65:$H$80</c:f>
              <c:numCache>
                <c:formatCode>General</c:formatCode>
                <c:ptCount val="16"/>
                <c:pt idx="0">
                  <c:v>17</c:v>
                </c:pt>
                <c:pt idx="2">
                  <c:v>23</c:v>
                </c:pt>
                <c:pt idx="4">
                  <c:v>30</c:v>
                </c:pt>
                <c:pt idx="6">
                  <c:v>18</c:v>
                </c:pt>
                <c:pt idx="8">
                  <c:v>15</c:v>
                </c:pt>
                <c:pt idx="10">
                  <c:v>24</c:v>
                </c:pt>
                <c:pt idx="12">
                  <c:v>12</c:v>
                </c:pt>
                <c:pt idx="14">
                  <c:v>17</c:v>
                </c:pt>
              </c:numCache>
            </c:numRef>
          </c:val>
        </c:ser>
        <c:ser>
          <c:idx val="1"/>
          <c:order val="1"/>
          <c:tx>
            <c:strRef>
              <c:f>Calculation1!$I$64</c:f>
              <c:strCache>
                <c:ptCount val="1"/>
                <c:pt idx="0">
                  <c:v>Achieved</c:v>
                </c:pt>
              </c:strCache>
            </c:strRef>
          </c:tx>
          <c:spPr>
            <a:solidFill>
              <a:srgbClr val="808080"/>
            </a:solidFill>
            <a:ln w="12700">
              <a:solidFill>
                <a:srgbClr val="333333"/>
              </a:solidFill>
              <a:prstDash val="solid"/>
            </a:ln>
          </c:spPr>
          <c:invertIfNegative val="0"/>
          <c:cat>
            <c:strRef>
              <c:f>Calculation1!$G$65:$G$80</c:f>
              <c:strCache>
                <c:ptCount val="15"/>
                <c:pt idx="0">
                  <c:v>Management</c:v>
                </c:pt>
                <c:pt idx="2">
                  <c:v>IEQ</c:v>
                </c:pt>
                <c:pt idx="4">
                  <c:v>Energy</c:v>
                </c:pt>
                <c:pt idx="6">
                  <c:v>Transport</c:v>
                </c:pt>
                <c:pt idx="8">
                  <c:v>Water</c:v>
                </c:pt>
                <c:pt idx="10">
                  <c:v>Materials</c:v>
                </c:pt>
                <c:pt idx="12">
                  <c:v>Land use &amp; Ecology</c:v>
                </c:pt>
                <c:pt idx="14">
                  <c:v>Emissions</c:v>
                </c:pt>
              </c:strCache>
            </c:strRef>
          </c:cat>
          <c:val>
            <c:numRef>
              <c:f>Calculation1!$I$65:$I$80</c:f>
              <c:numCache>
                <c:formatCode>General</c:formatCode>
                <c:ptCount val="16"/>
                <c:pt idx="1">
                  <c:v>0</c:v>
                </c:pt>
                <c:pt idx="3">
                  <c:v>0</c:v>
                </c:pt>
                <c:pt idx="5">
                  <c:v>0</c:v>
                </c:pt>
                <c:pt idx="7">
                  <c:v>0</c:v>
                </c:pt>
                <c:pt idx="9">
                  <c:v>0</c:v>
                </c:pt>
                <c:pt idx="11">
                  <c:v>0</c:v>
                </c:pt>
                <c:pt idx="13">
                  <c:v>0</c:v>
                </c:pt>
                <c:pt idx="15">
                  <c:v>0</c:v>
                </c:pt>
              </c:numCache>
            </c:numRef>
          </c:val>
        </c:ser>
        <c:ser>
          <c:idx val="2"/>
          <c:order val="2"/>
          <c:tx>
            <c:v>Potential</c:v>
          </c:tx>
          <c:spPr>
            <a:pattFill prst="ltUpDiag">
              <a:fgClr>
                <a:srgbClr val="808080"/>
              </a:fgClr>
              <a:bgClr>
                <a:srgbClr val="FFFFFF"/>
              </a:bgClr>
            </a:pattFill>
            <a:ln w="12700">
              <a:solidFill>
                <a:srgbClr val="333333"/>
              </a:solidFill>
              <a:prstDash val="solid"/>
            </a:ln>
          </c:spPr>
          <c:invertIfNegative val="0"/>
          <c:cat>
            <c:strRef>
              <c:f>Calculation1!$G$65:$G$80</c:f>
              <c:strCache>
                <c:ptCount val="15"/>
                <c:pt idx="0">
                  <c:v>Management</c:v>
                </c:pt>
                <c:pt idx="2">
                  <c:v>IEQ</c:v>
                </c:pt>
                <c:pt idx="4">
                  <c:v>Energy</c:v>
                </c:pt>
                <c:pt idx="6">
                  <c:v>Transport</c:v>
                </c:pt>
                <c:pt idx="8">
                  <c:v>Water</c:v>
                </c:pt>
                <c:pt idx="10">
                  <c:v>Materials</c:v>
                </c:pt>
                <c:pt idx="12">
                  <c:v>Land use &amp; Ecology</c:v>
                </c:pt>
                <c:pt idx="14">
                  <c:v>Emissions</c:v>
                </c:pt>
              </c:strCache>
            </c:strRef>
          </c:cat>
          <c:val>
            <c:numRef>
              <c:f>Calculation1!$J$65:$J$80</c:f>
              <c:numCache>
                <c:formatCode>General</c:formatCode>
                <c:ptCount val="16"/>
                <c:pt idx="1">
                  <c:v>0</c:v>
                </c:pt>
                <c:pt idx="3">
                  <c:v>0</c:v>
                </c:pt>
                <c:pt idx="5">
                  <c:v>0</c:v>
                </c:pt>
                <c:pt idx="7">
                  <c:v>0</c:v>
                </c:pt>
                <c:pt idx="9">
                  <c:v>0</c:v>
                </c:pt>
                <c:pt idx="11">
                  <c:v>0</c:v>
                </c:pt>
                <c:pt idx="13" formatCode="0">
                  <c:v>0</c:v>
                </c:pt>
                <c:pt idx="15">
                  <c:v>0</c:v>
                </c:pt>
              </c:numCache>
            </c:numRef>
          </c:val>
        </c:ser>
        <c:dLbls>
          <c:showLegendKey val="0"/>
          <c:showVal val="0"/>
          <c:showCatName val="0"/>
          <c:showSerName val="0"/>
          <c:showPercent val="0"/>
          <c:showBubbleSize val="0"/>
        </c:dLbls>
        <c:gapWidth val="150"/>
        <c:overlap val="100"/>
        <c:axId val="1143650720"/>
        <c:axId val="1143644736"/>
      </c:barChart>
      <c:catAx>
        <c:axId val="1143650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lang="en-ZA" sz="1150" b="0" i="0" u="none" strike="noStrike" baseline="0">
                <a:solidFill>
                  <a:srgbClr val="000000"/>
                </a:solidFill>
                <a:latin typeface="Arial"/>
                <a:ea typeface="Arial"/>
                <a:cs typeface="Arial"/>
              </a:defRPr>
            </a:pPr>
            <a:endParaRPr lang="en-US"/>
          </a:p>
        </c:txPr>
        <c:crossAx val="1143644736"/>
        <c:crosses val="autoZero"/>
        <c:auto val="1"/>
        <c:lblAlgn val="ctr"/>
        <c:lblOffset val="0"/>
        <c:tickLblSkip val="2"/>
        <c:tickMarkSkip val="2"/>
        <c:noMultiLvlLbl val="0"/>
      </c:catAx>
      <c:valAx>
        <c:axId val="1143644736"/>
        <c:scaling>
          <c:orientation val="minMax"/>
        </c:scaling>
        <c:delete val="0"/>
        <c:axPos val="l"/>
        <c:majorGridlines>
          <c:spPr>
            <a:ln w="3175">
              <a:solidFill>
                <a:srgbClr val="C0C0C0"/>
              </a:solidFill>
              <a:prstDash val="solid"/>
            </a:ln>
          </c:spPr>
        </c:majorGridlines>
        <c:title>
          <c:tx>
            <c:rich>
              <a:bodyPr/>
              <a:lstStyle/>
              <a:p>
                <a:pPr>
                  <a:defRPr lang="en-ZA" sz="1150" b="1" i="0" u="none" strike="noStrike" baseline="0">
                    <a:solidFill>
                      <a:srgbClr val="000000"/>
                    </a:solidFill>
                    <a:latin typeface="Arial"/>
                    <a:ea typeface="Arial"/>
                    <a:cs typeface="Arial"/>
                  </a:defRPr>
                </a:pPr>
                <a:r>
                  <a:rPr lang="en-ZA"/>
                  <a:t>No. of Points</a:t>
                </a:r>
              </a:p>
            </c:rich>
          </c:tx>
          <c:layout>
            <c:manualLayout>
              <c:xMode val="edge"/>
              <c:yMode val="edge"/>
              <c:x val="6.6666666666666714E-3"/>
              <c:y val="0.2730058947549631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ZA" sz="900" b="0" i="0" u="none" strike="noStrike" baseline="0">
                <a:solidFill>
                  <a:srgbClr val="000000"/>
                </a:solidFill>
                <a:latin typeface="Verdana"/>
                <a:ea typeface="Verdana"/>
                <a:cs typeface="Verdana"/>
              </a:defRPr>
            </a:pPr>
            <a:endParaRPr lang="en-US"/>
          </a:p>
        </c:txPr>
        <c:crossAx val="1143650720"/>
        <c:crosses val="autoZero"/>
        <c:crossBetween val="between"/>
      </c:valAx>
      <c:spPr>
        <a:noFill/>
        <a:ln w="12700">
          <a:solidFill>
            <a:srgbClr val="808080"/>
          </a:solidFill>
          <a:prstDash val="solid"/>
        </a:ln>
      </c:spPr>
    </c:plotArea>
    <c:legend>
      <c:legendPos val="r"/>
      <c:layout>
        <c:manualLayout>
          <c:xMode val="edge"/>
          <c:yMode val="edge"/>
          <c:x val="0.23474814984997286"/>
          <c:y val="0.91598360655737765"/>
          <c:w val="0.5557033354915506"/>
          <c:h val="5.7377049180326933E-2"/>
        </c:manualLayout>
      </c:layout>
      <c:overlay val="0"/>
      <c:spPr>
        <a:solidFill>
          <a:srgbClr val="FFFFFF"/>
        </a:solidFill>
        <a:ln w="12700">
          <a:solidFill>
            <a:srgbClr val="333333"/>
          </a:solidFill>
          <a:prstDash val="solid"/>
        </a:ln>
      </c:spPr>
      <c:txPr>
        <a:bodyPr/>
        <a:lstStyle/>
        <a:p>
          <a:pPr>
            <a:defRPr lang="en-ZA" sz="1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900" b="0" i="0" u="none" strike="noStrike" baseline="0">
          <a:solidFill>
            <a:srgbClr val="000000"/>
          </a:solidFill>
          <a:latin typeface="Verdana"/>
          <a:ea typeface="Verdana"/>
          <a:cs typeface="Verdana"/>
        </a:defRPr>
      </a:pPr>
      <a:endParaRPr lang="en-US"/>
    </a:p>
  </c:txPr>
  <c:printSettings>
    <c:headerFooter alignWithMargins="0"/>
    <c:pageMargins b="1" l="0.75000000000000788" r="0.75000000000000788" t="1" header="0.5" footer="0.5"/>
    <c:pageSetup orientation="landscape" horizontalDpi="-4" verticalDpi="-4"/>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1375" b="1" i="0" u="none" strike="noStrike" baseline="0">
                <a:solidFill>
                  <a:srgbClr val="000000"/>
                </a:solidFill>
                <a:latin typeface="Verdana"/>
                <a:ea typeface="Verdana"/>
                <a:cs typeface="Verdana"/>
              </a:defRPr>
            </a:pPr>
            <a:r>
              <a:rPr lang="en-ZA"/>
              <a:t>Category Scores (in %)</a:t>
            </a:r>
          </a:p>
        </c:rich>
      </c:tx>
      <c:layout>
        <c:manualLayout>
          <c:xMode val="edge"/>
          <c:yMode val="edge"/>
          <c:x val="0.33600041994751512"/>
          <c:y val="2.9411764705882353E-2"/>
        </c:manualLayout>
      </c:layout>
      <c:overlay val="0"/>
      <c:spPr>
        <a:noFill/>
        <a:ln w="25400">
          <a:noFill/>
        </a:ln>
      </c:spPr>
    </c:title>
    <c:autoTitleDeleted val="0"/>
    <c:plotArea>
      <c:layout>
        <c:manualLayout>
          <c:layoutTarget val="inner"/>
          <c:xMode val="edge"/>
          <c:yMode val="edge"/>
          <c:x val="0.12641394165927741"/>
          <c:y val="0.2627326429672695"/>
          <c:w val="0.83699336109142486"/>
          <c:h val="0.42265686042561235"/>
        </c:manualLayout>
      </c:layout>
      <c:barChart>
        <c:barDir val="col"/>
        <c:grouping val="stacked"/>
        <c:varyColors val="0"/>
        <c:ser>
          <c:idx val="1"/>
          <c:order val="0"/>
          <c:tx>
            <c:strRef>
              <c:f>Calculation1!$I$64</c:f>
              <c:strCache>
                <c:ptCount val="1"/>
                <c:pt idx="0">
                  <c:v>Achieved</c:v>
                </c:pt>
              </c:strCache>
            </c:strRef>
          </c:tx>
          <c:spPr>
            <a:solidFill>
              <a:srgbClr val="808080"/>
            </a:solidFill>
            <a:ln w="12700">
              <a:solidFill>
                <a:srgbClr val="333333"/>
              </a:solidFill>
              <a:prstDash val="solid"/>
            </a:ln>
          </c:spPr>
          <c:invertIfNegative val="0"/>
          <c:cat>
            <c:strRef>
              <c:f>Calculation1!$G$50:$G$57</c:f>
              <c:strCache>
                <c:ptCount val="8"/>
                <c:pt idx="0">
                  <c:v>Management</c:v>
                </c:pt>
                <c:pt idx="1">
                  <c:v>Indoor Environment Quality</c:v>
                </c:pt>
                <c:pt idx="2">
                  <c:v>Energy</c:v>
                </c:pt>
                <c:pt idx="3">
                  <c:v>Transport</c:v>
                </c:pt>
                <c:pt idx="4">
                  <c:v>Water</c:v>
                </c:pt>
                <c:pt idx="5">
                  <c:v>Materials</c:v>
                </c:pt>
                <c:pt idx="6">
                  <c:v>Land use &amp; Ecology</c:v>
                </c:pt>
                <c:pt idx="7">
                  <c:v>Emissions</c:v>
                </c:pt>
              </c:strCache>
            </c:strRef>
          </c:cat>
          <c:val>
            <c:numRef>
              <c:f>Calculation1!$I$50:$I$57</c:f>
              <c:numCache>
                <c:formatCode>0%</c:formatCode>
                <c:ptCount val="8"/>
                <c:pt idx="0">
                  <c:v>0</c:v>
                </c:pt>
                <c:pt idx="1">
                  <c:v>0</c:v>
                </c:pt>
                <c:pt idx="2">
                  <c:v>0</c:v>
                </c:pt>
                <c:pt idx="3">
                  <c:v>0</c:v>
                </c:pt>
                <c:pt idx="4">
                  <c:v>0</c:v>
                </c:pt>
                <c:pt idx="5">
                  <c:v>0</c:v>
                </c:pt>
                <c:pt idx="6">
                  <c:v>0</c:v>
                </c:pt>
                <c:pt idx="7">
                  <c:v>0</c:v>
                </c:pt>
              </c:numCache>
            </c:numRef>
          </c:val>
        </c:ser>
        <c:ser>
          <c:idx val="2"/>
          <c:order val="1"/>
          <c:tx>
            <c:v>Potential</c:v>
          </c:tx>
          <c:spPr>
            <a:pattFill prst="ltUpDiag">
              <a:fgClr>
                <a:srgbClr val="808080"/>
              </a:fgClr>
              <a:bgClr>
                <a:srgbClr val="FFFFFF"/>
              </a:bgClr>
            </a:pattFill>
            <a:ln w="12700">
              <a:solidFill>
                <a:srgbClr val="333333"/>
              </a:solidFill>
              <a:prstDash val="solid"/>
            </a:ln>
          </c:spPr>
          <c:invertIfNegative val="0"/>
          <c:cat>
            <c:strRef>
              <c:f>Calculation1!$G$50:$G$57</c:f>
              <c:strCache>
                <c:ptCount val="8"/>
                <c:pt idx="0">
                  <c:v>Management</c:v>
                </c:pt>
                <c:pt idx="1">
                  <c:v>Indoor Environment Quality</c:v>
                </c:pt>
                <c:pt idx="2">
                  <c:v>Energy</c:v>
                </c:pt>
                <c:pt idx="3">
                  <c:v>Transport</c:v>
                </c:pt>
                <c:pt idx="4">
                  <c:v>Water</c:v>
                </c:pt>
                <c:pt idx="5">
                  <c:v>Materials</c:v>
                </c:pt>
                <c:pt idx="6">
                  <c:v>Land use &amp; Ecology</c:v>
                </c:pt>
                <c:pt idx="7">
                  <c:v>Emissions</c:v>
                </c:pt>
              </c:strCache>
            </c:strRef>
          </c:cat>
          <c:val>
            <c:numRef>
              <c:f>Calculation1!$J$50:$J$57</c:f>
              <c:numCache>
                <c:formatCode>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150"/>
        <c:overlap val="100"/>
        <c:axId val="1143647456"/>
        <c:axId val="1143646368"/>
      </c:barChart>
      <c:catAx>
        <c:axId val="1143647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lang="en-ZA" sz="1175" b="0" i="0" u="none" strike="noStrike" baseline="0">
                <a:solidFill>
                  <a:srgbClr val="000000"/>
                </a:solidFill>
                <a:latin typeface="Arial"/>
                <a:ea typeface="Arial"/>
                <a:cs typeface="Arial"/>
              </a:defRPr>
            </a:pPr>
            <a:endParaRPr lang="en-US"/>
          </a:p>
        </c:txPr>
        <c:crossAx val="1143646368"/>
        <c:crosses val="autoZero"/>
        <c:auto val="1"/>
        <c:lblAlgn val="ctr"/>
        <c:lblOffset val="0"/>
        <c:tickLblSkip val="1"/>
        <c:tickMarkSkip val="1"/>
        <c:noMultiLvlLbl val="0"/>
      </c:catAx>
      <c:valAx>
        <c:axId val="1143646368"/>
        <c:scaling>
          <c:orientation val="minMax"/>
          <c:max val="1"/>
        </c:scaling>
        <c:delete val="0"/>
        <c:axPos val="l"/>
        <c:majorGridlines>
          <c:spPr>
            <a:ln w="3175">
              <a:solidFill>
                <a:srgbClr val="C0C0C0"/>
              </a:solidFill>
              <a:prstDash val="solid"/>
            </a:ln>
          </c:spPr>
        </c:majorGridlines>
        <c:title>
          <c:tx>
            <c:rich>
              <a:bodyPr/>
              <a:lstStyle/>
              <a:p>
                <a:pPr>
                  <a:defRPr lang="en-ZA" sz="1175" b="1" i="0" u="none" strike="noStrike" baseline="0">
                    <a:solidFill>
                      <a:srgbClr val="000000"/>
                    </a:solidFill>
                    <a:latin typeface="Arial"/>
                    <a:ea typeface="Arial"/>
                    <a:cs typeface="Arial"/>
                  </a:defRPr>
                </a:pPr>
                <a:r>
                  <a:rPr lang="en-ZA"/>
                  <a:t>Percentage</a:t>
                </a:r>
              </a:p>
            </c:rich>
          </c:tx>
          <c:layout>
            <c:manualLayout>
              <c:xMode val="edge"/>
              <c:yMode val="edge"/>
              <c:x val="2.3281749781277814E-2"/>
              <c:y val="0.3407723740414803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lang="en-ZA" sz="900" b="0" i="0" u="none" strike="noStrike" baseline="0">
                <a:solidFill>
                  <a:srgbClr val="000000"/>
                </a:solidFill>
                <a:latin typeface="Verdana"/>
                <a:ea typeface="Verdana"/>
                <a:cs typeface="Verdana"/>
              </a:defRPr>
            </a:pPr>
            <a:endParaRPr lang="en-US"/>
          </a:p>
        </c:txPr>
        <c:crossAx val="1143647456"/>
        <c:crosses val="autoZero"/>
        <c:crossBetween val="between"/>
      </c:valAx>
      <c:spPr>
        <a:noFill/>
        <a:ln w="12700">
          <a:solidFill>
            <a:srgbClr val="808080"/>
          </a:solidFill>
          <a:prstDash val="solid"/>
        </a:ln>
      </c:spPr>
    </c:plotArea>
    <c:legend>
      <c:legendPos val="t"/>
      <c:layout>
        <c:manualLayout>
          <c:xMode val="edge"/>
          <c:yMode val="edge"/>
          <c:x val="0.24133361329833769"/>
          <c:y val="0.15098059801348371"/>
          <c:w val="0.55866736657918425"/>
          <c:h val="5.4902166640934474E-2"/>
        </c:manualLayout>
      </c:layout>
      <c:overlay val="0"/>
      <c:spPr>
        <a:solidFill>
          <a:srgbClr val="FFFFFF"/>
        </a:solidFill>
        <a:ln w="12700">
          <a:solidFill>
            <a:srgbClr val="333333"/>
          </a:solidFill>
          <a:prstDash val="solid"/>
        </a:ln>
      </c:spPr>
      <c:txPr>
        <a:bodyPr/>
        <a:lstStyle/>
        <a:p>
          <a:pPr>
            <a:defRPr lang="en-ZA" sz="108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900" b="0" i="0" u="none" strike="noStrike" baseline="0">
          <a:solidFill>
            <a:srgbClr val="000000"/>
          </a:solidFill>
          <a:latin typeface="Verdana"/>
          <a:ea typeface="Verdana"/>
          <a:cs typeface="Verdana"/>
        </a:defRPr>
      </a:pPr>
      <a:endParaRPr lang="en-US"/>
    </a:p>
  </c:txPr>
  <c:printSettings>
    <c:headerFooter alignWithMargins="0"/>
    <c:pageMargins b="1" l="0.75000000000000788" r="0.75000000000000788" t="1" header="0.5" footer="0.5"/>
    <c:pageSetup orientation="landscape" horizontalDpi="-4" verticalDpi="-4"/>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1775" b="1" i="0" u="none" strike="noStrike" baseline="0">
                <a:solidFill>
                  <a:srgbClr val="000000"/>
                </a:solidFill>
                <a:latin typeface="Arial"/>
                <a:ea typeface="Arial"/>
                <a:cs typeface="Arial"/>
              </a:defRPr>
            </a:pPr>
            <a:r>
              <a:rPr lang="en-ZA"/>
              <a:t>Green Star SA Rating</a:t>
            </a:r>
          </a:p>
        </c:rich>
      </c:tx>
      <c:layout>
        <c:manualLayout>
          <c:xMode val="edge"/>
          <c:yMode val="edge"/>
          <c:x val="0.33288976028463735"/>
          <c:y val="3.1111111111111252E-2"/>
        </c:manualLayout>
      </c:layout>
      <c:overlay val="0"/>
      <c:spPr>
        <a:noFill/>
        <a:ln w="25400">
          <a:noFill/>
        </a:ln>
      </c:spPr>
    </c:title>
    <c:autoTitleDeleted val="0"/>
    <c:plotArea>
      <c:layout>
        <c:manualLayout>
          <c:layoutTarget val="inner"/>
          <c:xMode val="edge"/>
          <c:yMode val="edge"/>
          <c:x val="2.6534039655303692E-2"/>
          <c:y val="0.47439353099730458"/>
          <c:w val="0.90547410323722843"/>
          <c:h val="0.37735849056603782"/>
        </c:manualLayout>
      </c:layout>
      <c:barChart>
        <c:barDir val="bar"/>
        <c:grouping val="stacked"/>
        <c:varyColors val="0"/>
        <c:ser>
          <c:idx val="0"/>
          <c:order val="0"/>
          <c:tx>
            <c:strRef>
              <c:f>Calculation1!$L$48</c:f>
              <c:strCache>
                <c:ptCount val="1"/>
                <c:pt idx="0">
                  <c:v>No Rating</c:v>
                </c:pt>
              </c:strCache>
            </c:strRef>
          </c:tx>
          <c:spPr>
            <a:solidFill>
              <a:srgbClr val="FFFFFF"/>
            </a:solidFill>
            <a:ln w="12700">
              <a:solidFill>
                <a:srgbClr val="003300"/>
              </a:solidFill>
              <a:prstDash val="solid"/>
            </a:ln>
          </c:spPr>
          <c:invertIfNegative val="0"/>
          <c:val>
            <c:numRef>
              <c:f>Calculation1!$M$48:$N$48</c:f>
              <c:numCache>
                <c:formatCode>0</c:formatCode>
                <c:ptCount val="2"/>
                <c:pt idx="0">
                  <c:v>10</c:v>
                </c:pt>
                <c:pt idx="1">
                  <c:v>0</c:v>
                </c:pt>
              </c:numCache>
            </c:numRef>
          </c:val>
        </c:ser>
        <c:ser>
          <c:idx val="1"/>
          <c:order val="1"/>
          <c:tx>
            <c:strRef>
              <c:f>Calculation1!$L$49</c:f>
              <c:strCache>
                <c:ptCount val="1"/>
                <c:pt idx="0">
                  <c:v>One Star</c:v>
                </c:pt>
              </c:strCache>
            </c:strRef>
          </c:tx>
          <c:spPr>
            <a:solidFill>
              <a:srgbClr val="FFFFFF"/>
            </a:solidFill>
            <a:ln w="12700">
              <a:solidFill>
                <a:srgbClr val="003300"/>
              </a:solidFill>
              <a:prstDash val="solid"/>
            </a:ln>
          </c:spPr>
          <c:invertIfNegative val="0"/>
          <c:val>
            <c:numRef>
              <c:f>Calculation1!$M$49:$N$49</c:f>
              <c:numCache>
                <c:formatCode>0</c:formatCode>
                <c:ptCount val="2"/>
                <c:pt idx="0">
                  <c:v>10</c:v>
                </c:pt>
                <c:pt idx="1">
                  <c:v>0</c:v>
                </c:pt>
              </c:numCache>
            </c:numRef>
          </c:val>
        </c:ser>
        <c:ser>
          <c:idx val="2"/>
          <c:order val="2"/>
          <c:tx>
            <c:strRef>
              <c:f>Calculation1!$L$50</c:f>
              <c:strCache>
                <c:ptCount val="1"/>
                <c:pt idx="0">
                  <c:v>Two Star</c:v>
                </c:pt>
              </c:strCache>
            </c:strRef>
          </c:tx>
          <c:spPr>
            <a:solidFill>
              <a:srgbClr val="FFFFFF"/>
            </a:solidFill>
            <a:ln w="12700">
              <a:solidFill>
                <a:srgbClr val="003300"/>
              </a:solidFill>
              <a:prstDash val="solid"/>
            </a:ln>
          </c:spPr>
          <c:invertIfNegative val="0"/>
          <c:val>
            <c:numRef>
              <c:f>Calculation1!$M$50:$N$50</c:f>
              <c:numCache>
                <c:formatCode>0</c:formatCode>
                <c:ptCount val="2"/>
                <c:pt idx="0">
                  <c:v>10</c:v>
                </c:pt>
                <c:pt idx="1">
                  <c:v>0</c:v>
                </c:pt>
              </c:numCache>
            </c:numRef>
          </c:val>
        </c:ser>
        <c:ser>
          <c:idx val="3"/>
          <c:order val="3"/>
          <c:tx>
            <c:strRef>
              <c:f>Calculation1!$L$51</c:f>
              <c:strCache>
                <c:ptCount val="1"/>
                <c:pt idx="0">
                  <c:v>Three Star</c:v>
                </c:pt>
              </c:strCache>
            </c:strRef>
          </c:tx>
          <c:spPr>
            <a:solidFill>
              <a:srgbClr val="FFFFFF"/>
            </a:solidFill>
            <a:ln w="12700">
              <a:solidFill>
                <a:srgbClr val="003300"/>
              </a:solidFill>
              <a:prstDash val="solid"/>
            </a:ln>
          </c:spPr>
          <c:invertIfNegative val="0"/>
          <c:val>
            <c:numRef>
              <c:f>Calculation1!$M$51:$N$51</c:f>
              <c:numCache>
                <c:formatCode>0</c:formatCode>
                <c:ptCount val="2"/>
                <c:pt idx="0">
                  <c:v>15</c:v>
                </c:pt>
                <c:pt idx="1">
                  <c:v>0</c:v>
                </c:pt>
              </c:numCache>
            </c:numRef>
          </c:val>
        </c:ser>
        <c:ser>
          <c:idx val="4"/>
          <c:order val="4"/>
          <c:tx>
            <c:strRef>
              <c:f>Calculation1!$L$52</c:f>
              <c:strCache>
                <c:ptCount val="1"/>
                <c:pt idx="0">
                  <c:v>Four Star</c:v>
                </c:pt>
              </c:strCache>
            </c:strRef>
          </c:tx>
          <c:spPr>
            <a:solidFill>
              <a:srgbClr val="C0C0C0"/>
            </a:solidFill>
            <a:ln w="12700">
              <a:solidFill>
                <a:srgbClr val="003300"/>
              </a:solidFill>
              <a:prstDash val="solid"/>
            </a:ln>
          </c:spPr>
          <c:invertIfNegative val="0"/>
          <c:val>
            <c:numRef>
              <c:f>Calculation1!$M$52:$N$52</c:f>
              <c:numCache>
                <c:formatCode>0</c:formatCode>
                <c:ptCount val="2"/>
                <c:pt idx="0">
                  <c:v>15</c:v>
                </c:pt>
                <c:pt idx="1">
                  <c:v>0</c:v>
                </c:pt>
              </c:numCache>
            </c:numRef>
          </c:val>
        </c:ser>
        <c:ser>
          <c:idx val="5"/>
          <c:order val="5"/>
          <c:tx>
            <c:strRef>
              <c:f>Calculation1!$L$53</c:f>
              <c:strCache>
                <c:ptCount val="1"/>
                <c:pt idx="0">
                  <c:v>Five Star</c:v>
                </c:pt>
              </c:strCache>
            </c:strRef>
          </c:tx>
          <c:spPr>
            <a:solidFill>
              <a:srgbClr val="969696"/>
            </a:solidFill>
            <a:ln w="12700">
              <a:solidFill>
                <a:srgbClr val="003300"/>
              </a:solidFill>
              <a:prstDash val="solid"/>
            </a:ln>
          </c:spPr>
          <c:invertIfNegative val="0"/>
          <c:val>
            <c:numRef>
              <c:f>Calculation1!$M$53:$N$53</c:f>
              <c:numCache>
                <c:formatCode>0</c:formatCode>
                <c:ptCount val="2"/>
                <c:pt idx="0">
                  <c:v>15</c:v>
                </c:pt>
                <c:pt idx="1">
                  <c:v>0</c:v>
                </c:pt>
              </c:numCache>
            </c:numRef>
          </c:val>
        </c:ser>
        <c:ser>
          <c:idx val="6"/>
          <c:order val="6"/>
          <c:tx>
            <c:strRef>
              <c:f>Calculation1!$L$54</c:f>
              <c:strCache>
                <c:ptCount val="1"/>
                <c:pt idx="0">
                  <c:v>Six Stars</c:v>
                </c:pt>
              </c:strCache>
            </c:strRef>
          </c:tx>
          <c:spPr>
            <a:solidFill>
              <a:srgbClr val="808080"/>
            </a:solidFill>
            <a:ln w="12700">
              <a:solidFill>
                <a:srgbClr val="003300"/>
              </a:solidFill>
              <a:prstDash val="solid"/>
            </a:ln>
          </c:spPr>
          <c:invertIfNegative val="0"/>
          <c:val>
            <c:numRef>
              <c:f>Calculation1!$M$54:$N$54</c:f>
              <c:numCache>
                <c:formatCode>0</c:formatCode>
                <c:ptCount val="2"/>
                <c:pt idx="0">
                  <c:v>25</c:v>
                </c:pt>
                <c:pt idx="1">
                  <c:v>0</c:v>
                </c:pt>
              </c:numCache>
            </c:numRef>
          </c:val>
        </c:ser>
        <c:ser>
          <c:idx val="8"/>
          <c:order val="7"/>
          <c:tx>
            <c:v>Potential</c:v>
          </c:tx>
          <c:spPr>
            <a:pattFill prst="ltUpDiag">
              <a:fgClr>
                <a:srgbClr val="808080"/>
              </a:fgClr>
              <a:bgClr>
                <a:srgbClr val="FFFFFF"/>
              </a:bgClr>
            </a:pattFill>
            <a:ln w="3175">
              <a:solidFill>
                <a:srgbClr val="333333"/>
              </a:solidFill>
              <a:prstDash val="sysDash"/>
            </a:ln>
          </c:spPr>
          <c:invertIfNegative val="0"/>
          <c:val>
            <c:numRef>
              <c:f>Calculation1!$M$56:$N$56</c:f>
              <c:numCache>
                <c:formatCode>0</c:formatCode>
                <c:ptCount val="2"/>
                <c:pt idx="1">
                  <c:v>0</c:v>
                </c:pt>
              </c:numCache>
            </c:numRef>
          </c:val>
        </c:ser>
        <c:dLbls>
          <c:showLegendKey val="0"/>
          <c:showVal val="0"/>
          <c:showCatName val="0"/>
          <c:showSerName val="0"/>
          <c:showPercent val="0"/>
          <c:showBubbleSize val="0"/>
        </c:dLbls>
        <c:gapWidth val="60"/>
        <c:overlap val="100"/>
        <c:axId val="1143646912"/>
        <c:axId val="1143657792"/>
      </c:barChart>
      <c:catAx>
        <c:axId val="1143646912"/>
        <c:scaling>
          <c:orientation val="minMax"/>
        </c:scaling>
        <c:delete val="1"/>
        <c:axPos val="l"/>
        <c:majorTickMark val="out"/>
        <c:minorTickMark val="none"/>
        <c:tickLblPos val="none"/>
        <c:crossAx val="1143657792"/>
        <c:crosses val="autoZero"/>
        <c:auto val="1"/>
        <c:lblAlgn val="ctr"/>
        <c:lblOffset val="100"/>
        <c:noMultiLvlLbl val="0"/>
      </c:catAx>
      <c:valAx>
        <c:axId val="1143657792"/>
        <c:scaling>
          <c:orientation val="minMax"/>
          <c:max val="100"/>
          <c:min val="0"/>
        </c:scaling>
        <c:delete val="1"/>
        <c:axPos val="b"/>
        <c:numFmt formatCode="0" sourceLinked="1"/>
        <c:majorTickMark val="out"/>
        <c:minorTickMark val="none"/>
        <c:tickLblPos val="none"/>
        <c:crossAx val="1143646912"/>
        <c:crosses val="autoZero"/>
        <c:crossBetween val="between"/>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1" l="0.75000000000000788" r="0.75000000000000788" t="1" header="0.5" footer="0.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1400" b="1" i="0" u="none" strike="noStrike" baseline="0">
                <a:solidFill>
                  <a:srgbClr val="000000"/>
                </a:solidFill>
                <a:latin typeface="Verdana"/>
                <a:ea typeface="Verdana"/>
                <a:cs typeface="Verdana"/>
              </a:defRPr>
            </a:pPr>
            <a:r>
              <a:rPr lang="en-ZA"/>
              <a:t>Weighted Scores</a:t>
            </a:r>
          </a:p>
        </c:rich>
      </c:tx>
      <c:layout>
        <c:manualLayout>
          <c:xMode val="edge"/>
          <c:yMode val="edge"/>
          <c:x val="0.40211695760252186"/>
          <c:y val="3.0364372469635692E-2"/>
        </c:manualLayout>
      </c:layout>
      <c:overlay val="0"/>
      <c:spPr>
        <a:noFill/>
        <a:ln w="25400">
          <a:noFill/>
        </a:ln>
      </c:spPr>
    </c:title>
    <c:autoTitleDeleted val="0"/>
    <c:plotArea>
      <c:layout>
        <c:manualLayout>
          <c:layoutTarget val="inner"/>
          <c:xMode val="edge"/>
          <c:yMode val="edge"/>
          <c:x val="0.15044563992011156"/>
          <c:y val="0.11787819253438105"/>
          <c:w val="0.7812615687079183"/>
          <c:h val="0.56974459724952298"/>
        </c:manualLayout>
      </c:layout>
      <c:barChart>
        <c:barDir val="col"/>
        <c:grouping val="clustered"/>
        <c:varyColors val="0"/>
        <c:ser>
          <c:idx val="0"/>
          <c:order val="0"/>
          <c:tx>
            <c:strRef>
              <c:f>Calculation1!$N$64</c:f>
              <c:strCache>
                <c:ptCount val="1"/>
                <c:pt idx="0">
                  <c:v>Available</c:v>
                </c:pt>
              </c:strCache>
            </c:strRef>
          </c:tx>
          <c:spPr>
            <a:solidFill>
              <a:srgbClr val="003366"/>
            </a:solidFill>
            <a:ln w="12700">
              <a:solidFill>
                <a:srgbClr val="000000"/>
              </a:solidFill>
              <a:prstDash val="solid"/>
            </a:ln>
          </c:spPr>
          <c:invertIfNegative val="0"/>
          <c:cat>
            <c:strRef>
              <c:f>Calculation1!$M$65:$M$79</c:f>
              <c:strCache>
                <c:ptCount val="15"/>
                <c:pt idx="0">
                  <c:v>Management</c:v>
                </c:pt>
                <c:pt idx="2">
                  <c:v>IEQ</c:v>
                </c:pt>
                <c:pt idx="4">
                  <c:v>Energy</c:v>
                </c:pt>
                <c:pt idx="6">
                  <c:v>Transport</c:v>
                </c:pt>
                <c:pt idx="8">
                  <c:v>Water</c:v>
                </c:pt>
                <c:pt idx="10">
                  <c:v>Materials</c:v>
                </c:pt>
                <c:pt idx="12">
                  <c:v>Land use &amp; Ecology</c:v>
                </c:pt>
                <c:pt idx="14">
                  <c:v>Emissions</c:v>
                </c:pt>
              </c:strCache>
            </c:strRef>
          </c:cat>
          <c:val>
            <c:numRef>
              <c:f>Calculation1!$N$66:$N$80</c:f>
              <c:numCache>
                <c:formatCode>General</c:formatCode>
                <c:ptCount val="15"/>
                <c:pt idx="0" formatCode="0">
                  <c:v>11</c:v>
                </c:pt>
                <c:pt idx="2" formatCode="0">
                  <c:v>15</c:v>
                </c:pt>
                <c:pt idx="4" formatCode="0">
                  <c:v>25</c:v>
                </c:pt>
                <c:pt idx="6" formatCode="0">
                  <c:v>11</c:v>
                </c:pt>
                <c:pt idx="8" formatCode="0">
                  <c:v>12</c:v>
                </c:pt>
                <c:pt idx="10" formatCode="0">
                  <c:v>12</c:v>
                </c:pt>
                <c:pt idx="12" formatCode="0">
                  <c:v>7.0000000000000009</c:v>
                </c:pt>
                <c:pt idx="14" formatCode="0">
                  <c:v>7.0000000000000009</c:v>
                </c:pt>
              </c:numCache>
            </c:numRef>
          </c:val>
        </c:ser>
        <c:ser>
          <c:idx val="1"/>
          <c:order val="1"/>
          <c:tx>
            <c:strRef>
              <c:f>Calculation1!$O$64</c:f>
              <c:strCache>
                <c:ptCount val="1"/>
                <c:pt idx="0">
                  <c:v>Achieved</c:v>
                </c:pt>
              </c:strCache>
            </c:strRef>
          </c:tx>
          <c:spPr>
            <a:solidFill>
              <a:srgbClr val="808080"/>
            </a:solidFill>
            <a:ln w="12700">
              <a:solidFill>
                <a:srgbClr val="000000"/>
              </a:solidFill>
              <a:prstDash val="solid"/>
            </a:ln>
          </c:spPr>
          <c:invertIfNegative val="0"/>
          <c:cat>
            <c:strRef>
              <c:f>Calculation1!$M$65:$M$79</c:f>
              <c:strCache>
                <c:ptCount val="15"/>
                <c:pt idx="0">
                  <c:v>Management</c:v>
                </c:pt>
                <c:pt idx="2">
                  <c:v>IEQ</c:v>
                </c:pt>
                <c:pt idx="4">
                  <c:v>Energy</c:v>
                </c:pt>
                <c:pt idx="6">
                  <c:v>Transport</c:v>
                </c:pt>
                <c:pt idx="8">
                  <c:v>Water</c:v>
                </c:pt>
                <c:pt idx="10">
                  <c:v>Materials</c:v>
                </c:pt>
                <c:pt idx="12">
                  <c:v>Land use &amp; Ecology</c:v>
                </c:pt>
                <c:pt idx="14">
                  <c:v>Emissions</c:v>
                </c:pt>
              </c:strCache>
            </c:strRef>
          </c:cat>
          <c:val>
            <c:numRef>
              <c:f>Calculation1!$O$66:$O$80</c:f>
              <c:numCache>
                <c:formatCode>General</c:formatCode>
                <c:ptCount val="15"/>
                <c:pt idx="0" formatCode="0.0">
                  <c:v>0</c:v>
                </c:pt>
                <c:pt idx="2" formatCode="0.0">
                  <c:v>0</c:v>
                </c:pt>
                <c:pt idx="4" formatCode="0.0">
                  <c:v>0</c:v>
                </c:pt>
                <c:pt idx="6" formatCode="0.0">
                  <c:v>0</c:v>
                </c:pt>
                <c:pt idx="8" formatCode="0.0">
                  <c:v>0</c:v>
                </c:pt>
                <c:pt idx="10" formatCode="0.0">
                  <c:v>0</c:v>
                </c:pt>
                <c:pt idx="12" formatCode="0.0">
                  <c:v>0</c:v>
                </c:pt>
                <c:pt idx="14" formatCode="0.0">
                  <c:v>0</c:v>
                </c:pt>
              </c:numCache>
            </c:numRef>
          </c:val>
        </c:ser>
        <c:ser>
          <c:idx val="2"/>
          <c:order val="2"/>
          <c:tx>
            <c:v>Potential</c:v>
          </c:tx>
          <c:spPr>
            <a:pattFill prst="ltUpDiag">
              <a:fgClr>
                <a:srgbClr val="808080"/>
              </a:fgClr>
              <a:bgClr>
                <a:srgbClr val="FFFFFF"/>
              </a:bgClr>
            </a:pattFill>
            <a:ln w="12700">
              <a:solidFill>
                <a:srgbClr val="000000"/>
              </a:solidFill>
              <a:prstDash val="solid"/>
            </a:ln>
          </c:spPr>
          <c:invertIfNegative val="0"/>
          <c:cat>
            <c:strRef>
              <c:f>Calculation1!$M$65:$M$79</c:f>
              <c:strCache>
                <c:ptCount val="15"/>
                <c:pt idx="0">
                  <c:v>Management</c:v>
                </c:pt>
                <c:pt idx="2">
                  <c:v>IEQ</c:v>
                </c:pt>
                <c:pt idx="4">
                  <c:v>Energy</c:v>
                </c:pt>
                <c:pt idx="6">
                  <c:v>Transport</c:v>
                </c:pt>
                <c:pt idx="8">
                  <c:v>Water</c:v>
                </c:pt>
                <c:pt idx="10">
                  <c:v>Materials</c:v>
                </c:pt>
                <c:pt idx="12">
                  <c:v>Land use &amp; Ecology</c:v>
                </c:pt>
                <c:pt idx="14">
                  <c:v>Emissions</c:v>
                </c:pt>
              </c:strCache>
            </c:strRef>
          </c:cat>
          <c:val>
            <c:numRef>
              <c:f>Calculation1!$P$66:$P$80</c:f>
              <c:numCache>
                <c:formatCode>General</c:formatCode>
                <c:ptCount val="15"/>
                <c:pt idx="0" formatCode="0.0">
                  <c:v>0</c:v>
                </c:pt>
                <c:pt idx="2" formatCode="0.0">
                  <c:v>0</c:v>
                </c:pt>
                <c:pt idx="4" formatCode="0.0">
                  <c:v>0</c:v>
                </c:pt>
                <c:pt idx="6" formatCode="0.0">
                  <c:v>0</c:v>
                </c:pt>
                <c:pt idx="8" formatCode="0.0">
                  <c:v>0</c:v>
                </c:pt>
                <c:pt idx="10" formatCode="0.0">
                  <c:v>0</c:v>
                </c:pt>
                <c:pt idx="12" formatCode="0.0">
                  <c:v>0</c:v>
                </c:pt>
                <c:pt idx="14" formatCode="0.0">
                  <c:v>0</c:v>
                </c:pt>
              </c:numCache>
            </c:numRef>
          </c:val>
        </c:ser>
        <c:dLbls>
          <c:showLegendKey val="0"/>
          <c:showVal val="0"/>
          <c:showCatName val="0"/>
          <c:showSerName val="0"/>
          <c:showPercent val="0"/>
          <c:showBubbleSize val="0"/>
        </c:dLbls>
        <c:gapWidth val="150"/>
        <c:axId val="1169554192"/>
        <c:axId val="1169555824"/>
      </c:barChart>
      <c:catAx>
        <c:axId val="1169554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lang="en-ZA" sz="1050" b="0" i="0" u="none" strike="noStrike" baseline="0">
                <a:solidFill>
                  <a:srgbClr val="000000"/>
                </a:solidFill>
                <a:latin typeface="Arial"/>
                <a:ea typeface="Arial"/>
                <a:cs typeface="Arial"/>
              </a:defRPr>
            </a:pPr>
            <a:endParaRPr lang="en-US"/>
          </a:p>
        </c:txPr>
        <c:crossAx val="1169555824"/>
        <c:crosses val="autoZero"/>
        <c:auto val="1"/>
        <c:lblAlgn val="ctr"/>
        <c:lblOffset val="100"/>
        <c:tickLblSkip val="2"/>
        <c:tickMarkSkip val="1"/>
        <c:noMultiLvlLbl val="0"/>
      </c:catAx>
      <c:valAx>
        <c:axId val="1169555824"/>
        <c:scaling>
          <c:orientation val="minMax"/>
        </c:scaling>
        <c:delete val="0"/>
        <c:axPos val="l"/>
        <c:majorGridlines>
          <c:spPr>
            <a:ln w="3175">
              <a:solidFill>
                <a:srgbClr val="000000"/>
              </a:solidFill>
              <a:prstDash val="solid"/>
            </a:ln>
          </c:spPr>
        </c:majorGridlines>
        <c:title>
          <c:tx>
            <c:rich>
              <a:bodyPr/>
              <a:lstStyle/>
              <a:p>
                <a:pPr>
                  <a:defRPr lang="en-ZA" sz="1200" b="1" i="0" u="none" strike="noStrike" baseline="0">
                    <a:solidFill>
                      <a:srgbClr val="000000"/>
                    </a:solidFill>
                    <a:latin typeface="Arial"/>
                    <a:ea typeface="Arial"/>
                    <a:cs typeface="Arial"/>
                  </a:defRPr>
                </a:pPr>
                <a:r>
                  <a:rPr lang="en-ZA"/>
                  <a:t>Total weighted points</a:t>
                </a:r>
              </a:p>
            </c:rich>
          </c:tx>
          <c:layout>
            <c:manualLayout>
              <c:xMode val="edge"/>
              <c:yMode val="edge"/>
              <c:x val="5.0071657709452946E-2"/>
              <c:y val="0.1909307490409852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lang="en-ZA" sz="950" b="0" i="0" u="none" strike="noStrike" baseline="0">
                <a:solidFill>
                  <a:srgbClr val="000000"/>
                </a:solidFill>
                <a:latin typeface="Arial"/>
                <a:ea typeface="Arial"/>
                <a:cs typeface="Arial"/>
              </a:defRPr>
            </a:pPr>
            <a:endParaRPr lang="en-US"/>
          </a:p>
        </c:txPr>
        <c:crossAx val="1169554192"/>
        <c:crosses val="autoZero"/>
        <c:crossBetween val="between"/>
      </c:valAx>
      <c:spPr>
        <a:noFill/>
        <a:ln w="3175">
          <a:solidFill>
            <a:srgbClr val="000000"/>
          </a:solidFill>
          <a:prstDash val="solid"/>
        </a:ln>
      </c:spPr>
    </c:plotArea>
    <c:legend>
      <c:legendPos val="r"/>
      <c:legendEntry>
        <c:idx val="0"/>
        <c:txPr>
          <a:bodyPr/>
          <a:lstStyle/>
          <a:p>
            <a:pPr>
              <a:defRPr sz="1010" b="0" i="0" u="none" strike="noStrike" baseline="0">
                <a:solidFill>
                  <a:srgbClr val="000000"/>
                </a:solidFill>
                <a:latin typeface="Arial"/>
                <a:ea typeface="Arial"/>
                <a:cs typeface="Arial"/>
              </a:defRPr>
            </a:pPr>
            <a:endParaRPr lang="en-US"/>
          </a:p>
        </c:txPr>
      </c:legendEntry>
      <c:legendEntry>
        <c:idx val="1"/>
        <c:txPr>
          <a:bodyPr/>
          <a:lstStyle/>
          <a:p>
            <a:pPr>
              <a:defRPr sz="1010" b="0" i="0" u="none" strike="noStrike" baseline="0">
                <a:solidFill>
                  <a:srgbClr val="000000"/>
                </a:solidFill>
                <a:latin typeface="Arial"/>
                <a:ea typeface="Arial"/>
                <a:cs typeface="Arial"/>
              </a:defRPr>
            </a:pPr>
            <a:endParaRPr lang="en-US"/>
          </a:p>
        </c:txPr>
      </c:legendEntry>
      <c:legendEntry>
        <c:idx val="2"/>
        <c:txPr>
          <a:bodyPr/>
          <a:lstStyle/>
          <a:p>
            <a:pPr>
              <a:defRPr sz="1010" b="0" i="0" u="none" strike="noStrike" baseline="0">
                <a:solidFill>
                  <a:srgbClr val="000000"/>
                </a:solidFill>
                <a:latin typeface="Arial"/>
                <a:ea typeface="Arial"/>
                <a:cs typeface="Arial"/>
              </a:defRPr>
            </a:pPr>
            <a:endParaRPr lang="en-US"/>
          </a:p>
        </c:txPr>
      </c:legendEntry>
      <c:layout>
        <c:manualLayout>
          <c:xMode val="edge"/>
          <c:yMode val="edge"/>
          <c:x val="0.27116443777861132"/>
          <c:y val="8.9068825910931265E-2"/>
          <c:w val="0.49735519171215103"/>
          <c:h val="7.2874493927126513E-2"/>
        </c:manualLayout>
      </c:layout>
      <c:overlay val="0"/>
      <c:spPr>
        <a:solidFill>
          <a:srgbClr val="FFFFFF"/>
        </a:solidFill>
        <a:ln w="3175">
          <a:solidFill>
            <a:srgbClr val="000000"/>
          </a:solidFill>
          <a:prstDash val="solid"/>
        </a:ln>
      </c:spPr>
      <c:txPr>
        <a:bodyPr/>
        <a:lstStyle/>
        <a:p>
          <a:pPr>
            <a:defRPr lang="en-ZA"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788" r="0.75000000000000788"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'Potable Water Calculator'!$B$176</c:f>
          <c:strCache>
            <c:ptCount val="1"/>
            <c:pt idx="0">
              <c:v>Summary of Heat rejection water demand</c:v>
            </c:pt>
          </c:strCache>
        </c:strRef>
      </c:tx>
      <c:layout>
        <c:manualLayout>
          <c:xMode val="edge"/>
          <c:yMode val="edge"/>
          <c:x val="0.11581696042809"/>
          <c:y val="2.0991702479172682E-2"/>
        </c:manualLayout>
      </c:layout>
      <c:overlay val="1"/>
      <c:txPr>
        <a:bodyPr/>
        <a:lstStyle/>
        <a:p>
          <a:pPr>
            <a:defRPr lang="en-ZA" sz="1000">
              <a:latin typeface="Arial" pitchFamily="34" charset="0"/>
              <a:cs typeface="Arial" pitchFamily="34" charset="0"/>
            </a:defRPr>
          </a:pPr>
          <a:endParaRPr lang="en-US"/>
        </a:p>
      </c:txPr>
    </c:title>
    <c:autoTitleDeleted val="0"/>
    <c:plotArea>
      <c:layout>
        <c:manualLayout>
          <c:layoutTarget val="inner"/>
          <c:xMode val="edge"/>
          <c:yMode val="edge"/>
          <c:x val="0.12270985415124842"/>
          <c:y val="0.11426571564198347"/>
          <c:w val="0.83242469275627962"/>
          <c:h val="0.65831308857649784"/>
        </c:manualLayout>
      </c:layout>
      <c:barChart>
        <c:barDir val="col"/>
        <c:grouping val="clustered"/>
        <c:varyColors val="0"/>
        <c:ser>
          <c:idx val="2"/>
          <c:order val="0"/>
          <c:tx>
            <c:strRef>
              <c:f>'Potable Water Calculator'!$C$178</c:f>
              <c:strCache>
                <c:ptCount val="1"/>
                <c:pt idx="0">
                  <c:v>Actual Building</c:v>
                </c:pt>
              </c:strCache>
            </c:strRef>
          </c:tx>
          <c:spPr>
            <a:solidFill>
              <a:schemeClr val="accent3">
                <a:lumMod val="75000"/>
              </a:schemeClr>
            </a:solidFill>
          </c:spPr>
          <c:invertIfNegative val="0"/>
          <c:val>
            <c:numRef>
              <c:f>'Potable Water Calculator'!$C$180:$C$191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filteredCategoryTitle>
                <c15:cat>
                  <c:multiLvlStrRef>
                    <c:extLst>
                      <c:ext uri="{02D57815-91ED-43cb-92C2-25804820EDAC}">
                        <c15:formulaRef>
                          <c15:sqref>'Potable Water Calculator'!$O$144:$O$155</c15:sqref>
                        </c15:formulaRef>
                      </c:ext>
                    </c:extLst>
                  </c:multiLvlStrRef>
                </c15:cat>
              </c15:filteredCategoryTitle>
            </c:ext>
          </c:extLst>
        </c:ser>
        <c:ser>
          <c:idx val="0"/>
          <c:order val="1"/>
          <c:tx>
            <c:strRef>
              <c:f>'Potable Water Calculator'!$D$178</c:f>
              <c:strCache>
                <c:ptCount val="1"/>
                <c:pt idx="0">
                  <c:v>Notional Building</c:v>
                </c:pt>
              </c:strCache>
            </c:strRef>
          </c:tx>
          <c:spPr>
            <a:solidFill>
              <a:schemeClr val="bg2">
                <a:lumMod val="25000"/>
              </a:schemeClr>
            </a:solidFill>
          </c:spPr>
          <c:invertIfNegative val="0"/>
          <c:val>
            <c:numRef>
              <c:f>'Potable Water Calculator'!$D$180:$D$191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filteredCategoryTitle>
                <c15:cat>
                  <c:multiLvlStrRef>
                    <c:extLst>
                      <c:ext uri="{02D57815-91ED-43cb-92C2-25804820EDAC}">
                        <c15:formulaRef>
                          <c15:sqref>'Potable Water Calculator'!$O$144:$O$155</c15:sqref>
                        </c15:formulaRef>
                      </c:ext>
                    </c:extLst>
                  </c:multiLvlStrRef>
                </c15:cat>
              </c15:filteredCategoryTitle>
            </c:ext>
          </c:extLst>
        </c:ser>
        <c:dLbls>
          <c:showLegendKey val="0"/>
          <c:showVal val="0"/>
          <c:showCatName val="0"/>
          <c:showSerName val="0"/>
          <c:showPercent val="0"/>
          <c:showBubbleSize val="0"/>
        </c:dLbls>
        <c:gapWidth val="127"/>
        <c:axId val="1143236768"/>
        <c:axId val="1143247104"/>
      </c:barChart>
      <c:catAx>
        <c:axId val="1143236768"/>
        <c:scaling>
          <c:orientation val="minMax"/>
        </c:scaling>
        <c:delete val="0"/>
        <c:axPos val="b"/>
        <c:numFmt formatCode="General" sourceLinked="1"/>
        <c:majorTickMark val="none"/>
        <c:minorTickMark val="none"/>
        <c:tickLblPos val="nextTo"/>
        <c:txPr>
          <a:bodyPr/>
          <a:lstStyle/>
          <a:p>
            <a:pPr>
              <a:defRPr lang="en-ZA" sz="800" b="0">
                <a:solidFill>
                  <a:schemeClr val="tx1">
                    <a:lumMod val="65000"/>
                    <a:lumOff val="35000"/>
                  </a:schemeClr>
                </a:solidFill>
                <a:latin typeface="Arial" pitchFamily="34" charset="0"/>
                <a:cs typeface="Arial" pitchFamily="34" charset="0"/>
              </a:defRPr>
            </a:pPr>
            <a:endParaRPr lang="en-US"/>
          </a:p>
        </c:txPr>
        <c:crossAx val="1143247104"/>
        <c:crosses val="autoZero"/>
        <c:auto val="1"/>
        <c:lblAlgn val="ctr"/>
        <c:lblOffset val="100"/>
        <c:noMultiLvlLbl val="0"/>
      </c:catAx>
      <c:valAx>
        <c:axId val="1143247104"/>
        <c:scaling>
          <c:orientation val="minMax"/>
        </c:scaling>
        <c:delete val="0"/>
        <c:axPos val="l"/>
        <c:majorGridlines/>
        <c:title>
          <c:tx>
            <c:strRef>
              <c:f>'Potable Water Calculator'!$C$179</c:f>
              <c:strCache>
                <c:ptCount val="1"/>
                <c:pt idx="0">
                  <c:v>(m3)</c:v>
                </c:pt>
              </c:strCache>
            </c:strRef>
          </c:tx>
          <c:overlay val="0"/>
          <c:txPr>
            <a:bodyPr rot="-5400000" vert="horz"/>
            <a:lstStyle/>
            <a:p>
              <a:pPr>
                <a:defRPr lang="en-ZA" sz="800">
                  <a:latin typeface="Arial" pitchFamily="34" charset="0"/>
                  <a:cs typeface="Arial" pitchFamily="34" charset="0"/>
                </a:defRPr>
              </a:pPr>
              <a:endParaRPr lang="en-US"/>
            </a:p>
          </c:txPr>
        </c:title>
        <c:numFmt formatCode="0" sourceLinked="0"/>
        <c:majorTickMark val="none"/>
        <c:minorTickMark val="none"/>
        <c:tickLblPos val="nextTo"/>
        <c:txPr>
          <a:bodyPr/>
          <a:lstStyle/>
          <a:p>
            <a:pPr>
              <a:defRPr lang="en-ZA" sz="700">
                <a:solidFill>
                  <a:schemeClr val="tx1">
                    <a:lumMod val="65000"/>
                    <a:lumOff val="35000"/>
                  </a:schemeClr>
                </a:solidFill>
                <a:latin typeface="Arial" pitchFamily="34" charset="0"/>
                <a:cs typeface="Arial" pitchFamily="34" charset="0"/>
              </a:defRPr>
            </a:pPr>
            <a:endParaRPr lang="en-US"/>
          </a:p>
        </c:txPr>
        <c:crossAx val="1143236768"/>
        <c:crosses val="autoZero"/>
        <c:crossBetween val="between"/>
      </c:valAx>
      <c:spPr>
        <a:noFill/>
      </c:spPr>
    </c:plotArea>
    <c:legend>
      <c:legendPos val="b"/>
      <c:overlay val="0"/>
      <c:spPr>
        <a:solidFill>
          <a:schemeClr val="bg1"/>
        </a:solidFill>
      </c:spPr>
      <c:txPr>
        <a:bodyPr/>
        <a:lstStyle/>
        <a:p>
          <a:pPr>
            <a:defRPr lang="en-ZA"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1288" l="0.70000000000000062" r="0.70000000000000062" t="0.75000000000001288"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'Potable Water Calculator'!$B$204</c:f>
          <c:strCache>
            <c:ptCount val="1"/>
            <c:pt idx="0">
              <c:v>Summary of Irrigation Water Demand</c:v>
            </c:pt>
          </c:strCache>
        </c:strRef>
      </c:tx>
      <c:layout>
        <c:manualLayout>
          <c:xMode val="edge"/>
          <c:yMode val="edge"/>
          <c:x val="0.11581696042809"/>
          <c:y val="2.0991702479172696E-2"/>
        </c:manualLayout>
      </c:layout>
      <c:overlay val="1"/>
      <c:txPr>
        <a:bodyPr/>
        <a:lstStyle/>
        <a:p>
          <a:pPr>
            <a:defRPr lang="en-ZA" sz="1000">
              <a:latin typeface="Arial" pitchFamily="34" charset="0"/>
              <a:cs typeface="Arial" pitchFamily="34" charset="0"/>
            </a:defRPr>
          </a:pPr>
          <a:endParaRPr lang="en-US"/>
        </a:p>
      </c:txPr>
    </c:title>
    <c:autoTitleDeleted val="0"/>
    <c:plotArea>
      <c:layout>
        <c:manualLayout>
          <c:layoutTarget val="inner"/>
          <c:xMode val="edge"/>
          <c:yMode val="edge"/>
          <c:x val="9.4033079230224345E-2"/>
          <c:y val="0.11426571564198353"/>
          <c:w val="0.86110141834945253"/>
          <c:h val="0.66245576752619495"/>
        </c:manualLayout>
      </c:layout>
      <c:barChart>
        <c:barDir val="col"/>
        <c:grouping val="clustered"/>
        <c:varyColors val="0"/>
        <c:ser>
          <c:idx val="2"/>
          <c:order val="0"/>
          <c:tx>
            <c:strRef>
              <c:f>'Potable Water Calculator'!$D$206</c:f>
              <c:strCache>
                <c:ptCount val="1"/>
                <c:pt idx="0">
                  <c:v>Actual Building</c:v>
                </c:pt>
              </c:strCache>
            </c:strRef>
          </c:tx>
          <c:spPr>
            <a:solidFill>
              <a:schemeClr val="accent3">
                <a:lumMod val="75000"/>
              </a:schemeClr>
            </a:solidFill>
          </c:spPr>
          <c:invertIfNegative val="0"/>
          <c:val>
            <c:numRef>
              <c:f>'Potable Water Calculator'!$D$207:$D$218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filteredCategoryTitle>
                <c15:cat>
                  <c:multiLvlStrRef>
                    <c:extLst>
                      <c:ext uri="{02D57815-91ED-43cb-92C2-25804820EDAC}">
                        <c15:formulaRef>
                          <c15:sqref>'Potable Water Calculator'!$O$144:$O$155</c15:sqref>
                        </c15:formulaRef>
                      </c:ext>
                    </c:extLst>
                  </c:multiLvlStrRef>
                </c15:cat>
              </c15:filteredCategoryTitle>
            </c:ext>
          </c:extLst>
        </c:ser>
        <c:ser>
          <c:idx val="0"/>
          <c:order val="1"/>
          <c:tx>
            <c:strRef>
              <c:f>'Potable Water Calculator'!$E$206</c:f>
              <c:strCache>
                <c:ptCount val="1"/>
                <c:pt idx="0">
                  <c:v>Notional Building</c:v>
                </c:pt>
              </c:strCache>
            </c:strRef>
          </c:tx>
          <c:spPr>
            <a:solidFill>
              <a:schemeClr val="bg2">
                <a:lumMod val="25000"/>
              </a:schemeClr>
            </a:solidFill>
          </c:spPr>
          <c:invertIfNegative val="0"/>
          <c:val>
            <c:numRef>
              <c:f>'Potable Water Calculator'!$E$207:$E$218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filteredCategoryTitle>
                <c15:cat>
                  <c:multiLvlStrRef>
                    <c:extLst>
                      <c:ext uri="{02D57815-91ED-43cb-92C2-25804820EDAC}">
                        <c15:formulaRef>
                          <c15:sqref>'Potable Water Calculator'!$O$144:$O$155</c15:sqref>
                        </c15:formulaRef>
                      </c:ext>
                    </c:extLst>
                  </c:multiLvlStrRef>
                </c15:cat>
              </c15:filteredCategoryTitle>
            </c:ext>
          </c:extLst>
        </c:ser>
        <c:dLbls>
          <c:showLegendKey val="0"/>
          <c:showVal val="0"/>
          <c:showCatName val="0"/>
          <c:showSerName val="0"/>
          <c:showPercent val="0"/>
          <c:showBubbleSize val="0"/>
        </c:dLbls>
        <c:gapWidth val="127"/>
        <c:axId val="1143237856"/>
        <c:axId val="1143240576"/>
      </c:barChart>
      <c:catAx>
        <c:axId val="1143237856"/>
        <c:scaling>
          <c:orientation val="minMax"/>
        </c:scaling>
        <c:delete val="0"/>
        <c:axPos val="b"/>
        <c:numFmt formatCode="General" sourceLinked="1"/>
        <c:majorTickMark val="none"/>
        <c:minorTickMark val="none"/>
        <c:tickLblPos val="nextTo"/>
        <c:txPr>
          <a:bodyPr/>
          <a:lstStyle/>
          <a:p>
            <a:pPr>
              <a:defRPr lang="en-ZA" sz="800" b="0">
                <a:solidFill>
                  <a:schemeClr val="tx1">
                    <a:lumMod val="65000"/>
                    <a:lumOff val="35000"/>
                  </a:schemeClr>
                </a:solidFill>
                <a:latin typeface="Arial" pitchFamily="34" charset="0"/>
                <a:cs typeface="Arial" pitchFamily="34" charset="0"/>
              </a:defRPr>
            </a:pPr>
            <a:endParaRPr lang="en-US"/>
          </a:p>
        </c:txPr>
        <c:crossAx val="1143240576"/>
        <c:crosses val="autoZero"/>
        <c:auto val="1"/>
        <c:lblAlgn val="ctr"/>
        <c:lblOffset val="100"/>
        <c:noMultiLvlLbl val="0"/>
      </c:catAx>
      <c:valAx>
        <c:axId val="1143240576"/>
        <c:scaling>
          <c:orientation val="minMax"/>
        </c:scaling>
        <c:delete val="0"/>
        <c:axPos val="l"/>
        <c:majorGridlines/>
        <c:title>
          <c:tx>
            <c:strRef>
              <c:f>'Potable Water Calculator'!$C$179</c:f>
              <c:strCache>
                <c:ptCount val="1"/>
                <c:pt idx="0">
                  <c:v>(m3)</c:v>
                </c:pt>
              </c:strCache>
            </c:strRef>
          </c:tx>
          <c:overlay val="0"/>
          <c:txPr>
            <a:bodyPr rot="-5400000" vert="horz"/>
            <a:lstStyle/>
            <a:p>
              <a:pPr>
                <a:defRPr lang="en-ZA" sz="800">
                  <a:latin typeface="Arial" pitchFamily="34" charset="0"/>
                  <a:cs typeface="Arial" pitchFamily="34" charset="0"/>
                </a:defRPr>
              </a:pPr>
              <a:endParaRPr lang="en-US"/>
            </a:p>
          </c:txPr>
        </c:title>
        <c:numFmt formatCode="0" sourceLinked="0"/>
        <c:majorTickMark val="none"/>
        <c:minorTickMark val="none"/>
        <c:tickLblPos val="nextTo"/>
        <c:txPr>
          <a:bodyPr/>
          <a:lstStyle/>
          <a:p>
            <a:pPr>
              <a:defRPr lang="en-ZA" sz="700">
                <a:solidFill>
                  <a:schemeClr val="tx1">
                    <a:lumMod val="65000"/>
                    <a:lumOff val="35000"/>
                  </a:schemeClr>
                </a:solidFill>
                <a:latin typeface="Arial" pitchFamily="34" charset="0"/>
                <a:cs typeface="Arial" pitchFamily="34" charset="0"/>
              </a:defRPr>
            </a:pPr>
            <a:endParaRPr lang="en-US"/>
          </a:p>
        </c:txPr>
        <c:crossAx val="1143237856"/>
        <c:crosses val="autoZero"/>
        <c:crossBetween val="between"/>
      </c:valAx>
      <c:spPr>
        <a:noFill/>
      </c:spPr>
    </c:plotArea>
    <c:legend>
      <c:legendPos val="b"/>
      <c:overlay val="0"/>
      <c:spPr>
        <a:solidFill>
          <a:schemeClr val="bg1"/>
        </a:solidFill>
      </c:spPr>
      <c:txPr>
        <a:bodyPr/>
        <a:lstStyle/>
        <a:p>
          <a:pPr>
            <a:defRPr lang="en-ZA"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131" l="0.70000000000000062" r="0.70000000000000062" t="0.7500000000000131"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'Potable Water Calculator'!$B$333</c:f>
          <c:strCache>
            <c:ptCount val="1"/>
            <c:pt idx="0">
              <c:v>Summary of Water Demands</c:v>
            </c:pt>
          </c:strCache>
        </c:strRef>
      </c:tx>
      <c:layout>
        <c:manualLayout>
          <c:xMode val="edge"/>
          <c:yMode val="edge"/>
          <c:x val="0.11581696042809"/>
          <c:y val="2.0991702479172706E-2"/>
        </c:manualLayout>
      </c:layout>
      <c:overlay val="1"/>
      <c:txPr>
        <a:bodyPr/>
        <a:lstStyle/>
        <a:p>
          <a:pPr>
            <a:defRPr lang="en-ZA" sz="1000">
              <a:latin typeface="Arial" pitchFamily="34" charset="0"/>
              <a:cs typeface="Arial" pitchFamily="34" charset="0"/>
            </a:defRPr>
          </a:pPr>
          <a:endParaRPr lang="en-US"/>
        </a:p>
      </c:txPr>
    </c:title>
    <c:autoTitleDeleted val="0"/>
    <c:plotArea>
      <c:layout>
        <c:manualLayout>
          <c:layoutTarget val="inner"/>
          <c:xMode val="edge"/>
          <c:yMode val="edge"/>
          <c:x val="8.3233295354250766E-2"/>
          <c:y val="0.11426571564198358"/>
          <c:w val="0.87190133243520163"/>
          <c:h val="0.68594465386312431"/>
        </c:manualLayout>
      </c:layout>
      <c:barChart>
        <c:barDir val="col"/>
        <c:grouping val="clustered"/>
        <c:varyColors val="0"/>
        <c:ser>
          <c:idx val="2"/>
          <c:order val="0"/>
          <c:tx>
            <c:strRef>
              <c:f>'Potable Water Calculator'!$D$206</c:f>
              <c:strCache>
                <c:ptCount val="1"/>
                <c:pt idx="0">
                  <c:v>Actual Building</c:v>
                </c:pt>
              </c:strCache>
            </c:strRef>
          </c:tx>
          <c:spPr>
            <a:solidFill>
              <a:schemeClr val="accent3">
                <a:lumMod val="75000"/>
              </a:schemeClr>
            </a:solidFill>
          </c:spPr>
          <c:invertIfNegative val="0"/>
          <c:cat>
            <c:strRef>
              <c:f>'Potable Water Calculator'!$B$337:$B$348</c:f>
              <c:strCache>
                <c:ptCount val="12"/>
                <c:pt idx="0">
                  <c:v>WC</c:v>
                </c:pt>
                <c:pt idx="1">
                  <c:v>Urinals</c:v>
                </c:pt>
                <c:pt idx="2">
                  <c:v>Indoor taps</c:v>
                </c:pt>
                <c:pt idx="3">
                  <c:v>Showers</c:v>
                </c:pt>
                <c:pt idx="4">
                  <c:v>Heat Rejection</c:v>
                </c:pt>
                <c:pt idx="5">
                  <c:v>Irrigation</c:v>
                </c:pt>
                <c:pt idx="6">
                  <c:v>Swimming pool</c:v>
                </c:pt>
                <c:pt idx="7">
                  <c:v>Laundry Facilities</c:v>
                </c:pt>
                <c:pt idx="8">
                  <c:v>Large Kitchens</c:v>
                </c:pt>
                <c:pt idx="9">
                  <c:v>{Other Water Use 1}</c:v>
                </c:pt>
                <c:pt idx="10">
                  <c:v>{Other Water Use 2}</c:v>
                </c:pt>
                <c:pt idx="11">
                  <c:v>{Other Water Use 3}</c:v>
                </c:pt>
              </c:strCache>
            </c:strRef>
          </c:cat>
          <c:val>
            <c:numRef>
              <c:f>'Potable Water Calculator'!$C$337:$C$348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0"/>
          <c:order val="1"/>
          <c:tx>
            <c:strRef>
              <c:f>'Potable Water Calculator'!$E$206</c:f>
              <c:strCache>
                <c:ptCount val="1"/>
                <c:pt idx="0">
                  <c:v>Notional Building</c:v>
                </c:pt>
              </c:strCache>
            </c:strRef>
          </c:tx>
          <c:spPr>
            <a:solidFill>
              <a:schemeClr val="bg2">
                <a:lumMod val="25000"/>
              </a:schemeClr>
            </a:solidFill>
          </c:spPr>
          <c:invertIfNegative val="0"/>
          <c:cat>
            <c:strRef>
              <c:f>'Potable Water Calculator'!$B$337:$B$348</c:f>
              <c:strCache>
                <c:ptCount val="12"/>
                <c:pt idx="0">
                  <c:v>WC</c:v>
                </c:pt>
                <c:pt idx="1">
                  <c:v>Urinals</c:v>
                </c:pt>
                <c:pt idx="2">
                  <c:v>Indoor taps</c:v>
                </c:pt>
                <c:pt idx="3">
                  <c:v>Showers</c:v>
                </c:pt>
                <c:pt idx="4">
                  <c:v>Heat Rejection</c:v>
                </c:pt>
                <c:pt idx="5">
                  <c:v>Irrigation</c:v>
                </c:pt>
                <c:pt idx="6">
                  <c:v>Swimming pool</c:v>
                </c:pt>
                <c:pt idx="7">
                  <c:v>Laundry Facilities</c:v>
                </c:pt>
                <c:pt idx="8">
                  <c:v>Large Kitchens</c:v>
                </c:pt>
                <c:pt idx="9">
                  <c:v>{Other Water Use 1}</c:v>
                </c:pt>
                <c:pt idx="10">
                  <c:v>{Other Water Use 2}</c:v>
                </c:pt>
                <c:pt idx="11">
                  <c:v>{Other Water Use 3}</c:v>
                </c:pt>
              </c:strCache>
            </c:strRef>
          </c:cat>
          <c:val>
            <c:numRef>
              <c:f>'Potable Water Calculator'!$D$337:$D$348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27"/>
        <c:axId val="1143238944"/>
        <c:axId val="1143241664"/>
      </c:barChart>
      <c:catAx>
        <c:axId val="1143238944"/>
        <c:scaling>
          <c:orientation val="minMax"/>
        </c:scaling>
        <c:delete val="0"/>
        <c:axPos val="b"/>
        <c:numFmt formatCode="General" sourceLinked="1"/>
        <c:majorTickMark val="none"/>
        <c:minorTickMark val="none"/>
        <c:tickLblPos val="nextTo"/>
        <c:txPr>
          <a:bodyPr/>
          <a:lstStyle/>
          <a:p>
            <a:pPr>
              <a:defRPr lang="en-ZA" sz="800" b="0">
                <a:solidFill>
                  <a:schemeClr val="tx1">
                    <a:lumMod val="65000"/>
                    <a:lumOff val="35000"/>
                  </a:schemeClr>
                </a:solidFill>
                <a:latin typeface="Arial" pitchFamily="34" charset="0"/>
                <a:cs typeface="Arial" pitchFamily="34" charset="0"/>
              </a:defRPr>
            </a:pPr>
            <a:endParaRPr lang="en-US"/>
          </a:p>
        </c:txPr>
        <c:crossAx val="1143241664"/>
        <c:crosses val="autoZero"/>
        <c:auto val="1"/>
        <c:lblAlgn val="ctr"/>
        <c:lblOffset val="100"/>
        <c:noMultiLvlLbl val="0"/>
      </c:catAx>
      <c:valAx>
        <c:axId val="1143241664"/>
        <c:scaling>
          <c:orientation val="minMax"/>
        </c:scaling>
        <c:delete val="0"/>
        <c:axPos val="l"/>
        <c:majorGridlines/>
        <c:title>
          <c:tx>
            <c:strRef>
              <c:f>'Potable Water Calculator'!$C$179</c:f>
              <c:strCache>
                <c:ptCount val="1"/>
                <c:pt idx="0">
                  <c:v>(m3)</c:v>
                </c:pt>
              </c:strCache>
            </c:strRef>
          </c:tx>
          <c:overlay val="0"/>
          <c:txPr>
            <a:bodyPr rot="-5400000" vert="horz"/>
            <a:lstStyle/>
            <a:p>
              <a:pPr>
                <a:defRPr lang="en-ZA" sz="800">
                  <a:latin typeface="Arial" pitchFamily="34" charset="0"/>
                  <a:cs typeface="Arial" pitchFamily="34" charset="0"/>
                </a:defRPr>
              </a:pPr>
              <a:endParaRPr lang="en-US"/>
            </a:p>
          </c:txPr>
        </c:title>
        <c:numFmt formatCode="0" sourceLinked="0"/>
        <c:majorTickMark val="none"/>
        <c:minorTickMark val="none"/>
        <c:tickLblPos val="nextTo"/>
        <c:txPr>
          <a:bodyPr/>
          <a:lstStyle/>
          <a:p>
            <a:pPr>
              <a:defRPr lang="en-ZA" sz="700">
                <a:solidFill>
                  <a:schemeClr val="tx1">
                    <a:lumMod val="65000"/>
                    <a:lumOff val="35000"/>
                  </a:schemeClr>
                </a:solidFill>
                <a:latin typeface="Arial" pitchFamily="34" charset="0"/>
                <a:cs typeface="Arial" pitchFamily="34" charset="0"/>
              </a:defRPr>
            </a:pPr>
            <a:endParaRPr lang="en-US"/>
          </a:p>
        </c:txPr>
        <c:crossAx val="1143238944"/>
        <c:crosses val="autoZero"/>
        <c:crossBetween val="between"/>
      </c:valAx>
      <c:spPr>
        <a:noFill/>
      </c:spPr>
    </c:plotArea>
    <c:legend>
      <c:legendPos val="b"/>
      <c:layout>
        <c:manualLayout>
          <c:xMode val="edge"/>
          <c:yMode val="edge"/>
          <c:x val="0.2476137430186329"/>
          <c:y val="0.92645414164771756"/>
          <c:w val="0.49206149032749102"/>
          <c:h val="7.3545858352281585E-2"/>
        </c:manualLayout>
      </c:layout>
      <c:overlay val="0"/>
      <c:spPr>
        <a:solidFill>
          <a:schemeClr val="bg1"/>
        </a:solidFill>
      </c:spPr>
      <c:txPr>
        <a:bodyPr/>
        <a:lstStyle/>
        <a:p>
          <a:pPr>
            <a:defRPr lang="en-ZA"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1332" l="0.70000000000000062" r="0.70000000000000062" t="0.75000000000001332"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'Potable Water Calculator'!$B$333</c:f>
          <c:strCache>
            <c:ptCount val="1"/>
            <c:pt idx="0">
              <c:v>Summary of Water Demands</c:v>
            </c:pt>
          </c:strCache>
        </c:strRef>
      </c:tx>
      <c:layout>
        <c:manualLayout>
          <c:xMode val="edge"/>
          <c:yMode val="edge"/>
          <c:x val="0.11581696042809"/>
          <c:y val="2.0991702479172706E-2"/>
        </c:manualLayout>
      </c:layout>
      <c:overlay val="1"/>
      <c:txPr>
        <a:bodyPr/>
        <a:lstStyle/>
        <a:p>
          <a:pPr>
            <a:defRPr lang="en-ZA" sz="1000">
              <a:latin typeface="Arial" pitchFamily="34" charset="0"/>
              <a:cs typeface="Arial" pitchFamily="34" charset="0"/>
            </a:defRPr>
          </a:pPr>
          <a:endParaRPr lang="en-US"/>
        </a:p>
      </c:txPr>
    </c:title>
    <c:autoTitleDeleted val="0"/>
    <c:plotArea>
      <c:layout>
        <c:manualLayout>
          <c:layoutTarget val="inner"/>
          <c:xMode val="edge"/>
          <c:yMode val="edge"/>
          <c:x val="8.3233295354250766E-2"/>
          <c:y val="0.11426571564198358"/>
          <c:w val="0.87190133243520163"/>
          <c:h val="0.68594465386312431"/>
        </c:manualLayout>
      </c:layout>
      <c:barChart>
        <c:barDir val="col"/>
        <c:grouping val="clustered"/>
        <c:varyColors val="0"/>
        <c:ser>
          <c:idx val="2"/>
          <c:order val="0"/>
          <c:tx>
            <c:strRef>
              <c:f>'Potable Water Calculator'!$D$206</c:f>
              <c:strCache>
                <c:ptCount val="1"/>
                <c:pt idx="0">
                  <c:v>Actual Building</c:v>
                </c:pt>
              </c:strCache>
            </c:strRef>
          </c:tx>
          <c:spPr>
            <a:solidFill>
              <a:schemeClr val="accent3">
                <a:lumMod val="75000"/>
              </a:schemeClr>
            </a:solidFill>
          </c:spPr>
          <c:invertIfNegative val="0"/>
          <c:val>
            <c:numRef>
              <c:f>'Potable Water Calculator'!$C$351:$C$362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filteredCategoryTitle>
                <c15:cat>
                  <c:multiLvlStrRef>
                    <c:extLst>
                      <c:ext uri="{02D57815-91ED-43cb-92C2-25804820EDAC}">
                        <c15:formulaRef>
                          <c15:sqref>'Potable Water Calculator'!$O$144:$O$155</c15:sqref>
                        </c15:formulaRef>
                      </c:ext>
                    </c:extLst>
                  </c:multiLvlStrRef>
                </c15:cat>
              </c15:filteredCategoryTitle>
            </c:ext>
          </c:extLst>
        </c:ser>
        <c:ser>
          <c:idx val="0"/>
          <c:order val="1"/>
          <c:tx>
            <c:strRef>
              <c:f>'Potable Water Calculator'!$E$206</c:f>
              <c:strCache>
                <c:ptCount val="1"/>
                <c:pt idx="0">
                  <c:v>Notional Building</c:v>
                </c:pt>
              </c:strCache>
            </c:strRef>
          </c:tx>
          <c:spPr>
            <a:solidFill>
              <a:schemeClr val="bg2">
                <a:lumMod val="25000"/>
              </a:schemeClr>
            </a:solidFill>
          </c:spPr>
          <c:invertIfNegative val="0"/>
          <c:val>
            <c:numRef>
              <c:f>'Potable Water Calculator'!$D$351:$D$362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filteredCategoryTitle>
                <c15:cat>
                  <c:multiLvlStrRef>
                    <c:extLst>
                      <c:ext uri="{02D57815-91ED-43cb-92C2-25804820EDAC}">
                        <c15:formulaRef>
                          <c15:sqref>'Potable Water Calculator'!$O$144:$O$155</c15:sqref>
                        </c15:formulaRef>
                      </c:ext>
                    </c:extLst>
                  </c:multiLvlStrRef>
                </c15:cat>
              </c15:filteredCategoryTitle>
            </c:ext>
          </c:extLst>
        </c:ser>
        <c:dLbls>
          <c:showLegendKey val="0"/>
          <c:showVal val="0"/>
          <c:showCatName val="0"/>
          <c:showSerName val="0"/>
          <c:showPercent val="0"/>
          <c:showBubbleSize val="0"/>
        </c:dLbls>
        <c:gapWidth val="127"/>
        <c:axId val="1143246016"/>
        <c:axId val="1143239488"/>
      </c:barChart>
      <c:catAx>
        <c:axId val="1143246016"/>
        <c:scaling>
          <c:orientation val="minMax"/>
        </c:scaling>
        <c:delete val="0"/>
        <c:axPos val="b"/>
        <c:numFmt formatCode="General" sourceLinked="1"/>
        <c:majorTickMark val="none"/>
        <c:minorTickMark val="none"/>
        <c:tickLblPos val="nextTo"/>
        <c:txPr>
          <a:bodyPr/>
          <a:lstStyle/>
          <a:p>
            <a:pPr>
              <a:defRPr lang="en-ZA" sz="800" b="0">
                <a:solidFill>
                  <a:schemeClr val="tx1">
                    <a:lumMod val="65000"/>
                    <a:lumOff val="35000"/>
                  </a:schemeClr>
                </a:solidFill>
                <a:latin typeface="Arial" pitchFamily="34" charset="0"/>
                <a:cs typeface="Arial" pitchFamily="34" charset="0"/>
              </a:defRPr>
            </a:pPr>
            <a:endParaRPr lang="en-US"/>
          </a:p>
        </c:txPr>
        <c:crossAx val="1143239488"/>
        <c:crosses val="autoZero"/>
        <c:auto val="1"/>
        <c:lblAlgn val="ctr"/>
        <c:lblOffset val="100"/>
        <c:noMultiLvlLbl val="0"/>
      </c:catAx>
      <c:valAx>
        <c:axId val="1143239488"/>
        <c:scaling>
          <c:orientation val="minMax"/>
        </c:scaling>
        <c:delete val="0"/>
        <c:axPos val="l"/>
        <c:majorGridlines/>
        <c:title>
          <c:tx>
            <c:strRef>
              <c:f>'Potable Water Calculator'!$C$179</c:f>
              <c:strCache>
                <c:ptCount val="1"/>
                <c:pt idx="0">
                  <c:v>(m3)</c:v>
                </c:pt>
              </c:strCache>
            </c:strRef>
          </c:tx>
          <c:overlay val="0"/>
          <c:txPr>
            <a:bodyPr rot="-5400000" vert="horz"/>
            <a:lstStyle/>
            <a:p>
              <a:pPr>
                <a:defRPr lang="en-ZA" sz="800">
                  <a:latin typeface="Arial" pitchFamily="34" charset="0"/>
                  <a:cs typeface="Arial" pitchFamily="34" charset="0"/>
                </a:defRPr>
              </a:pPr>
              <a:endParaRPr lang="en-US"/>
            </a:p>
          </c:txPr>
        </c:title>
        <c:numFmt formatCode="0" sourceLinked="0"/>
        <c:majorTickMark val="none"/>
        <c:minorTickMark val="none"/>
        <c:tickLblPos val="nextTo"/>
        <c:txPr>
          <a:bodyPr/>
          <a:lstStyle/>
          <a:p>
            <a:pPr>
              <a:defRPr lang="en-ZA" sz="700">
                <a:solidFill>
                  <a:schemeClr val="tx1">
                    <a:lumMod val="65000"/>
                    <a:lumOff val="35000"/>
                  </a:schemeClr>
                </a:solidFill>
                <a:latin typeface="Arial" pitchFamily="34" charset="0"/>
                <a:cs typeface="Arial" pitchFamily="34" charset="0"/>
              </a:defRPr>
            </a:pPr>
            <a:endParaRPr lang="en-US"/>
          </a:p>
        </c:txPr>
        <c:crossAx val="1143246016"/>
        <c:crosses val="autoZero"/>
        <c:crossBetween val="between"/>
      </c:valAx>
      <c:spPr>
        <a:noFill/>
      </c:spPr>
    </c:plotArea>
    <c:legend>
      <c:legendPos val="b"/>
      <c:overlay val="0"/>
      <c:spPr>
        <a:solidFill>
          <a:schemeClr val="bg1"/>
        </a:solidFill>
      </c:spPr>
      <c:txPr>
        <a:bodyPr/>
        <a:lstStyle/>
        <a:p>
          <a:pPr>
            <a:defRPr lang="en-ZA"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1332" l="0.70000000000000062" r="0.70000000000000062" t="0.75000000000001332"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'Potable Water Calculator'!$B$465</c:f>
          <c:strCache>
            <c:ptCount val="1"/>
            <c:pt idx="0">
              <c:v>Water usage SUMMARY</c:v>
            </c:pt>
          </c:strCache>
        </c:strRef>
      </c:tx>
      <c:layout>
        <c:manualLayout>
          <c:xMode val="edge"/>
          <c:yMode val="edge"/>
          <c:x val="0.11581696042809"/>
          <c:y val="2.0991702479172682E-2"/>
        </c:manualLayout>
      </c:layout>
      <c:overlay val="1"/>
      <c:txPr>
        <a:bodyPr/>
        <a:lstStyle/>
        <a:p>
          <a:pPr>
            <a:defRPr lang="en-ZA" sz="1000">
              <a:latin typeface="Arial" pitchFamily="34" charset="0"/>
              <a:cs typeface="Arial" pitchFamily="34" charset="0"/>
            </a:defRPr>
          </a:pPr>
          <a:endParaRPr lang="en-US"/>
        </a:p>
      </c:txPr>
    </c:title>
    <c:autoTitleDeleted val="0"/>
    <c:plotArea>
      <c:layout>
        <c:manualLayout>
          <c:layoutTarget val="inner"/>
          <c:xMode val="edge"/>
          <c:yMode val="edge"/>
          <c:x val="0.17722691420987419"/>
          <c:y val="0.12487241502757539"/>
          <c:w val="0.71378332743774608"/>
          <c:h val="0.59362913672408102"/>
        </c:manualLayout>
      </c:layout>
      <c:barChart>
        <c:barDir val="col"/>
        <c:grouping val="stacked"/>
        <c:varyColors val="0"/>
        <c:ser>
          <c:idx val="3"/>
          <c:order val="0"/>
          <c:tx>
            <c:strRef>
              <c:f>'Potable Water Calculator'!$B$473:$C$473</c:f>
              <c:strCache>
                <c:ptCount val="2"/>
                <c:pt idx="0">
                  <c:v>Potable Water demand</c:v>
                </c:pt>
              </c:strCache>
            </c:strRef>
          </c:tx>
          <c:invertIfNegative val="0"/>
          <c:cat>
            <c:strRef>
              <c:f>'Potable Water Calculator'!$D$467:$E$467</c:f>
              <c:strCache>
                <c:ptCount val="2"/>
                <c:pt idx="0">
                  <c:v>Actual building</c:v>
                </c:pt>
                <c:pt idx="1">
                  <c:v>Notional building</c:v>
                </c:pt>
              </c:strCache>
            </c:strRef>
          </c:cat>
          <c:val>
            <c:numRef>
              <c:f>'Potable Water Calculator'!$D$473:$E$473</c:f>
              <c:numCache>
                <c:formatCode>#,##0</c:formatCode>
                <c:ptCount val="2"/>
                <c:pt idx="0">
                  <c:v>0</c:v>
                </c:pt>
                <c:pt idx="1">
                  <c:v>0</c:v>
                </c:pt>
              </c:numCache>
            </c:numRef>
          </c:val>
        </c:ser>
        <c:ser>
          <c:idx val="2"/>
          <c:order val="1"/>
          <c:tx>
            <c:strRef>
              <c:f>'Potable Water Calculator'!$B$470:$C$470</c:f>
              <c:strCache>
                <c:ptCount val="2"/>
                <c:pt idx="0">
                  <c:v>Greywater &amp; Blackwater</c:v>
                </c:pt>
              </c:strCache>
            </c:strRef>
          </c:tx>
          <c:spPr>
            <a:solidFill>
              <a:schemeClr val="bg1">
                <a:lumMod val="65000"/>
              </a:schemeClr>
            </a:solidFill>
          </c:spPr>
          <c:invertIfNegative val="0"/>
          <c:cat>
            <c:strRef>
              <c:f>'Potable Water Calculator'!$D$467:$E$467</c:f>
              <c:strCache>
                <c:ptCount val="2"/>
                <c:pt idx="0">
                  <c:v>Actual building</c:v>
                </c:pt>
                <c:pt idx="1">
                  <c:v>Notional building</c:v>
                </c:pt>
              </c:strCache>
            </c:strRef>
          </c:cat>
          <c:val>
            <c:numRef>
              <c:f>'Potable Water Calculator'!$D$470:$E$470</c:f>
              <c:numCache>
                <c:formatCode>#,##0</c:formatCode>
                <c:ptCount val="2"/>
                <c:pt idx="0">
                  <c:v>0</c:v>
                </c:pt>
                <c:pt idx="1">
                  <c:v>0</c:v>
                </c:pt>
              </c:numCache>
            </c:numRef>
          </c:val>
        </c:ser>
        <c:ser>
          <c:idx val="0"/>
          <c:order val="2"/>
          <c:tx>
            <c:strRef>
              <c:f>'Potable Water Calculator'!$B$471:$C$471</c:f>
              <c:strCache>
                <c:ptCount val="2"/>
                <c:pt idx="0">
                  <c:v>Captured Rainfall</c:v>
                </c:pt>
              </c:strCache>
            </c:strRef>
          </c:tx>
          <c:spPr>
            <a:solidFill>
              <a:schemeClr val="accent1"/>
            </a:solidFill>
          </c:spPr>
          <c:invertIfNegative val="0"/>
          <c:cat>
            <c:strRef>
              <c:f>'Potable Water Calculator'!$D$467:$E$467</c:f>
              <c:strCache>
                <c:ptCount val="2"/>
                <c:pt idx="0">
                  <c:v>Actual building</c:v>
                </c:pt>
                <c:pt idx="1">
                  <c:v>Notional building</c:v>
                </c:pt>
              </c:strCache>
            </c:strRef>
          </c:cat>
          <c:val>
            <c:numRef>
              <c:f>'Potable Water Calculator'!$D$471:$E$471</c:f>
              <c:numCache>
                <c:formatCode>#,##0</c:formatCode>
                <c:ptCount val="2"/>
                <c:pt idx="0">
                  <c:v>0</c:v>
                </c:pt>
                <c:pt idx="1">
                  <c:v>0</c:v>
                </c:pt>
              </c:numCache>
            </c:numRef>
          </c:val>
        </c:ser>
        <c:ser>
          <c:idx val="1"/>
          <c:order val="3"/>
          <c:tx>
            <c:strRef>
              <c:f>'Potable Water Calculator'!$B$472:$C$472</c:f>
              <c:strCache>
                <c:ptCount val="2"/>
                <c:pt idx="0">
                  <c:v>Off-site Supply</c:v>
                </c:pt>
              </c:strCache>
            </c:strRef>
          </c:tx>
          <c:spPr>
            <a:solidFill>
              <a:schemeClr val="accent2"/>
            </a:solidFill>
          </c:spPr>
          <c:invertIfNegative val="0"/>
          <c:cat>
            <c:strRef>
              <c:f>'Potable Water Calculator'!$D$467:$E$467</c:f>
              <c:strCache>
                <c:ptCount val="2"/>
                <c:pt idx="0">
                  <c:v>Actual building</c:v>
                </c:pt>
                <c:pt idx="1">
                  <c:v>Notional building</c:v>
                </c:pt>
              </c:strCache>
            </c:strRef>
          </c:cat>
          <c:val>
            <c:numRef>
              <c:f>'Potable Water Calculator'!$D$472:$E$472</c:f>
              <c:numCache>
                <c:formatCode>#,##0</c:formatCode>
                <c:ptCount val="2"/>
                <c:pt idx="0">
                  <c:v>0</c:v>
                </c:pt>
                <c:pt idx="1">
                  <c:v>0</c:v>
                </c:pt>
              </c:numCache>
            </c:numRef>
          </c:val>
        </c:ser>
        <c:dLbls>
          <c:showLegendKey val="0"/>
          <c:showVal val="0"/>
          <c:showCatName val="0"/>
          <c:showSerName val="0"/>
          <c:showPercent val="0"/>
          <c:showBubbleSize val="0"/>
        </c:dLbls>
        <c:gapWidth val="127"/>
        <c:overlap val="100"/>
        <c:axId val="1173541200"/>
        <c:axId val="1173536304"/>
      </c:barChart>
      <c:catAx>
        <c:axId val="1173541200"/>
        <c:scaling>
          <c:orientation val="minMax"/>
        </c:scaling>
        <c:delete val="0"/>
        <c:axPos val="b"/>
        <c:numFmt formatCode="General" sourceLinked="1"/>
        <c:majorTickMark val="none"/>
        <c:minorTickMark val="none"/>
        <c:tickLblPos val="nextTo"/>
        <c:txPr>
          <a:bodyPr/>
          <a:lstStyle/>
          <a:p>
            <a:pPr>
              <a:defRPr lang="en-ZA" sz="800" b="1">
                <a:latin typeface="Arial" pitchFamily="34" charset="0"/>
                <a:cs typeface="Arial" pitchFamily="34" charset="0"/>
              </a:defRPr>
            </a:pPr>
            <a:endParaRPr lang="en-US"/>
          </a:p>
        </c:txPr>
        <c:crossAx val="1173536304"/>
        <c:crosses val="autoZero"/>
        <c:auto val="1"/>
        <c:lblAlgn val="ctr"/>
        <c:lblOffset val="100"/>
        <c:noMultiLvlLbl val="0"/>
      </c:catAx>
      <c:valAx>
        <c:axId val="1173536304"/>
        <c:scaling>
          <c:orientation val="minMax"/>
          <c:min val="0"/>
        </c:scaling>
        <c:delete val="0"/>
        <c:axPos val="l"/>
        <c:majorGridlines/>
        <c:title>
          <c:tx>
            <c:strRef>
              <c:f>'Potable Water Calculator'!$C$104</c:f>
              <c:strCache>
                <c:ptCount val="1"/>
                <c:pt idx="0">
                  <c:v>(m3 per year)</c:v>
                </c:pt>
              </c:strCache>
            </c:strRef>
          </c:tx>
          <c:overlay val="0"/>
          <c:txPr>
            <a:bodyPr rot="-5400000" vert="horz"/>
            <a:lstStyle/>
            <a:p>
              <a:pPr>
                <a:defRPr lang="en-ZA" sz="800">
                  <a:latin typeface="Arial" pitchFamily="34" charset="0"/>
                  <a:cs typeface="Arial" pitchFamily="34" charset="0"/>
                </a:defRPr>
              </a:pPr>
              <a:endParaRPr lang="en-US"/>
            </a:p>
          </c:txPr>
        </c:title>
        <c:numFmt formatCode="0" sourceLinked="0"/>
        <c:majorTickMark val="none"/>
        <c:minorTickMark val="none"/>
        <c:tickLblPos val="nextTo"/>
        <c:txPr>
          <a:bodyPr/>
          <a:lstStyle/>
          <a:p>
            <a:pPr>
              <a:defRPr lang="en-ZA" sz="600">
                <a:solidFill>
                  <a:schemeClr val="tx1">
                    <a:lumMod val="65000"/>
                    <a:lumOff val="35000"/>
                  </a:schemeClr>
                </a:solidFill>
                <a:latin typeface="Arial" pitchFamily="34" charset="0"/>
                <a:cs typeface="Arial" pitchFamily="34" charset="0"/>
              </a:defRPr>
            </a:pPr>
            <a:endParaRPr lang="en-US"/>
          </a:p>
        </c:txPr>
        <c:crossAx val="1173541200"/>
        <c:crosses val="autoZero"/>
        <c:crossBetween val="between"/>
      </c:valAx>
      <c:spPr>
        <a:noFill/>
      </c:spPr>
    </c:plotArea>
    <c:legend>
      <c:legendPos val="b"/>
      <c:layout>
        <c:manualLayout>
          <c:xMode val="edge"/>
          <c:yMode val="edge"/>
          <c:x val="6.5244500131608494E-3"/>
          <c:y val="0.85483690040616167"/>
          <c:w val="0.94971996952557813"/>
          <c:h val="0.12635623242178029"/>
        </c:manualLayout>
      </c:layout>
      <c:overlay val="0"/>
      <c:spPr>
        <a:solidFill>
          <a:schemeClr val="bg1"/>
        </a:solidFill>
      </c:spPr>
      <c:txPr>
        <a:bodyPr/>
        <a:lstStyle/>
        <a:p>
          <a:pPr>
            <a:defRPr lang="en-ZA" sz="74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1288" l="0.70000000000000062" r="0.70000000000000062" t="0.75000000000001288"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'Potable Water Calculator'!$D$31</c:f>
          <c:strCache>
            <c:ptCount val="1"/>
            <c:pt idx="0">
              <c:v>Polokwane</c:v>
            </c:pt>
          </c:strCache>
        </c:strRef>
      </c:tx>
      <c:layout>
        <c:manualLayout>
          <c:xMode val="edge"/>
          <c:yMode val="edge"/>
          <c:x val="8.4957302808821536E-2"/>
          <c:y val="2.1154669481184031E-2"/>
        </c:manualLayout>
      </c:layout>
      <c:overlay val="0"/>
      <c:txPr>
        <a:bodyPr/>
        <a:lstStyle/>
        <a:p>
          <a:pPr>
            <a:defRPr lang="en-ZA" sz="1000">
              <a:latin typeface="Arial" pitchFamily="34" charset="0"/>
              <a:cs typeface="Arial" pitchFamily="34" charset="0"/>
            </a:defRPr>
          </a:pPr>
          <a:endParaRPr lang="en-US"/>
        </a:p>
      </c:txPr>
    </c:title>
    <c:autoTitleDeleted val="0"/>
    <c:plotArea>
      <c:layout>
        <c:manualLayout>
          <c:layoutTarget val="inner"/>
          <c:xMode val="edge"/>
          <c:yMode val="edge"/>
          <c:x val="9.4695042513364275E-2"/>
          <c:y val="0.13814196640074061"/>
          <c:w val="0.85970451388890423"/>
          <c:h val="0.65283111111112202"/>
        </c:manualLayout>
      </c:layout>
      <c:barChart>
        <c:barDir val="col"/>
        <c:grouping val="clustered"/>
        <c:varyColors val="0"/>
        <c:ser>
          <c:idx val="1"/>
          <c:order val="1"/>
          <c:tx>
            <c:strRef>
              <c:f>'Potable Water Calculator'!$C$206</c:f>
              <c:strCache>
                <c:ptCount val="1"/>
                <c:pt idx="0">
                  <c:v>Irrigation Schedule</c:v>
                </c:pt>
              </c:strCache>
            </c:strRef>
          </c:tx>
          <c:spPr>
            <a:solidFill>
              <a:srgbClr val="006600"/>
            </a:solidFill>
          </c:spPr>
          <c:invertIfNegative val="0"/>
          <c:val>
            <c:numRef>
              <c:f>'Potable Water Calculator'!$C$207:$C$218</c:f>
              <c:numCache>
                <c:formatCode>0%</c:formatCode>
                <c:ptCount val="12"/>
                <c:pt idx="0">
                  <c:v>0.5</c:v>
                </c:pt>
                <c:pt idx="1">
                  <c:v>0.5</c:v>
                </c:pt>
                <c:pt idx="2">
                  <c:v>0.5</c:v>
                </c:pt>
                <c:pt idx="3">
                  <c:v>1</c:v>
                </c:pt>
                <c:pt idx="4">
                  <c:v>1</c:v>
                </c:pt>
                <c:pt idx="5">
                  <c:v>1</c:v>
                </c:pt>
                <c:pt idx="6">
                  <c:v>1</c:v>
                </c:pt>
                <c:pt idx="7">
                  <c:v>1</c:v>
                </c:pt>
                <c:pt idx="8">
                  <c:v>1</c:v>
                </c:pt>
                <c:pt idx="9">
                  <c:v>0.5</c:v>
                </c:pt>
                <c:pt idx="10">
                  <c:v>0.5</c:v>
                </c:pt>
                <c:pt idx="11">
                  <c:v>0.5</c:v>
                </c:pt>
              </c:numCache>
            </c:numRef>
          </c:val>
        </c:ser>
        <c:dLbls>
          <c:showLegendKey val="0"/>
          <c:showVal val="0"/>
          <c:showCatName val="0"/>
          <c:showSerName val="0"/>
          <c:showPercent val="0"/>
          <c:showBubbleSize val="0"/>
        </c:dLbls>
        <c:gapWidth val="150"/>
        <c:axId val="1173534128"/>
        <c:axId val="1173537392"/>
      </c:barChart>
      <c:lineChart>
        <c:grouping val="standard"/>
        <c:varyColors val="0"/>
        <c:ser>
          <c:idx val="0"/>
          <c:order val="0"/>
          <c:tx>
            <c:strRef>
              <c:f>'Potable Water Calculator'!$D$34:$D$35</c:f>
              <c:strCache>
                <c:ptCount val="2"/>
                <c:pt idx="0">
                  <c:v>Average rainfall</c:v>
                </c:pt>
                <c:pt idx="1">
                  <c:v>(mm/month)</c:v>
                </c:pt>
              </c:strCache>
            </c:strRef>
          </c:tx>
          <c:spPr>
            <a:ln>
              <a:solidFill>
                <a:srgbClr val="0000FF"/>
              </a:solidFill>
            </a:ln>
          </c:spPr>
          <c:marker>
            <c:symbol val="none"/>
          </c:marker>
          <c:dLbls>
            <c:delete val="1"/>
          </c:dLbls>
          <c:cat>
            <c:strLit>
              <c:ptCount val="12"/>
              <c:pt idx="0">
                <c:v>Jan</c:v>
              </c:pt>
              <c:pt idx="1">
                <c:v>Feb</c:v>
              </c:pt>
              <c:pt idx="2">
                <c:v>Mar</c:v>
              </c:pt>
              <c:pt idx="3">
                <c:v>Apr</c:v>
              </c:pt>
              <c:pt idx="4">
                <c:v>May</c:v>
              </c:pt>
              <c:pt idx="5">
                <c:v>Jun</c:v>
              </c:pt>
              <c:pt idx="6">
                <c:v>Jul</c:v>
              </c:pt>
              <c:pt idx="7">
                <c:v>Aug</c:v>
              </c:pt>
              <c:pt idx="8">
                <c:v>Sep</c:v>
              </c:pt>
              <c:pt idx="9">
                <c:v>Oct</c:v>
              </c:pt>
              <c:pt idx="10">
                <c:v>Nov</c:v>
              </c:pt>
              <c:pt idx="11">
                <c:v>Dec</c:v>
              </c:pt>
            </c:strLit>
          </c:cat>
          <c:val>
            <c:numRef>
              <c:f>'Potable Water Calculator'!$D$36:$D$47</c:f>
              <c:numCache>
                <c:formatCode>#,##0</c:formatCode>
                <c:ptCount val="12"/>
                <c:pt idx="0">
                  <c:v>82</c:v>
                </c:pt>
                <c:pt idx="1">
                  <c:v>60</c:v>
                </c:pt>
                <c:pt idx="2">
                  <c:v>52</c:v>
                </c:pt>
                <c:pt idx="3">
                  <c:v>33</c:v>
                </c:pt>
                <c:pt idx="4">
                  <c:v>11</c:v>
                </c:pt>
                <c:pt idx="5">
                  <c:v>5</c:v>
                </c:pt>
                <c:pt idx="6">
                  <c:v>3</c:v>
                </c:pt>
                <c:pt idx="7">
                  <c:v>6</c:v>
                </c:pt>
                <c:pt idx="8">
                  <c:v>17</c:v>
                </c:pt>
                <c:pt idx="9">
                  <c:v>43</c:v>
                </c:pt>
                <c:pt idx="10">
                  <c:v>85</c:v>
                </c:pt>
                <c:pt idx="11">
                  <c:v>81</c:v>
                </c:pt>
              </c:numCache>
            </c:numRef>
          </c:val>
          <c:smooth val="0"/>
        </c:ser>
        <c:dLbls>
          <c:showLegendKey val="0"/>
          <c:showVal val="1"/>
          <c:showCatName val="0"/>
          <c:showSerName val="0"/>
          <c:showPercent val="0"/>
          <c:showBubbleSize val="0"/>
        </c:dLbls>
        <c:marker val="1"/>
        <c:smooth val="0"/>
        <c:axId val="1173545552"/>
        <c:axId val="1173547184"/>
      </c:lineChart>
      <c:catAx>
        <c:axId val="1173545552"/>
        <c:scaling>
          <c:orientation val="minMax"/>
        </c:scaling>
        <c:delete val="0"/>
        <c:axPos val="b"/>
        <c:numFmt formatCode="General" sourceLinked="1"/>
        <c:majorTickMark val="out"/>
        <c:minorTickMark val="none"/>
        <c:tickLblPos val="nextTo"/>
        <c:txPr>
          <a:bodyPr/>
          <a:lstStyle/>
          <a:p>
            <a:pPr>
              <a:defRPr lang="en-US" sz="600">
                <a:solidFill>
                  <a:schemeClr val="bg1">
                    <a:lumMod val="50000"/>
                  </a:schemeClr>
                </a:solidFill>
                <a:latin typeface="Arial" pitchFamily="34" charset="0"/>
                <a:cs typeface="Arial" pitchFamily="34" charset="0"/>
              </a:defRPr>
            </a:pPr>
            <a:endParaRPr lang="en-US"/>
          </a:p>
        </c:txPr>
        <c:crossAx val="1173547184"/>
        <c:crosses val="autoZero"/>
        <c:auto val="1"/>
        <c:lblAlgn val="ctr"/>
        <c:lblOffset val="100"/>
        <c:noMultiLvlLbl val="0"/>
      </c:catAx>
      <c:valAx>
        <c:axId val="1173547184"/>
        <c:scaling>
          <c:orientation val="minMax"/>
          <c:max val="140"/>
        </c:scaling>
        <c:delete val="0"/>
        <c:axPos val="l"/>
        <c:majorGridlines/>
        <c:numFmt formatCode="#,##0" sourceLinked="1"/>
        <c:majorTickMark val="none"/>
        <c:minorTickMark val="none"/>
        <c:tickLblPos val="nextTo"/>
        <c:txPr>
          <a:bodyPr/>
          <a:lstStyle/>
          <a:p>
            <a:pPr>
              <a:defRPr lang="en-US" sz="600">
                <a:solidFill>
                  <a:srgbClr val="7F7F7F"/>
                </a:solidFill>
                <a:latin typeface="Arial" pitchFamily="34" charset="0"/>
                <a:cs typeface="Arial" pitchFamily="34" charset="0"/>
              </a:defRPr>
            </a:pPr>
            <a:endParaRPr lang="en-US"/>
          </a:p>
        </c:txPr>
        <c:crossAx val="1173545552"/>
        <c:crosses val="autoZero"/>
        <c:crossBetween val="between"/>
      </c:valAx>
      <c:valAx>
        <c:axId val="1173537392"/>
        <c:scaling>
          <c:orientation val="minMax"/>
          <c:max val="1"/>
        </c:scaling>
        <c:delete val="0"/>
        <c:axPos val="r"/>
        <c:numFmt formatCode="0%" sourceLinked="1"/>
        <c:majorTickMark val="none"/>
        <c:minorTickMark val="none"/>
        <c:tickLblPos val="nextTo"/>
        <c:txPr>
          <a:bodyPr/>
          <a:lstStyle/>
          <a:p>
            <a:pPr>
              <a:defRPr lang="en-US" sz="600">
                <a:solidFill>
                  <a:srgbClr val="7F7F7F"/>
                </a:solidFill>
                <a:latin typeface="Arial" pitchFamily="34" charset="0"/>
                <a:cs typeface="Arial" pitchFamily="34" charset="0"/>
              </a:defRPr>
            </a:pPr>
            <a:endParaRPr lang="en-US"/>
          </a:p>
        </c:txPr>
        <c:crossAx val="1173534128"/>
        <c:crosses val="max"/>
        <c:crossBetween val="between"/>
      </c:valAx>
      <c:catAx>
        <c:axId val="1173534128"/>
        <c:scaling>
          <c:orientation val="minMax"/>
        </c:scaling>
        <c:delete val="1"/>
        <c:axPos val="b"/>
        <c:majorTickMark val="out"/>
        <c:minorTickMark val="none"/>
        <c:tickLblPos val="none"/>
        <c:crossAx val="1173537392"/>
        <c:crosses val="autoZero"/>
        <c:auto val="1"/>
        <c:lblAlgn val="ctr"/>
        <c:lblOffset val="100"/>
        <c:noMultiLvlLbl val="0"/>
      </c:catAx>
    </c:plotArea>
    <c:legend>
      <c:legendPos val="b"/>
      <c:layout>
        <c:manualLayout>
          <c:xMode val="edge"/>
          <c:yMode val="edge"/>
          <c:x val="0"/>
          <c:y val="0.87494050698396275"/>
          <c:w val="1"/>
          <c:h val="0.12505949301603744"/>
        </c:manualLayout>
      </c:layout>
      <c:overlay val="0"/>
      <c:txPr>
        <a:bodyPr/>
        <a:lstStyle/>
        <a:p>
          <a:pPr>
            <a:defRPr lang="en-US"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1366" l="0.70000000000000062" r="0.70000000000000062" t="0.7500000000000136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rgbClr val="63AAFE"/>
            </a:solidFill>
            <a:ln w="12700">
              <a:solidFill>
                <a:srgbClr val="000000"/>
              </a:solidFill>
              <a:prstDash val="solid"/>
            </a:ln>
          </c:spPr>
          <c:cat>
            <c:strLit>
              <c:ptCount val="5"/>
            </c:strLit>
          </c:cat>
          <c:val>
            <c:numLit>
              <c:formatCode>General</c:formatCode>
              <c:ptCount val="1"/>
              <c:pt idx="0">
                <c:v>0</c:v>
              </c:pt>
            </c:numLit>
          </c:val>
        </c:ser>
        <c:ser>
          <c:idx val="1"/>
          <c:order val="1"/>
          <c:spPr>
            <a:solidFill>
              <a:srgbClr val="DD2D32"/>
            </a:solidFill>
            <a:ln w="12700">
              <a:solidFill>
                <a:srgbClr val="000000"/>
              </a:solidFill>
              <a:prstDash val="solid"/>
            </a:ln>
          </c:spPr>
          <c:cat>
            <c:strLit>
              <c:ptCount val="5"/>
            </c:strLit>
          </c:cat>
          <c:val>
            <c:numLit>
              <c:formatCode>General</c:formatCode>
              <c:ptCount val="1"/>
              <c:pt idx="0">
                <c:v>0</c:v>
              </c:pt>
            </c:numLit>
          </c:val>
        </c:ser>
        <c:dLbls>
          <c:showLegendKey val="0"/>
          <c:showVal val="0"/>
          <c:showCatName val="0"/>
          <c:showSerName val="0"/>
          <c:showPercent val="0"/>
          <c:showBubbleSize val="0"/>
          <c:showLeaderLines val="1"/>
        </c:dLbls>
        <c:firstSliceAng val="0"/>
      </c:pieChart>
      <c:spPr>
        <a:noFill/>
        <a:ln w="25400">
          <a:noFill/>
        </a:ln>
      </c:spPr>
    </c:plotArea>
    <c:legend>
      <c:legendPos val="r"/>
      <c:overlay val="0"/>
      <c:spPr>
        <a:solidFill>
          <a:srgbClr val="FFFFFF"/>
        </a:solidFill>
        <a:ln w="3175">
          <a:solidFill>
            <a:srgbClr val="000000"/>
          </a:solidFill>
          <a:prstDash val="solid"/>
        </a:ln>
      </c:spPr>
      <c:txPr>
        <a:bodyPr/>
        <a:lstStyle/>
        <a:p>
          <a:pPr>
            <a:defRPr lang="en-ZA" sz="67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9DA927"/>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788" r="0.75000000000000788"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rgbClr val="63AAFE"/>
            </a:solidFill>
            <a:ln w="12700">
              <a:solidFill>
                <a:srgbClr val="000000"/>
              </a:solidFill>
              <a:prstDash val="solid"/>
            </a:ln>
          </c:spPr>
          <c:dPt>
            <c:idx val="1"/>
            <c:bubble3D val="0"/>
            <c:spPr>
              <a:solidFill>
                <a:srgbClr val="DD2D32"/>
              </a:solidFill>
              <a:ln w="12700">
                <a:solidFill>
                  <a:srgbClr val="000000"/>
                </a:solidFill>
                <a:prstDash val="solid"/>
              </a:ln>
            </c:spPr>
          </c:dPt>
          <c:dPt>
            <c:idx val="2"/>
            <c:bubble3D val="0"/>
            <c:spPr>
              <a:solidFill>
                <a:srgbClr val="FFF58C"/>
              </a:solidFill>
              <a:ln w="12700">
                <a:solidFill>
                  <a:srgbClr val="000000"/>
                </a:solidFill>
                <a:prstDash val="solid"/>
              </a:ln>
            </c:spPr>
          </c:dPt>
          <c:dPt>
            <c:idx val="3"/>
            <c:bubble3D val="0"/>
            <c:spPr>
              <a:solidFill>
                <a:srgbClr val="4EE257"/>
              </a:solidFill>
              <a:ln w="12700">
                <a:solidFill>
                  <a:srgbClr val="000000"/>
                </a:solidFill>
                <a:prstDash val="solid"/>
              </a:ln>
            </c:spPr>
          </c:dPt>
          <c:cat>
            <c:strLit>
              <c:ptCount val="5"/>
              <c:pt idx="0">
                <c:v>WCs</c:v>
              </c:pt>
              <c:pt idx="1">
                <c:v>Urinals</c:v>
              </c:pt>
              <c:pt idx="2">
                <c:v>Indoor Taps</c:v>
              </c:pt>
              <c:pt idx="3">
                <c:v>Showerheads</c:v>
              </c:pt>
            </c:strLit>
          </c:cat>
          <c:val>
            <c:numLit>
              <c:formatCode>General</c:formatCode>
              <c:ptCount val="4"/>
              <c:pt idx="0">
                <c:v>0</c:v>
              </c:pt>
              <c:pt idx="1">
                <c:v>0</c:v>
              </c:pt>
              <c:pt idx="2">
                <c:v>0</c:v>
              </c:pt>
              <c:pt idx="3">
                <c:v>0</c:v>
              </c:pt>
            </c:numLit>
          </c:val>
        </c:ser>
        <c:ser>
          <c:idx val="1"/>
          <c:order val="1"/>
          <c:spPr>
            <a:solidFill>
              <a:srgbClr val="DD2D32"/>
            </a:solidFill>
            <a:ln w="12700">
              <a:solidFill>
                <a:srgbClr val="000000"/>
              </a:solidFill>
              <a:prstDash val="solid"/>
            </a:ln>
          </c:spPr>
          <c:dPt>
            <c:idx val="0"/>
            <c:bubble3D val="0"/>
            <c:spPr>
              <a:solidFill>
                <a:srgbClr val="63AAFE"/>
              </a:solidFill>
              <a:ln w="12700">
                <a:solidFill>
                  <a:srgbClr val="000000"/>
                </a:solidFill>
                <a:prstDash val="solid"/>
              </a:ln>
            </c:spPr>
          </c:dPt>
          <c:cat>
            <c:strLit>
              <c:ptCount val="5"/>
              <c:pt idx="0">
                <c:v>WCs</c:v>
              </c:pt>
              <c:pt idx="1">
                <c:v>Urinals</c:v>
              </c:pt>
              <c:pt idx="2">
                <c:v>Indoor Taps</c:v>
              </c:pt>
              <c:pt idx="3">
                <c:v>Showerheads</c:v>
              </c:pt>
            </c:strLit>
          </c:cat>
          <c:val>
            <c:numLit>
              <c:formatCode>General</c:formatCode>
              <c:ptCount val="1"/>
              <c:pt idx="0">
                <c:v>0</c:v>
              </c:pt>
            </c:numLit>
          </c:val>
        </c:ser>
        <c:dLbls>
          <c:showLegendKey val="0"/>
          <c:showVal val="0"/>
          <c:showCatName val="0"/>
          <c:showSerName val="0"/>
          <c:showPercent val="0"/>
          <c:showBubbleSize val="0"/>
          <c:showLeaderLines val="1"/>
        </c:dLbls>
        <c:firstSliceAng val="0"/>
      </c:pieChart>
      <c:spPr>
        <a:noFill/>
        <a:ln w="25400">
          <a:noFill/>
        </a:ln>
      </c:spPr>
    </c:plotArea>
    <c:legend>
      <c:legendPos val="r"/>
      <c:overlay val="0"/>
      <c:spPr>
        <a:solidFill>
          <a:srgbClr val="FFFFFF"/>
        </a:solidFill>
        <a:ln w="3175">
          <a:solidFill>
            <a:srgbClr val="000000"/>
          </a:solidFill>
          <a:prstDash val="solid"/>
        </a:ln>
      </c:spPr>
      <c:txPr>
        <a:bodyPr/>
        <a:lstStyle/>
        <a:p>
          <a:pPr>
            <a:defRPr lang="en-ZA" sz="67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9DA927"/>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788" r="0.75000000000000788" t="1" header="0.5" footer="0.5"/>
    <c:pageSetup/>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CheckBox" fmlaLink="I11" lockText="1" noThreeD="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Drop" dropStyle="combo" dx="16" fmlaLink="$M$19" fmlaRange="$P$19:$P$20" sel="1" val="0"/>
</file>

<file path=xl/ctrlProps/ctrlProp32.xml><?xml version="1.0" encoding="utf-8"?>
<formControlPr xmlns="http://schemas.microsoft.com/office/spreadsheetml/2009/9/main" objectType="Drop" dropLines="10" dropStyle="combo" dx="16" fmlaLink="$O$14" fmlaRange="$N$55:$N$106" sel="45" val="42"/>
</file>

<file path=xl/ctrlProps/ctrlProp33.xml><?xml version="1.0" encoding="utf-8"?>
<formControlPr xmlns="http://schemas.microsoft.com/office/spreadsheetml/2009/9/main" objectType="Drop" dropLines="10" dropStyle="combo" dx="16" fmlaLink="$O$16" fmlaRange="Current" sel="3" val="0"/>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Drop" dropLines="59" dropStyle="combo" dx="16" fmlaLink="$F$8:$F$9" fmlaRange="$F$6:$F$7" sel="1" val="0"/>
</file>

<file path=xl/ctrlProps/ctrlProp8.xml><?xml version="1.0" encoding="utf-8"?>
<formControlPr xmlns="http://schemas.microsoft.com/office/spreadsheetml/2009/9/main" objectType="Drop" dropLines="59" dropStyle="combo" dx="16" fmlaLink="$F$12:$F$13" fmlaRange="$F$10:$F$11" sel="1" val="0"/>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gif"/></Relationships>
</file>

<file path=xl/drawings/_rels/drawing20.xml.rels><?xml version="1.0" encoding="UTF-8" standalone="yes"?>
<Relationships xmlns="http://schemas.openxmlformats.org/package/2006/relationships"><Relationship Id="rId1" Type="http://schemas.openxmlformats.org/officeDocument/2006/relationships/image" Target="../media/image12.emf"/></Relationships>
</file>

<file path=xl/drawings/_rels/drawing23.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8.jpeg"/><Relationship Id="rId1" Type="http://schemas.openxmlformats.org/officeDocument/2006/relationships/image" Target="../media/image4.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1</xdr:col>
      <xdr:colOff>10584</xdr:colOff>
      <xdr:row>21</xdr:row>
      <xdr:rowOff>116450</xdr:rowOff>
    </xdr:from>
    <xdr:to>
      <xdr:col>1</xdr:col>
      <xdr:colOff>2180168</xdr:colOff>
      <xdr:row>28</xdr:row>
      <xdr:rowOff>61065</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4584" y="4804867"/>
          <a:ext cx="2169584" cy="1055865"/>
        </a:xfrm>
        <a:prstGeom prst="rect">
          <a:avLst/>
        </a:prstGeom>
      </xdr:spPr>
    </xdr:pic>
    <xdr:clientData/>
  </xdr:twoCellAnchor>
  <xdr:twoCellAnchor editAs="oneCell">
    <xdr:from>
      <xdr:col>1</xdr:col>
      <xdr:colOff>2635248</xdr:colOff>
      <xdr:row>21</xdr:row>
      <xdr:rowOff>127032</xdr:rowOff>
    </xdr:from>
    <xdr:to>
      <xdr:col>1</xdr:col>
      <xdr:colOff>4788157</xdr:colOff>
      <xdr:row>28</xdr:row>
      <xdr:rowOff>63531</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89248" y="4815449"/>
          <a:ext cx="2152909" cy="1047749"/>
        </a:xfrm>
        <a:prstGeom prst="rect">
          <a:avLst/>
        </a:prstGeom>
      </xdr:spPr>
    </xdr:pic>
    <xdr:clientData/>
  </xdr:twoCellAnchor>
  <xdr:twoCellAnchor editAs="oneCell">
    <xdr:from>
      <xdr:col>1</xdr:col>
      <xdr:colOff>21185</xdr:colOff>
      <xdr:row>0</xdr:row>
      <xdr:rowOff>158750</xdr:rowOff>
    </xdr:from>
    <xdr:to>
      <xdr:col>1</xdr:col>
      <xdr:colOff>3365517</xdr:colOff>
      <xdr:row>10</xdr:row>
      <xdr:rowOff>40075</xdr:rowOff>
    </xdr:to>
    <xdr:pic>
      <xdr:nvPicPr>
        <xdr:cNvPr id="2"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5185" y="158750"/>
          <a:ext cx="3344332" cy="1627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590550</xdr:colOff>
          <xdr:row>32</xdr:row>
          <xdr:rowOff>142875</xdr:rowOff>
        </xdr:from>
        <xdr:to>
          <xdr:col>7</xdr:col>
          <xdr:colOff>9525</xdr:colOff>
          <xdr:row>35</xdr:row>
          <xdr:rowOff>47625</xdr:rowOff>
        </xdr:to>
        <xdr:sp macro="" textlink="">
          <xdr:nvSpPr>
            <xdr:cNvPr id="48134" name="Button 6" hidden="1">
              <a:extLst>
                <a:ext uri="{63B3BB69-23CF-44E3-9099-C40C66FF867C}">
                  <a14:compatExt spid="_x0000_s4813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Go to Credit Summary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600075</xdr:colOff>
          <xdr:row>33</xdr:row>
          <xdr:rowOff>28575</xdr:rowOff>
        </xdr:from>
        <xdr:to>
          <xdr:col>7</xdr:col>
          <xdr:colOff>1876425</xdr:colOff>
          <xdr:row>35</xdr:row>
          <xdr:rowOff>28575</xdr:rowOff>
        </xdr:to>
        <xdr:sp macro="" textlink="">
          <xdr:nvSpPr>
            <xdr:cNvPr id="48137" name="Button 9" hidden="1">
              <a:extLst>
                <a:ext uri="{63B3BB69-23CF-44E3-9099-C40C66FF867C}">
                  <a14:compatExt spid="_x0000_s4813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Back to top</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885825</xdr:colOff>
          <xdr:row>6</xdr:row>
          <xdr:rowOff>3552825</xdr:rowOff>
        </xdr:from>
        <xdr:to>
          <xdr:col>3</xdr:col>
          <xdr:colOff>3876675</xdr:colOff>
          <xdr:row>6</xdr:row>
          <xdr:rowOff>3819525</xdr:rowOff>
        </xdr:to>
        <xdr:sp macro="" textlink="">
          <xdr:nvSpPr>
            <xdr:cNvPr id="47106" name="Button 2" hidden="1">
              <a:extLst>
                <a:ext uri="{63B3BB69-23CF-44E3-9099-C40C66FF867C}">
                  <a14:compatExt spid="_x0000_s4710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HelveticaNeue-Roman"/>
                </a:rPr>
                <a:t>Go to Energy Calculator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571500</xdr:colOff>
          <xdr:row>20</xdr:row>
          <xdr:rowOff>142875</xdr:rowOff>
        </xdr:from>
        <xdr:to>
          <xdr:col>6</xdr:col>
          <xdr:colOff>952500</xdr:colOff>
          <xdr:row>23</xdr:row>
          <xdr:rowOff>47625</xdr:rowOff>
        </xdr:to>
        <xdr:sp macro="" textlink="">
          <xdr:nvSpPr>
            <xdr:cNvPr id="47107" name="Button 3" hidden="1">
              <a:extLst>
                <a:ext uri="{63B3BB69-23CF-44E3-9099-C40C66FF867C}">
                  <a14:compatExt spid="_x0000_s4710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Go to Credit Summary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695325</xdr:colOff>
          <xdr:row>21</xdr:row>
          <xdr:rowOff>38100</xdr:rowOff>
        </xdr:from>
        <xdr:to>
          <xdr:col>7</xdr:col>
          <xdr:colOff>1971675</xdr:colOff>
          <xdr:row>23</xdr:row>
          <xdr:rowOff>38100</xdr:rowOff>
        </xdr:to>
        <xdr:sp macro="" textlink="">
          <xdr:nvSpPr>
            <xdr:cNvPr id="47128" name="Button 24" hidden="1">
              <a:extLst>
                <a:ext uri="{63B3BB69-23CF-44E3-9099-C40C66FF867C}">
                  <a14:compatExt spid="_x0000_s4712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Back to top</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676275</xdr:colOff>
          <xdr:row>65</xdr:row>
          <xdr:rowOff>28575</xdr:rowOff>
        </xdr:from>
        <xdr:to>
          <xdr:col>8</xdr:col>
          <xdr:colOff>885825</xdr:colOff>
          <xdr:row>68</xdr:row>
          <xdr:rowOff>19050</xdr:rowOff>
        </xdr:to>
        <xdr:sp macro="" textlink="">
          <xdr:nvSpPr>
            <xdr:cNvPr id="325686" name="Button 54" hidden="1">
              <a:extLst>
                <a:ext uri="{63B3BB69-23CF-44E3-9099-C40C66FF867C}">
                  <a14:compatExt spid="_x0000_s32568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Back to Energy Credits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171450</xdr:colOff>
          <xdr:row>26</xdr:row>
          <xdr:rowOff>9525</xdr:rowOff>
        </xdr:from>
        <xdr:to>
          <xdr:col>10</xdr:col>
          <xdr:colOff>314325</xdr:colOff>
          <xdr:row>27</xdr:row>
          <xdr:rowOff>238125</xdr:rowOff>
        </xdr:to>
        <xdr:sp macro="" textlink="">
          <xdr:nvSpPr>
            <xdr:cNvPr id="325687" name="Button 55" hidden="1">
              <a:extLst>
                <a:ext uri="{63B3BB69-23CF-44E3-9099-C40C66FF867C}">
                  <a14:compatExt spid="_x0000_s32568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Go To Lighting Energy Calculator</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647700</xdr:colOff>
          <xdr:row>10</xdr:row>
          <xdr:rowOff>180975</xdr:rowOff>
        </xdr:from>
        <xdr:to>
          <xdr:col>10</xdr:col>
          <xdr:colOff>1095375</xdr:colOff>
          <xdr:row>13</xdr:row>
          <xdr:rowOff>19050</xdr:rowOff>
        </xdr:to>
        <xdr:sp macro="" textlink="">
          <xdr:nvSpPr>
            <xdr:cNvPr id="349185" name="Button 1" hidden="1">
              <a:extLst>
                <a:ext uri="{63B3BB69-23CF-44E3-9099-C40C66FF867C}">
                  <a14:compatExt spid="_x0000_s34918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Back to Energy Calculator</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590550</xdr:colOff>
          <xdr:row>17</xdr:row>
          <xdr:rowOff>76200</xdr:rowOff>
        </xdr:from>
        <xdr:to>
          <xdr:col>7</xdr:col>
          <xdr:colOff>9525</xdr:colOff>
          <xdr:row>20</xdr:row>
          <xdr:rowOff>66675</xdr:rowOff>
        </xdr:to>
        <xdr:sp macro="" textlink="">
          <xdr:nvSpPr>
            <xdr:cNvPr id="321545" name="Button 9" hidden="1">
              <a:extLst>
                <a:ext uri="{63B3BB69-23CF-44E3-9099-C40C66FF867C}">
                  <a14:compatExt spid="_x0000_s32154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Go to Credit Summary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990600</xdr:colOff>
          <xdr:row>9</xdr:row>
          <xdr:rowOff>3390900</xdr:rowOff>
        </xdr:from>
        <xdr:to>
          <xdr:col>3</xdr:col>
          <xdr:colOff>3533775</xdr:colOff>
          <xdr:row>9</xdr:row>
          <xdr:rowOff>3667125</xdr:rowOff>
        </xdr:to>
        <xdr:sp macro="" textlink="">
          <xdr:nvSpPr>
            <xdr:cNvPr id="321547" name="Button 11" hidden="1">
              <a:extLst>
                <a:ext uri="{63B3BB69-23CF-44E3-9099-C40C66FF867C}">
                  <a14:compatExt spid="_x0000_s32154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Go to Mass Transport Calculator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2247900</xdr:colOff>
          <xdr:row>11</xdr:row>
          <xdr:rowOff>19050</xdr:rowOff>
        </xdr:from>
        <xdr:to>
          <xdr:col>3</xdr:col>
          <xdr:colOff>2619375</xdr:colOff>
          <xdr:row>11</xdr:row>
          <xdr:rowOff>276225</xdr:rowOff>
        </xdr:to>
        <xdr:sp macro="" textlink="">
          <xdr:nvSpPr>
            <xdr:cNvPr id="321554" name="Check Box 18" hidden="1">
              <a:extLst>
                <a:ext uri="{63B3BB69-23CF-44E3-9099-C40C66FF867C}">
                  <a14:compatExt spid="_x0000_s321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676275</xdr:colOff>
          <xdr:row>29</xdr:row>
          <xdr:rowOff>152400</xdr:rowOff>
        </xdr:from>
        <xdr:to>
          <xdr:col>11</xdr:col>
          <xdr:colOff>695325</xdr:colOff>
          <xdr:row>31</xdr:row>
          <xdr:rowOff>57150</xdr:rowOff>
        </xdr:to>
        <xdr:sp macro="" textlink="">
          <xdr:nvSpPr>
            <xdr:cNvPr id="346113" name="Button 1" hidden="1">
              <a:extLst>
                <a:ext uri="{63B3BB69-23CF-44E3-9099-C40C66FF867C}">
                  <a14:compatExt spid="_x0000_s34611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Back to Transport Credits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676275</xdr:colOff>
          <xdr:row>29</xdr:row>
          <xdr:rowOff>152400</xdr:rowOff>
        </xdr:from>
        <xdr:to>
          <xdr:col>11</xdr:col>
          <xdr:colOff>695325</xdr:colOff>
          <xdr:row>31</xdr:row>
          <xdr:rowOff>57150</xdr:rowOff>
        </xdr:to>
        <xdr:sp macro="" textlink="">
          <xdr:nvSpPr>
            <xdr:cNvPr id="346114" name="Button 2" hidden="1">
              <a:extLst>
                <a:ext uri="{63B3BB69-23CF-44E3-9099-C40C66FF867C}">
                  <a14:compatExt spid="_x0000_s34611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Back to Transport Credits</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457200</xdr:colOff>
          <xdr:row>4</xdr:row>
          <xdr:rowOff>504825</xdr:rowOff>
        </xdr:from>
        <xdr:to>
          <xdr:col>3</xdr:col>
          <xdr:colOff>3448050</xdr:colOff>
          <xdr:row>4</xdr:row>
          <xdr:rowOff>809625</xdr:rowOff>
        </xdr:to>
        <xdr:sp macro="" textlink="">
          <xdr:nvSpPr>
            <xdr:cNvPr id="45058" name="Button 2" hidden="1">
              <a:extLst>
                <a:ext uri="{63B3BB69-23CF-44E3-9099-C40C66FF867C}">
                  <a14:compatExt spid="_x0000_s4505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HelveticaNeue-Roman"/>
                </a:rPr>
                <a:t>Go to Potable Water Calculator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533400</xdr:colOff>
          <xdr:row>16</xdr:row>
          <xdr:rowOff>180975</xdr:rowOff>
        </xdr:from>
        <xdr:to>
          <xdr:col>7</xdr:col>
          <xdr:colOff>9525</xdr:colOff>
          <xdr:row>19</xdr:row>
          <xdr:rowOff>85725</xdr:rowOff>
        </xdr:to>
        <xdr:sp macro="" textlink="">
          <xdr:nvSpPr>
            <xdr:cNvPr id="45061" name="Button 5" hidden="1">
              <a:extLst>
                <a:ext uri="{63B3BB69-23CF-44E3-9099-C40C66FF867C}">
                  <a14:compatExt spid="_x0000_s4506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Go to Credit Summary</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0</xdr:col>
      <xdr:colOff>94303</xdr:colOff>
      <xdr:row>109</xdr:row>
      <xdr:rowOff>107703</xdr:rowOff>
    </xdr:from>
    <xdr:to>
      <xdr:col>4</xdr:col>
      <xdr:colOff>25769</xdr:colOff>
      <xdr:row>126</xdr:row>
      <xdr:rowOff>23812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313531</xdr:colOff>
      <xdr:row>177</xdr:row>
      <xdr:rowOff>0</xdr:rowOff>
    </xdr:from>
    <xdr:to>
      <xdr:col>7</xdr:col>
      <xdr:colOff>1435553</xdr:colOff>
      <xdr:row>190</xdr:row>
      <xdr:rowOff>137260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118875</xdr:colOff>
      <xdr:row>204</xdr:row>
      <xdr:rowOff>472700</xdr:rowOff>
    </xdr:from>
    <xdr:to>
      <xdr:col>7</xdr:col>
      <xdr:colOff>1241646</xdr:colOff>
      <xdr:row>218</xdr:row>
      <xdr:rowOff>144633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972155</xdr:colOff>
      <xdr:row>335</xdr:row>
      <xdr:rowOff>24947</xdr:rowOff>
    </xdr:from>
    <xdr:to>
      <xdr:col>10</xdr:col>
      <xdr:colOff>612321</xdr:colOff>
      <xdr:row>348</xdr:row>
      <xdr:rowOff>161898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1000123</xdr:colOff>
      <xdr:row>352</xdr:row>
      <xdr:rowOff>84668</xdr:rowOff>
    </xdr:from>
    <xdr:to>
      <xdr:col>7</xdr:col>
      <xdr:colOff>1451238</xdr:colOff>
      <xdr:row>363</xdr:row>
      <xdr:rowOff>226220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451114</xdr:colOff>
      <xdr:row>466</xdr:row>
      <xdr:rowOff>58209</xdr:rowOff>
    </xdr:from>
    <xdr:to>
      <xdr:col>7</xdr:col>
      <xdr:colOff>631030</xdr:colOff>
      <xdr:row>480</xdr:row>
      <xdr:rowOff>92350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1320271</xdr:colOff>
      <xdr:row>204</xdr:row>
      <xdr:rowOff>189177</xdr:rowOff>
    </xdr:from>
    <xdr:to>
      <xdr:col>11</xdr:col>
      <xdr:colOff>176783</xdr:colOff>
      <xdr:row>218</xdr:row>
      <xdr:rowOff>142875</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5</xdr:col>
      <xdr:colOff>295904</xdr:colOff>
      <xdr:row>30</xdr:row>
      <xdr:rowOff>5518</xdr:rowOff>
    </xdr:from>
    <xdr:to>
      <xdr:col>8</xdr:col>
      <xdr:colOff>103908</xdr:colOff>
      <xdr:row>43</xdr:row>
      <xdr:rowOff>64450</xdr:rowOff>
    </xdr:to>
    <xdr:pic>
      <xdr:nvPicPr>
        <xdr:cNvPr id="9" name="Picture 8"/>
        <xdr:cNvPicPr>
          <a:picLocks noChangeAspect="1" noChangeArrowheads="1"/>
        </xdr:cNvPicPr>
      </xdr:nvPicPr>
      <xdr:blipFill>
        <a:blip xmlns:r="http://schemas.openxmlformats.org/officeDocument/2006/relationships" r:embed="rId8" cstate="print"/>
        <a:srcRect l="12222" t="11504" r="-1782" b="-4130"/>
        <a:stretch>
          <a:fillRect/>
        </a:stretch>
      </xdr:blipFill>
      <xdr:spPr bwMode="auto">
        <a:xfrm>
          <a:off x="5125079" y="6939718"/>
          <a:ext cx="3684679" cy="3161361"/>
        </a:xfrm>
        <a:prstGeom prst="rect">
          <a:avLst/>
        </a:prstGeom>
        <a:noFill/>
        <a:ln w="9525">
          <a:noFill/>
          <a:miter lim="800000"/>
          <a:headEnd/>
          <a:tailEnd/>
        </a:ln>
        <a:effectLst>
          <a:outerShdw blurRad="50800" dist="38100" dir="2700000" algn="tl" rotWithShape="0">
            <a:prstClr val="black">
              <a:alpha val="40000"/>
            </a:prstClr>
          </a:outerShdw>
        </a:effectLst>
      </xdr:spPr>
    </xdr:pic>
    <xdr:clientData/>
  </xdr:twoCellAnchor>
  <xdr:twoCellAnchor>
    <xdr:from>
      <xdr:col>76</xdr:col>
      <xdr:colOff>130969</xdr:colOff>
      <xdr:row>9</xdr:row>
      <xdr:rowOff>6123</xdr:rowOff>
    </xdr:from>
    <xdr:to>
      <xdr:col>81</xdr:col>
      <xdr:colOff>59531</xdr:colOff>
      <xdr:row>13</xdr:row>
      <xdr:rowOff>0</xdr:rowOff>
    </xdr:to>
    <xdr:sp macro="" textlink="">
      <xdr:nvSpPr>
        <xdr:cNvPr id="10" name="TextBox 9"/>
        <xdr:cNvSpPr txBox="1"/>
      </xdr:nvSpPr>
      <xdr:spPr>
        <a:xfrm rot="21101696">
          <a:off x="69530119" y="1911123"/>
          <a:ext cx="2614612" cy="870177"/>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ZA" sz="1100">
              <a:solidFill>
                <a:srgbClr val="FF0000"/>
              </a:solidFill>
            </a:rPr>
            <a:t>Formulas are</a:t>
          </a:r>
          <a:r>
            <a:rPr lang="en-ZA" sz="1100" baseline="0">
              <a:solidFill>
                <a:srgbClr val="FF0000"/>
              </a:solidFill>
            </a:rPr>
            <a:t> adjusted monthly, don't drag top formula down for the entire year</a:t>
          </a:r>
          <a:endParaRPr lang="en-ZA" sz="1100">
            <a:solidFill>
              <a:srgbClr val="FF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181883</xdr:colOff>
      <xdr:row>2</xdr:row>
      <xdr:rowOff>141513</xdr:rowOff>
    </xdr:from>
    <xdr:to>
      <xdr:col>15</xdr:col>
      <xdr:colOff>366509</xdr:colOff>
      <xdr:row>27</xdr:row>
      <xdr:rowOff>153759</xdr:rowOff>
    </xdr:to>
    <xdr:pic>
      <xdr:nvPicPr>
        <xdr:cNvPr id="2" name="Picture 1"/>
        <xdr:cNvPicPr>
          <a:picLocks noChangeAspect="1" noChangeArrowheads="1"/>
        </xdr:cNvPicPr>
      </xdr:nvPicPr>
      <xdr:blipFill>
        <a:blip xmlns:r="http://schemas.openxmlformats.org/officeDocument/2006/relationships" r:embed="rId1" cstate="print"/>
        <a:srcRect l="12222" t="11504" r="-1782" b="-4130"/>
        <a:stretch>
          <a:fillRect/>
        </a:stretch>
      </xdr:blipFill>
      <xdr:spPr bwMode="auto">
        <a:xfrm>
          <a:off x="5220608" y="522513"/>
          <a:ext cx="6118701" cy="4993821"/>
        </a:xfrm>
        <a:prstGeom prst="rect">
          <a:avLst/>
        </a:prstGeom>
        <a:noFill/>
        <a:ln w="9525">
          <a:noFill/>
          <a:miter lim="800000"/>
          <a:headEnd/>
          <a:tailEnd/>
        </a:ln>
        <a:effectLst>
          <a:outerShdw blurRad="50800" dist="38100" dir="2700000" algn="tl" rotWithShape="0">
            <a:prstClr val="black">
              <a:alpha val="40000"/>
            </a:prstClr>
          </a:outerShdw>
        </a:effectLst>
      </xdr:spPr>
    </xdr:pic>
    <xdr:clientData/>
  </xdr:twoCellAnchor>
  <xdr:twoCellAnchor editAs="oneCell">
    <xdr:from>
      <xdr:col>16</xdr:col>
      <xdr:colOff>813707</xdr:colOff>
      <xdr:row>52</xdr:row>
      <xdr:rowOff>42502</xdr:rowOff>
    </xdr:from>
    <xdr:to>
      <xdr:col>23</xdr:col>
      <xdr:colOff>129949</xdr:colOff>
      <xdr:row>66</xdr:row>
      <xdr:rowOff>62593</xdr:rowOff>
    </xdr:to>
    <xdr:pic>
      <xdr:nvPicPr>
        <xdr:cNvPr id="3" name="Picture 2"/>
        <xdr:cNvPicPr>
          <a:picLocks noChangeAspect="1" noChangeArrowheads="1"/>
        </xdr:cNvPicPr>
      </xdr:nvPicPr>
      <xdr:blipFill>
        <a:blip xmlns:r="http://schemas.openxmlformats.org/officeDocument/2006/relationships" r:embed="rId2" cstate="print"/>
        <a:srcRect t="3108" b="21078"/>
        <a:stretch>
          <a:fillRect/>
        </a:stretch>
      </xdr:blipFill>
      <xdr:spPr bwMode="auto">
        <a:xfrm>
          <a:off x="12548507" y="10291402"/>
          <a:ext cx="5983742" cy="2820441"/>
        </a:xfrm>
        <a:prstGeom prst="rect">
          <a:avLst/>
        </a:prstGeom>
        <a:noFill/>
        <a:ln w="9525">
          <a:noFill/>
          <a:miter lim="800000"/>
          <a:headEnd/>
          <a:tailEnd/>
        </a:ln>
        <a:effec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581025</xdr:colOff>
          <xdr:row>27</xdr:row>
          <xdr:rowOff>0</xdr:rowOff>
        </xdr:from>
        <xdr:to>
          <xdr:col>7</xdr:col>
          <xdr:colOff>0</xdr:colOff>
          <xdr:row>29</xdr:row>
          <xdr:rowOff>152400</xdr:rowOff>
        </xdr:to>
        <xdr:sp macro="" textlink="">
          <xdr:nvSpPr>
            <xdr:cNvPr id="332803" name="Button 3" hidden="1">
              <a:extLst>
                <a:ext uri="{63B3BB69-23CF-44E3-9099-C40C66FF867C}">
                  <a14:compatExt spid="_x0000_s33280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Go to Credit Summary</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7981950</xdr:colOff>
      <xdr:row>0</xdr:row>
      <xdr:rowOff>57150</xdr:rowOff>
    </xdr:from>
    <xdr:to>
      <xdr:col>1</xdr:col>
      <xdr:colOff>9782175</xdr:colOff>
      <xdr:row>3</xdr:row>
      <xdr:rowOff>47435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39125" y="57150"/>
          <a:ext cx="1800225" cy="876110"/>
        </a:xfrm>
        <a:prstGeom prst="rect">
          <a:avLst/>
        </a:prstGeom>
      </xdr:spPr>
    </xdr:pic>
    <xdr:clientData/>
  </xdr:twoCellAnchor>
  <xdr:twoCellAnchor>
    <xdr:from>
      <xdr:col>0</xdr:col>
      <xdr:colOff>476250</xdr:colOff>
      <xdr:row>9</xdr:row>
      <xdr:rowOff>47625</xdr:rowOff>
    </xdr:from>
    <xdr:to>
      <xdr:col>1</xdr:col>
      <xdr:colOff>1838325</xdr:colOff>
      <xdr:row>11</xdr:row>
      <xdr:rowOff>28575</xdr:rowOff>
    </xdr:to>
    <xdr:sp macro="[0]!Intro1" textlink="">
      <xdr:nvSpPr>
        <xdr:cNvPr id="383268" name="Rectangle 167"/>
        <xdr:cNvSpPr>
          <a:spLocks noChangeArrowheads="1"/>
        </xdr:cNvSpPr>
      </xdr:nvSpPr>
      <xdr:spPr bwMode="auto">
        <a:xfrm>
          <a:off x="257175" y="2228850"/>
          <a:ext cx="1838325" cy="247650"/>
        </a:xfrm>
        <a:prstGeom prst="rect">
          <a:avLst/>
        </a:prstGeom>
        <a:noFill/>
        <a:ln w="9525">
          <a:noFill/>
          <a:miter lim="800000"/>
          <a:headEnd/>
          <a:tailEnd/>
        </a:ln>
      </xdr:spPr>
    </xdr:sp>
    <xdr:clientData/>
  </xdr:twoCellAnchor>
  <xdr:twoCellAnchor>
    <xdr:from>
      <xdr:col>0</xdr:col>
      <xdr:colOff>485775</xdr:colOff>
      <xdr:row>11</xdr:row>
      <xdr:rowOff>104775</xdr:rowOff>
    </xdr:from>
    <xdr:to>
      <xdr:col>1</xdr:col>
      <xdr:colOff>3609975</xdr:colOff>
      <xdr:row>13</xdr:row>
      <xdr:rowOff>19050</xdr:rowOff>
    </xdr:to>
    <xdr:sp macro="[0]!Intro2" textlink="">
      <xdr:nvSpPr>
        <xdr:cNvPr id="383269" name="Rectangle 168"/>
        <xdr:cNvSpPr>
          <a:spLocks noChangeArrowheads="1"/>
        </xdr:cNvSpPr>
      </xdr:nvSpPr>
      <xdr:spPr bwMode="auto">
        <a:xfrm>
          <a:off x="257175" y="2552700"/>
          <a:ext cx="3609975" cy="247650"/>
        </a:xfrm>
        <a:prstGeom prst="rect">
          <a:avLst/>
        </a:prstGeom>
        <a:noFill/>
        <a:ln w="9525">
          <a:noFill/>
          <a:miter lim="800000"/>
          <a:headEnd/>
          <a:tailEnd/>
        </a:ln>
      </xdr:spPr>
    </xdr:sp>
    <xdr:clientData/>
  </xdr:twoCellAnchor>
  <xdr:twoCellAnchor>
    <xdr:from>
      <xdr:col>0</xdr:col>
      <xdr:colOff>495300</xdr:colOff>
      <xdr:row>13</xdr:row>
      <xdr:rowOff>114300</xdr:rowOff>
    </xdr:from>
    <xdr:to>
      <xdr:col>1</xdr:col>
      <xdr:colOff>3619500</xdr:colOff>
      <xdr:row>15</xdr:row>
      <xdr:rowOff>28575</xdr:rowOff>
    </xdr:to>
    <xdr:sp macro="[0]!Intro3" textlink="">
      <xdr:nvSpPr>
        <xdr:cNvPr id="383270" name="Rectangle 169"/>
        <xdr:cNvSpPr>
          <a:spLocks noChangeArrowheads="1"/>
        </xdr:cNvSpPr>
      </xdr:nvSpPr>
      <xdr:spPr bwMode="auto">
        <a:xfrm>
          <a:off x="257175" y="2895600"/>
          <a:ext cx="3619500" cy="247650"/>
        </a:xfrm>
        <a:prstGeom prst="rect">
          <a:avLst/>
        </a:prstGeom>
        <a:noFill/>
        <a:ln w="9525">
          <a:noFill/>
          <a:miter lim="800000"/>
          <a:headEnd/>
          <a:tailEnd/>
        </a:ln>
      </xdr:spPr>
    </xdr:sp>
    <xdr:clientData/>
  </xdr:twoCellAnchor>
  <xdr:twoCellAnchor>
    <xdr:from>
      <xdr:col>0</xdr:col>
      <xdr:colOff>476250</xdr:colOff>
      <xdr:row>15</xdr:row>
      <xdr:rowOff>104775</xdr:rowOff>
    </xdr:from>
    <xdr:to>
      <xdr:col>1</xdr:col>
      <xdr:colOff>2876550</xdr:colOff>
      <xdr:row>17</xdr:row>
      <xdr:rowOff>19050</xdr:rowOff>
    </xdr:to>
    <xdr:sp macro="[0]!Intro4" textlink="">
      <xdr:nvSpPr>
        <xdr:cNvPr id="383271" name="Rectangle 170"/>
        <xdr:cNvSpPr>
          <a:spLocks noChangeArrowheads="1"/>
        </xdr:cNvSpPr>
      </xdr:nvSpPr>
      <xdr:spPr bwMode="auto">
        <a:xfrm>
          <a:off x="257175" y="3219450"/>
          <a:ext cx="2876550" cy="247650"/>
        </a:xfrm>
        <a:prstGeom prst="rect">
          <a:avLst/>
        </a:prstGeom>
        <a:noFill/>
        <a:ln w="9525">
          <a:noFill/>
          <a:miter lim="800000"/>
          <a:headEnd/>
          <a:tailEnd/>
        </a:ln>
      </xdr:spPr>
    </xdr:sp>
    <xdr:clientData/>
  </xdr:twoCellAnchor>
  <xdr:twoCellAnchor>
    <xdr:from>
      <xdr:col>0</xdr:col>
      <xdr:colOff>495300</xdr:colOff>
      <xdr:row>17</xdr:row>
      <xdr:rowOff>104775</xdr:rowOff>
    </xdr:from>
    <xdr:to>
      <xdr:col>1</xdr:col>
      <xdr:colOff>1514475</xdr:colOff>
      <xdr:row>19</xdr:row>
      <xdr:rowOff>19050</xdr:rowOff>
    </xdr:to>
    <xdr:sp macro="[0]!Intro5" textlink="">
      <xdr:nvSpPr>
        <xdr:cNvPr id="383272" name="Rectangle 171"/>
        <xdr:cNvSpPr>
          <a:spLocks noChangeArrowheads="1"/>
        </xdr:cNvSpPr>
      </xdr:nvSpPr>
      <xdr:spPr bwMode="auto">
        <a:xfrm>
          <a:off x="257175" y="3552825"/>
          <a:ext cx="1514475" cy="247650"/>
        </a:xfrm>
        <a:prstGeom prst="rect">
          <a:avLst/>
        </a:prstGeom>
        <a:noFill/>
        <a:ln w="9525">
          <a:noFill/>
          <a:miter lim="800000"/>
          <a:headEnd/>
          <a:tailEnd/>
        </a:ln>
      </xdr:spPr>
    </xdr:sp>
    <xdr:clientData/>
  </xdr:twoCellAnchor>
  <xdr:twoCellAnchor editAs="oneCell">
    <xdr:from>
      <xdr:col>1</xdr:col>
      <xdr:colOff>85725</xdr:colOff>
      <xdr:row>0</xdr:row>
      <xdr:rowOff>95250</xdr:rowOff>
    </xdr:from>
    <xdr:to>
      <xdr:col>1</xdr:col>
      <xdr:colOff>1933575</xdr:colOff>
      <xdr:row>0</xdr:row>
      <xdr:rowOff>552450</xdr:rowOff>
    </xdr:to>
    <xdr:pic>
      <xdr:nvPicPr>
        <xdr:cNvPr id="383273" name="Picture 180" descr="Green Building Council of South Africa logo (high res)"/>
        <xdr:cNvPicPr>
          <a:picLocks noChangeAspect="1" noChangeArrowheads="1"/>
        </xdr:cNvPicPr>
      </xdr:nvPicPr>
      <xdr:blipFill>
        <a:blip xmlns:r="http://schemas.openxmlformats.org/officeDocument/2006/relationships" r:embed="rId2" cstate="print"/>
        <a:srcRect/>
        <a:stretch>
          <a:fillRect/>
        </a:stretch>
      </xdr:blipFill>
      <xdr:spPr bwMode="auto">
        <a:xfrm>
          <a:off x="342900" y="95250"/>
          <a:ext cx="1847850" cy="457200"/>
        </a:xfrm>
        <a:prstGeom prst="rect">
          <a:avLst/>
        </a:prstGeom>
        <a:noFill/>
        <a:ln w="9525">
          <a:noFill/>
          <a:miter lim="800000"/>
          <a:headEnd/>
          <a:tailEnd/>
        </a:ln>
      </xdr:spPr>
    </xdr:pic>
    <xdr:clientData/>
  </xdr:twoCellAnchor>
  <xdr:twoCellAnchor editAs="oneCell">
    <xdr:from>
      <xdr:col>1</xdr:col>
      <xdr:colOff>4981575</xdr:colOff>
      <xdr:row>9</xdr:row>
      <xdr:rowOff>0</xdr:rowOff>
    </xdr:from>
    <xdr:to>
      <xdr:col>1</xdr:col>
      <xdr:colOff>9201150</xdr:colOff>
      <xdr:row>20</xdr:row>
      <xdr:rowOff>133350</xdr:rowOff>
    </xdr:to>
    <xdr:pic>
      <xdr:nvPicPr>
        <xdr:cNvPr id="383274" name="Picture 220"/>
        <xdr:cNvPicPr>
          <a:picLocks noChangeAspect="1" noChangeArrowheads="1"/>
        </xdr:cNvPicPr>
      </xdr:nvPicPr>
      <xdr:blipFill>
        <a:blip xmlns:r="http://schemas.openxmlformats.org/officeDocument/2006/relationships" r:embed="rId3" cstate="print"/>
        <a:srcRect/>
        <a:stretch>
          <a:fillRect/>
        </a:stretch>
      </xdr:blipFill>
      <xdr:spPr bwMode="auto">
        <a:xfrm>
          <a:off x="5238750" y="2181225"/>
          <a:ext cx="4219575" cy="1819275"/>
        </a:xfrm>
        <a:prstGeom prst="rect">
          <a:avLst/>
        </a:prstGeom>
        <a:noFill/>
        <a:ln w="9525">
          <a:noFill/>
          <a:miter lim="800000"/>
          <a:headEnd/>
          <a:tailEnd/>
        </a:ln>
      </xdr:spPr>
    </xdr:pic>
    <xdr:clientData/>
  </xdr:twoCellAnchor>
  <xdr:twoCellAnchor editAs="oneCell">
    <xdr:from>
      <xdr:col>0</xdr:col>
      <xdr:colOff>219075</xdr:colOff>
      <xdr:row>81</xdr:row>
      <xdr:rowOff>38100</xdr:rowOff>
    </xdr:from>
    <xdr:to>
      <xdr:col>1</xdr:col>
      <xdr:colOff>1828800</xdr:colOff>
      <xdr:row>87</xdr:row>
      <xdr:rowOff>152400</xdr:rowOff>
    </xdr:to>
    <xdr:pic>
      <xdr:nvPicPr>
        <xdr:cNvPr id="2" name="Picture 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9075" y="17697450"/>
          <a:ext cx="1866900" cy="1085850"/>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6715125</xdr:colOff>
          <xdr:row>71</xdr:row>
          <xdr:rowOff>57150</xdr:rowOff>
        </xdr:from>
        <xdr:to>
          <xdr:col>2</xdr:col>
          <xdr:colOff>0</xdr:colOff>
          <xdr:row>71</xdr:row>
          <xdr:rowOff>228600</xdr:rowOff>
        </xdr:to>
        <xdr:sp macro="" textlink="">
          <xdr:nvSpPr>
            <xdr:cNvPr id="383151" name="Button 175" hidden="1">
              <a:extLst>
                <a:ext uri="{63B3BB69-23CF-44E3-9099-C40C66FF867C}">
                  <a14:compatExt spid="_x0000_s38315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800" b="1" i="0" u="none" strike="noStrike" baseline="0">
                  <a:solidFill>
                    <a:srgbClr val="000000"/>
                  </a:solidFill>
                  <a:latin typeface="Arial"/>
                  <a:cs typeface="Arial"/>
                </a:rPr>
                <a:t>Back to 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6715125</xdr:colOff>
          <xdr:row>58</xdr:row>
          <xdr:rowOff>47625</xdr:rowOff>
        </xdr:from>
        <xdr:to>
          <xdr:col>2</xdr:col>
          <xdr:colOff>0</xdr:colOff>
          <xdr:row>58</xdr:row>
          <xdr:rowOff>219075</xdr:rowOff>
        </xdr:to>
        <xdr:sp macro="" textlink="">
          <xdr:nvSpPr>
            <xdr:cNvPr id="383152" name="Button 176" hidden="1">
              <a:extLst>
                <a:ext uri="{63B3BB69-23CF-44E3-9099-C40C66FF867C}">
                  <a14:compatExt spid="_x0000_s38315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800" b="1" i="0" u="none" strike="noStrike" baseline="0">
                  <a:solidFill>
                    <a:srgbClr val="000000"/>
                  </a:solidFill>
                  <a:latin typeface="Arial"/>
                  <a:cs typeface="Arial"/>
                </a:rPr>
                <a:t>Back to 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6715125</xdr:colOff>
          <xdr:row>50</xdr:row>
          <xdr:rowOff>19050</xdr:rowOff>
        </xdr:from>
        <xdr:to>
          <xdr:col>2</xdr:col>
          <xdr:colOff>0</xdr:colOff>
          <xdr:row>50</xdr:row>
          <xdr:rowOff>190500</xdr:rowOff>
        </xdr:to>
        <xdr:sp macro="" textlink="">
          <xdr:nvSpPr>
            <xdr:cNvPr id="383153" name="Button 177" hidden="1">
              <a:extLst>
                <a:ext uri="{63B3BB69-23CF-44E3-9099-C40C66FF867C}">
                  <a14:compatExt spid="_x0000_s38315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800" b="1" i="0" u="none" strike="noStrike" baseline="0">
                  <a:solidFill>
                    <a:srgbClr val="000000"/>
                  </a:solidFill>
                  <a:latin typeface="Arial"/>
                  <a:cs typeface="Arial"/>
                </a:rPr>
                <a:t>Back to 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6715125</xdr:colOff>
          <xdr:row>43</xdr:row>
          <xdr:rowOff>19050</xdr:rowOff>
        </xdr:from>
        <xdr:to>
          <xdr:col>2</xdr:col>
          <xdr:colOff>0</xdr:colOff>
          <xdr:row>43</xdr:row>
          <xdr:rowOff>190500</xdr:rowOff>
        </xdr:to>
        <xdr:sp macro="" textlink="">
          <xdr:nvSpPr>
            <xdr:cNvPr id="383154" name="Button 178" hidden="1">
              <a:extLst>
                <a:ext uri="{63B3BB69-23CF-44E3-9099-C40C66FF867C}">
                  <a14:compatExt spid="_x0000_s38315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800" b="1" i="0" u="none" strike="noStrike" baseline="0">
                  <a:solidFill>
                    <a:srgbClr val="000000"/>
                  </a:solidFill>
                  <a:latin typeface="Arial"/>
                  <a:cs typeface="Arial"/>
                </a:rPr>
                <a:t>Back to 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6715125</xdr:colOff>
          <xdr:row>26</xdr:row>
          <xdr:rowOff>19050</xdr:rowOff>
        </xdr:from>
        <xdr:to>
          <xdr:col>2</xdr:col>
          <xdr:colOff>0</xdr:colOff>
          <xdr:row>26</xdr:row>
          <xdr:rowOff>190500</xdr:rowOff>
        </xdr:to>
        <xdr:sp macro="" textlink="">
          <xdr:nvSpPr>
            <xdr:cNvPr id="383155" name="Button 179" hidden="1">
              <a:extLst>
                <a:ext uri="{63B3BB69-23CF-44E3-9099-C40C66FF867C}">
                  <a14:compatExt spid="_x0000_s38315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800" b="1" i="0" u="none" strike="noStrike" baseline="0">
                  <a:solidFill>
                    <a:srgbClr val="000000"/>
                  </a:solidFill>
                  <a:latin typeface="Arial"/>
                  <a:cs typeface="Arial"/>
                </a:rPr>
                <a:t>Back to Top</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2</xdr:col>
      <xdr:colOff>1928811</xdr:colOff>
      <xdr:row>12</xdr:row>
      <xdr:rowOff>2013876</xdr:rowOff>
    </xdr:from>
    <xdr:to>
      <xdr:col>3</xdr:col>
      <xdr:colOff>4929187</xdr:colOff>
      <xdr:row>13</xdr:row>
      <xdr:rowOff>109538</xdr:rowOff>
    </xdr:to>
    <xdr:pic>
      <xdr:nvPicPr>
        <xdr:cNvPr id="4"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3631405" y="21742532"/>
          <a:ext cx="4953001" cy="67931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3</xdr:col>
          <xdr:colOff>409575</xdr:colOff>
          <xdr:row>10</xdr:row>
          <xdr:rowOff>3124200</xdr:rowOff>
        </xdr:from>
        <xdr:to>
          <xdr:col>3</xdr:col>
          <xdr:colOff>4467225</xdr:colOff>
          <xdr:row>10</xdr:row>
          <xdr:rowOff>3495675</xdr:rowOff>
        </xdr:to>
        <xdr:sp macro="" textlink="">
          <xdr:nvSpPr>
            <xdr:cNvPr id="43015" name="Button 7" hidden="1">
              <a:extLst>
                <a:ext uri="{63B3BB69-23CF-44E3-9099-C40C66FF867C}">
                  <a14:compatExt spid="_x0000_s4301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Go to Change of Ecological Value Calculator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571500</xdr:colOff>
          <xdr:row>17</xdr:row>
          <xdr:rowOff>171450</xdr:rowOff>
        </xdr:from>
        <xdr:to>
          <xdr:col>6</xdr:col>
          <xdr:colOff>952500</xdr:colOff>
          <xdr:row>20</xdr:row>
          <xdr:rowOff>76200</xdr:rowOff>
        </xdr:to>
        <xdr:sp macro="" textlink="">
          <xdr:nvSpPr>
            <xdr:cNvPr id="43016" name="Button 8" hidden="1">
              <a:extLst>
                <a:ext uri="{63B3BB69-23CF-44E3-9099-C40C66FF867C}">
                  <a14:compatExt spid="_x0000_s4301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Go to Credit Summary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5</xdr:row>
          <xdr:rowOff>457200</xdr:rowOff>
        </xdr:from>
        <xdr:to>
          <xdr:col>5</xdr:col>
          <xdr:colOff>904875</xdr:colOff>
          <xdr:row>5</xdr:row>
          <xdr:rowOff>752475</xdr:rowOff>
        </xdr:to>
        <xdr:sp macro="" textlink="">
          <xdr:nvSpPr>
            <xdr:cNvPr id="43038" name="ComboBox1" hidden="1">
              <a:extLst>
                <a:ext uri="{63B3BB69-23CF-44E3-9099-C40C66FF867C}">
                  <a14:compatExt spid="_x0000_s43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3076575</xdr:colOff>
          <xdr:row>46</xdr:row>
          <xdr:rowOff>190500</xdr:rowOff>
        </xdr:from>
        <xdr:to>
          <xdr:col>37</xdr:col>
          <xdr:colOff>47625</xdr:colOff>
          <xdr:row>48</xdr:row>
          <xdr:rowOff>142875</xdr:rowOff>
        </xdr:to>
        <xdr:sp macro="" textlink="">
          <xdr:nvSpPr>
            <xdr:cNvPr id="347138" name="Button 2" hidden="1">
              <a:extLst>
                <a:ext uri="{63B3BB69-23CF-44E3-9099-C40C66FF867C}">
                  <a14:compatExt spid="_x0000_s34713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Back to Ecology Credits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10</xdr:row>
          <xdr:rowOff>57150</xdr:rowOff>
        </xdr:from>
        <xdr:to>
          <xdr:col>5</xdr:col>
          <xdr:colOff>781050</xdr:colOff>
          <xdr:row>10</xdr:row>
          <xdr:rowOff>266700</xdr:rowOff>
        </xdr:to>
        <xdr:sp macro="" textlink="">
          <xdr:nvSpPr>
            <xdr:cNvPr id="347139" name="Drop Down 3" hidden="1">
              <a:extLst>
                <a:ext uri="{63B3BB69-23CF-44E3-9099-C40C66FF867C}">
                  <a14:compatExt spid="_x0000_s347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12</xdr:row>
          <xdr:rowOff>161925</xdr:rowOff>
        </xdr:from>
        <xdr:to>
          <xdr:col>6</xdr:col>
          <xdr:colOff>714375</xdr:colOff>
          <xdr:row>14</xdr:row>
          <xdr:rowOff>28575</xdr:rowOff>
        </xdr:to>
        <xdr:sp macro="" textlink="">
          <xdr:nvSpPr>
            <xdr:cNvPr id="347141" name="Drop Down 5" hidden="1">
              <a:extLst>
                <a:ext uri="{63B3BB69-23CF-44E3-9099-C40C66FF867C}">
                  <a14:compatExt spid="_x0000_s3471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14</xdr:row>
          <xdr:rowOff>161925</xdr:rowOff>
        </xdr:from>
        <xdr:to>
          <xdr:col>6</xdr:col>
          <xdr:colOff>714375</xdr:colOff>
          <xdr:row>20</xdr:row>
          <xdr:rowOff>28575</xdr:rowOff>
        </xdr:to>
        <xdr:sp macro="" textlink="">
          <xdr:nvSpPr>
            <xdr:cNvPr id="347142" name="Drop Down 6" hidden="1">
              <a:extLst>
                <a:ext uri="{63B3BB69-23CF-44E3-9099-C40C66FF867C}">
                  <a14:compatExt spid="_x0000_s3471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571500</xdr:colOff>
          <xdr:row>21</xdr:row>
          <xdr:rowOff>180975</xdr:rowOff>
        </xdr:from>
        <xdr:to>
          <xdr:col>6</xdr:col>
          <xdr:colOff>952500</xdr:colOff>
          <xdr:row>24</xdr:row>
          <xdr:rowOff>85725</xdr:rowOff>
        </xdr:to>
        <xdr:sp macro="" textlink="">
          <xdr:nvSpPr>
            <xdr:cNvPr id="41990" name="Button 6" hidden="1">
              <a:extLst>
                <a:ext uri="{63B3BB69-23CF-44E3-9099-C40C66FF867C}">
                  <a14:compatExt spid="_x0000_s4199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Go to Credit Summary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962025</xdr:colOff>
          <xdr:row>11</xdr:row>
          <xdr:rowOff>1962150</xdr:rowOff>
        </xdr:from>
        <xdr:to>
          <xdr:col>3</xdr:col>
          <xdr:colOff>3952875</xdr:colOff>
          <xdr:row>11</xdr:row>
          <xdr:rowOff>2371725</xdr:rowOff>
        </xdr:to>
        <xdr:sp macro="" textlink="">
          <xdr:nvSpPr>
            <xdr:cNvPr id="41991" name="Button 7" hidden="1">
              <a:extLst>
                <a:ext uri="{63B3BB69-23CF-44E3-9099-C40C66FF867C}">
                  <a14:compatExt spid="_x0000_s4199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HelveticaNeue-Roman"/>
                </a:rPr>
                <a:t>Go to Sewage Calculator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962025</xdr:colOff>
          <xdr:row>11</xdr:row>
          <xdr:rowOff>1962150</xdr:rowOff>
        </xdr:from>
        <xdr:to>
          <xdr:col>3</xdr:col>
          <xdr:colOff>3952875</xdr:colOff>
          <xdr:row>11</xdr:row>
          <xdr:rowOff>2371725</xdr:rowOff>
        </xdr:to>
        <xdr:sp macro="" textlink="">
          <xdr:nvSpPr>
            <xdr:cNvPr id="41993" name="Button 9" hidden="1">
              <a:extLst>
                <a:ext uri="{63B3BB69-23CF-44E3-9099-C40C66FF867C}">
                  <a14:compatExt spid="_x0000_s4199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HelveticaNeue-Roman"/>
                </a:rPr>
                <a:t>Go to Sewage Calculator</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2</xdr:col>
      <xdr:colOff>85725</xdr:colOff>
      <xdr:row>18</xdr:row>
      <xdr:rowOff>0</xdr:rowOff>
    </xdr:from>
    <xdr:to>
      <xdr:col>4</xdr:col>
      <xdr:colOff>1819275</xdr:colOff>
      <xdr:row>18</xdr:row>
      <xdr:rowOff>0</xdr:rowOff>
    </xdr:to>
    <xdr:graphicFrame macro="">
      <xdr:nvGraphicFramePr>
        <xdr:cNvPr id="3411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85725</xdr:colOff>
      <xdr:row>18</xdr:row>
      <xdr:rowOff>0</xdr:rowOff>
    </xdr:from>
    <xdr:to>
      <xdr:col>4</xdr:col>
      <xdr:colOff>1819275</xdr:colOff>
      <xdr:row>18</xdr:row>
      <xdr:rowOff>0</xdr:rowOff>
    </xdr:to>
    <xdr:graphicFrame macro="">
      <xdr:nvGraphicFramePr>
        <xdr:cNvPr id="3411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xdr:col>
          <xdr:colOff>342900</xdr:colOff>
          <xdr:row>47</xdr:row>
          <xdr:rowOff>152400</xdr:rowOff>
        </xdr:from>
        <xdr:to>
          <xdr:col>5</xdr:col>
          <xdr:colOff>28575</xdr:colOff>
          <xdr:row>49</xdr:row>
          <xdr:rowOff>142875</xdr:rowOff>
        </xdr:to>
        <xdr:sp macro="" textlink="">
          <xdr:nvSpPr>
            <xdr:cNvPr id="340999" name="Button 7" hidden="1">
              <a:extLst>
                <a:ext uri="{63B3BB69-23CF-44E3-9099-C40C66FF867C}">
                  <a14:compatExt spid="_x0000_s34099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Back to Emissions Credits</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609600</xdr:colOff>
          <xdr:row>9</xdr:row>
          <xdr:rowOff>19050</xdr:rowOff>
        </xdr:from>
        <xdr:to>
          <xdr:col>7</xdr:col>
          <xdr:colOff>28575</xdr:colOff>
          <xdr:row>11</xdr:row>
          <xdr:rowOff>133350</xdr:rowOff>
        </xdr:to>
        <xdr:sp macro="" textlink="">
          <xdr:nvSpPr>
            <xdr:cNvPr id="40962" name="Button 2" hidden="1">
              <a:extLst>
                <a:ext uri="{63B3BB69-23CF-44E3-9099-C40C66FF867C}">
                  <a14:compatExt spid="_x0000_s4096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Go to Credit Summary</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114300</xdr:colOff>
          <xdr:row>6</xdr:row>
          <xdr:rowOff>9525</xdr:rowOff>
        </xdr:from>
        <xdr:to>
          <xdr:col>10</xdr:col>
          <xdr:colOff>685800</xdr:colOff>
          <xdr:row>7</xdr:row>
          <xdr:rowOff>57150</xdr:rowOff>
        </xdr:to>
        <xdr:sp macro="" textlink="">
          <xdr:nvSpPr>
            <xdr:cNvPr id="350209" name="Button 1" hidden="1">
              <a:extLst>
                <a:ext uri="{63B3BB69-23CF-44E3-9099-C40C66FF867C}">
                  <a14:compatExt spid="_x0000_s35020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Go to Management Category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104775</xdr:colOff>
          <xdr:row>20</xdr:row>
          <xdr:rowOff>38100</xdr:rowOff>
        </xdr:from>
        <xdr:to>
          <xdr:col>10</xdr:col>
          <xdr:colOff>676275</xdr:colOff>
          <xdr:row>22</xdr:row>
          <xdr:rowOff>0</xdr:rowOff>
        </xdr:to>
        <xdr:sp macro="" textlink="">
          <xdr:nvSpPr>
            <xdr:cNvPr id="350210" name="Button 2" hidden="1">
              <a:extLst>
                <a:ext uri="{63B3BB69-23CF-44E3-9099-C40C66FF867C}">
                  <a14:compatExt spid="_x0000_s35021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Go to IEQ Category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104775</xdr:colOff>
          <xdr:row>37</xdr:row>
          <xdr:rowOff>38100</xdr:rowOff>
        </xdr:from>
        <xdr:to>
          <xdr:col>10</xdr:col>
          <xdr:colOff>676275</xdr:colOff>
          <xdr:row>39</xdr:row>
          <xdr:rowOff>123825</xdr:rowOff>
        </xdr:to>
        <xdr:sp macro="" textlink="">
          <xdr:nvSpPr>
            <xdr:cNvPr id="350211" name="Button 3" hidden="1">
              <a:extLst>
                <a:ext uri="{63B3BB69-23CF-44E3-9099-C40C66FF867C}">
                  <a14:compatExt spid="_x0000_s35021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Go to Energy Category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85725</xdr:colOff>
          <xdr:row>46</xdr:row>
          <xdr:rowOff>38100</xdr:rowOff>
        </xdr:from>
        <xdr:to>
          <xdr:col>10</xdr:col>
          <xdr:colOff>657225</xdr:colOff>
          <xdr:row>48</xdr:row>
          <xdr:rowOff>114300</xdr:rowOff>
        </xdr:to>
        <xdr:sp macro="" textlink="">
          <xdr:nvSpPr>
            <xdr:cNvPr id="350212" name="Button 4" hidden="1">
              <a:extLst>
                <a:ext uri="{63B3BB69-23CF-44E3-9099-C40C66FF867C}">
                  <a14:compatExt spid="_x0000_s35021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Go to Transport Category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104775</xdr:colOff>
          <xdr:row>55</xdr:row>
          <xdr:rowOff>19050</xdr:rowOff>
        </xdr:from>
        <xdr:to>
          <xdr:col>10</xdr:col>
          <xdr:colOff>676275</xdr:colOff>
          <xdr:row>57</xdr:row>
          <xdr:rowOff>104775</xdr:rowOff>
        </xdr:to>
        <xdr:sp macro="" textlink="">
          <xdr:nvSpPr>
            <xdr:cNvPr id="350213" name="Button 5" hidden="1">
              <a:extLst>
                <a:ext uri="{63B3BB69-23CF-44E3-9099-C40C66FF867C}">
                  <a14:compatExt spid="_x0000_s35021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Go to Water Category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104775</xdr:colOff>
          <xdr:row>60</xdr:row>
          <xdr:rowOff>38100</xdr:rowOff>
        </xdr:from>
        <xdr:to>
          <xdr:col>10</xdr:col>
          <xdr:colOff>676275</xdr:colOff>
          <xdr:row>62</xdr:row>
          <xdr:rowOff>123825</xdr:rowOff>
        </xdr:to>
        <xdr:sp macro="" textlink="">
          <xdr:nvSpPr>
            <xdr:cNvPr id="350214" name="Button 6" hidden="1">
              <a:extLst>
                <a:ext uri="{63B3BB69-23CF-44E3-9099-C40C66FF867C}">
                  <a14:compatExt spid="_x0000_s35021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Go to Materials Category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57150</xdr:colOff>
          <xdr:row>73</xdr:row>
          <xdr:rowOff>38100</xdr:rowOff>
        </xdr:from>
        <xdr:to>
          <xdr:col>10</xdr:col>
          <xdr:colOff>723900</xdr:colOff>
          <xdr:row>75</xdr:row>
          <xdr:rowOff>123825</xdr:rowOff>
        </xdr:to>
        <xdr:sp macro="" textlink="">
          <xdr:nvSpPr>
            <xdr:cNvPr id="350215" name="Button 7" hidden="1">
              <a:extLst>
                <a:ext uri="{63B3BB69-23CF-44E3-9099-C40C66FF867C}">
                  <a14:compatExt spid="_x0000_s35021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Go to Land Use &amp; Ecology  Category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83</xdr:row>
          <xdr:rowOff>47625</xdr:rowOff>
        </xdr:from>
        <xdr:to>
          <xdr:col>10</xdr:col>
          <xdr:colOff>647700</xdr:colOff>
          <xdr:row>85</xdr:row>
          <xdr:rowOff>66675</xdr:rowOff>
        </xdr:to>
        <xdr:sp macro="" textlink="">
          <xdr:nvSpPr>
            <xdr:cNvPr id="350216" name="Button 8" hidden="1">
              <a:extLst>
                <a:ext uri="{63B3BB69-23CF-44E3-9099-C40C66FF867C}">
                  <a14:compatExt spid="_x0000_s35021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Go to Emissions Category</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1</xdr:col>
      <xdr:colOff>28575</xdr:colOff>
      <xdr:row>34</xdr:row>
      <xdr:rowOff>76200</xdr:rowOff>
    </xdr:from>
    <xdr:to>
      <xdr:col>9</xdr:col>
      <xdr:colOff>657225</xdr:colOff>
      <xdr:row>63</xdr:row>
      <xdr:rowOff>28575</xdr:rowOff>
    </xdr:to>
    <xdr:graphicFrame macro="">
      <xdr:nvGraphicFramePr>
        <xdr:cNvPr id="72403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65</xdr:row>
      <xdr:rowOff>123825</xdr:rowOff>
    </xdr:from>
    <xdr:to>
      <xdr:col>9</xdr:col>
      <xdr:colOff>647700</xdr:colOff>
      <xdr:row>95</xdr:row>
      <xdr:rowOff>123825</xdr:rowOff>
    </xdr:to>
    <xdr:graphicFrame macro="">
      <xdr:nvGraphicFramePr>
        <xdr:cNvPr id="72403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xdr:colOff>
      <xdr:row>5</xdr:row>
      <xdr:rowOff>123825</xdr:rowOff>
    </xdr:from>
    <xdr:to>
      <xdr:col>9</xdr:col>
      <xdr:colOff>628650</xdr:colOff>
      <xdr:row>32</xdr:row>
      <xdr:rowOff>38100</xdr:rowOff>
    </xdr:to>
    <xdr:graphicFrame macro="">
      <xdr:nvGraphicFramePr>
        <xdr:cNvPr id="72403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28575</xdr:colOff>
      <xdr:row>24</xdr:row>
      <xdr:rowOff>152400</xdr:rowOff>
    </xdr:from>
    <xdr:to>
      <xdr:col>8</xdr:col>
      <xdr:colOff>352425</xdr:colOff>
      <xdr:row>26</xdr:row>
      <xdr:rowOff>123825</xdr:rowOff>
    </xdr:to>
    <xdr:sp macro="" textlink="">
      <xdr:nvSpPr>
        <xdr:cNvPr id="724035" name="Freeform 4"/>
        <xdr:cNvSpPr>
          <a:spLocks/>
        </xdr:cNvSpPr>
      </xdr:nvSpPr>
      <xdr:spPr bwMode="auto">
        <a:xfrm>
          <a:off x="5905500" y="5038725"/>
          <a:ext cx="323850" cy="295275"/>
        </a:xfrm>
        <a:custGeom>
          <a:avLst/>
          <a:gdLst>
            <a:gd name="T0" fmla="*/ 2147483647 w 205"/>
            <a:gd name="T1" fmla="*/ 2147483647 h 181"/>
            <a:gd name="T2" fmla="*/ 2147483647 w 205"/>
            <a:gd name="T3" fmla="*/ 2147483647 h 181"/>
            <a:gd name="T4" fmla="*/ 2147483647 w 205"/>
            <a:gd name="T5" fmla="*/ 2147483647 h 181"/>
            <a:gd name="T6" fmla="*/ 2147483647 w 205"/>
            <a:gd name="T7" fmla="*/ 0 h 181"/>
            <a:gd name="T8" fmla="*/ 2147483647 w 205"/>
            <a:gd name="T9" fmla="*/ 2147483647 h 181"/>
            <a:gd name="T10" fmla="*/ 2147483647 w 205"/>
            <a:gd name="T11" fmla="*/ 2147483647 h 181"/>
            <a:gd name="T12" fmla="*/ 2147483647 w 205"/>
            <a:gd name="T13" fmla="*/ 2147483647 h 181"/>
            <a:gd name="T14" fmla="*/ 2147483647 w 205"/>
            <a:gd name="T15" fmla="*/ 2147483647 h 181"/>
            <a:gd name="T16" fmla="*/ 2147483647 w 205"/>
            <a:gd name="T17" fmla="*/ 2147483647 h 181"/>
            <a:gd name="T18" fmla="*/ 2147483647 w 205"/>
            <a:gd name="T19" fmla="*/ 2147483647 h 181"/>
            <a:gd name="T20" fmla="*/ 2147483647 w 205"/>
            <a:gd name="T21" fmla="*/ 2147483647 h 181"/>
            <a:gd name="T22" fmla="*/ 0 w 205"/>
            <a:gd name="T23" fmla="*/ 2147483647 h 181"/>
            <a:gd name="T24" fmla="*/ 2147483647 w 205"/>
            <a:gd name="T25" fmla="*/ 2147483647 h 18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5"/>
            <a:gd name="T40" fmla="*/ 0 h 181"/>
            <a:gd name="T41" fmla="*/ 205 w 205"/>
            <a:gd name="T42" fmla="*/ 181 h 181"/>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5" h="181">
              <a:moveTo>
                <a:pt x="75" y="72"/>
              </a:moveTo>
              <a:cubicBezTo>
                <a:pt x="76" y="71"/>
                <a:pt x="76" y="70"/>
                <a:pt x="76" y="70"/>
              </a:cubicBezTo>
              <a:cubicBezTo>
                <a:pt x="77" y="69"/>
                <a:pt x="78" y="67"/>
                <a:pt x="78" y="67"/>
              </a:cubicBezTo>
              <a:lnTo>
                <a:pt x="101" y="0"/>
              </a:lnTo>
              <a:lnTo>
                <a:pt x="127" y="71"/>
              </a:lnTo>
              <a:lnTo>
                <a:pt x="205" y="71"/>
              </a:lnTo>
              <a:lnTo>
                <a:pt x="141" y="112"/>
              </a:lnTo>
              <a:lnTo>
                <a:pt x="168" y="181"/>
              </a:lnTo>
              <a:lnTo>
                <a:pt x="103" y="138"/>
              </a:lnTo>
              <a:lnTo>
                <a:pt x="39" y="181"/>
              </a:lnTo>
              <a:lnTo>
                <a:pt x="60" y="112"/>
              </a:lnTo>
              <a:lnTo>
                <a:pt x="0" y="74"/>
              </a:lnTo>
              <a:lnTo>
                <a:pt x="75" y="72"/>
              </a:lnTo>
              <a:close/>
            </a:path>
          </a:pathLst>
        </a:custGeom>
        <a:solidFill>
          <a:srgbClr val="FFFFFF"/>
        </a:solidFill>
        <a:ln w="9525">
          <a:solidFill>
            <a:srgbClr val="808080"/>
          </a:solidFill>
          <a:round/>
          <a:headEnd/>
          <a:tailEnd/>
        </a:ln>
      </xdr:spPr>
    </xdr:sp>
    <xdr:clientData/>
  </xdr:twoCellAnchor>
  <xdr:twoCellAnchor>
    <xdr:from>
      <xdr:col>6</xdr:col>
      <xdr:colOff>361950</xdr:colOff>
      <xdr:row>24</xdr:row>
      <xdr:rowOff>133350</xdr:rowOff>
    </xdr:from>
    <xdr:to>
      <xdr:col>6</xdr:col>
      <xdr:colOff>685800</xdr:colOff>
      <xdr:row>26</xdr:row>
      <xdr:rowOff>114300</xdr:rowOff>
    </xdr:to>
    <xdr:sp macro="" textlink="">
      <xdr:nvSpPr>
        <xdr:cNvPr id="724036" name="Freeform 5"/>
        <xdr:cNvSpPr>
          <a:spLocks/>
        </xdr:cNvSpPr>
      </xdr:nvSpPr>
      <xdr:spPr bwMode="auto">
        <a:xfrm>
          <a:off x="4600575" y="5019675"/>
          <a:ext cx="323850" cy="304800"/>
        </a:xfrm>
        <a:custGeom>
          <a:avLst/>
          <a:gdLst>
            <a:gd name="T0" fmla="*/ 2147483647 w 205"/>
            <a:gd name="T1" fmla="*/ 2147483647 h 181"/>
            <a:gd name="T2" fmla="*/ 2147483647 w 205"/>
            <a:gd name="T3" fmla="*/ 2147483647 h 181"/>
            <a:gd name="T4" fmla="*/ 2147483647 w 205"/>
            <a:gd name="T5" fmla="*/ 2147483647 h 181"/>
            <a:gd name="T6" fmla="*/ 2147483647 w 205"/>
            <a:gd name="T7" fmla="*/ 0 h 181"/>
            <a:gd name="T8" fmla="*/ 2147483647 w 205"/>
            <a:gd name="T9" fmla="*/ 2147483647 h 181"/>
            <a:gd name="T10" fmla="*/ 2147483647 w 205"/>
            <a:gd name="T11" fmla="*/ 2147483647 h 181"/>
            <a:gd name="T12" fmla="*/ 2147483647 w 205"/>
            <a:gd name="T13" fmla="*/ 2147483647 h 181"/>
            <a:gd name="T14" fmla="*/ 2147483647 w 205"/>
            <a:gd name="T15" fmla="*/ 2147483647 h 181"/>
            <a:gd name="T16" fmla="*/ 2147483647 w 205"/>
            <a:gd name="T17" fmla="*/ 2147483647 h 181"/>
            <a:gd name="T18" fmla="*/ 2147483647 w 205"/>
            <a:gd name="T19" fmla="*/ 2147483647 h 181"/>
            <a:gd name="T20" fmla="*/ 2147483647 w 205"/>
            <a:gd name="T21" fmla="*/ 2147483647 h 181"/>
            <a:gd name="T22" fmla="*/ 0 w 205"/>
            <a:gd name="T23" fmla="*/ 2147483647 h 181"/>
            <a:gd name="T24" fmla="*/ 2147483647 w 205"/>
            <a:gd name="T25" fmla="*/ 2147483647 h 18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5"/>
            <a:gd name="T40" fmla="*/ 0 h 181"/>
            <a:gd name="T41" fmla="*/ 205 w 205"/>
            <a:gd name="T42" fmla="*/ 181 h 181"/>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5" h="181">
              <a:moveTo>
                <a:pt x="75" y="72"/>
              </a:moveTo>
              <a:cubicBezTo>
                <a:pt x="76" y="71"/>
                <a:pt x="76" y="70"/>
                <a:pt x="76" y="70"/>
              </a:cubicBezTo>
              <a:cubicBezTo>
                <a:pt x="77" y="69"/>
                <a:pt x="78" y="67"/>
                <a:pt x="78" y="67"/>
              </a:cubicBezTo>
              <a:lnTo>
                <a:pt x="101" y="0"/>
              </a:lnTo>
              <a:lnTo>
                <a:pt x="127" y="71"/>
              </a:lnTo>
              <a:lnTo>
                <a:pt x="205" y="71"/>
              </a:lnTo>
              <a:lnTo>
                <a:pt x="141" y="112"/>
              </a:lnTo>
              <a:lnTo>
                <a:pt x="168" y="181"/>
              </a:lnTo>
              <a:lnTo>
                <a:pt x="103" y="138"/>
              </a:lnTo>
              <a:lnTo>
                <a:pt x="39" y="181"/>
              </a:lnTo>
              <a:lnTo>
                <a:pt x="60" y="112"/>
              </a:lnTo>
              <a:lnTo>
                <a:pt x="0" y="74"/>
              </a:lnTo>
              <a:lnTo>
                <a:pt x="75" y="72"/>
              </a:lnTo>
              <a:close/>
            </a:path>
          </a:pathLst>
        </a:custGeom>
        <a:solidFill>
          <a:srgbClr val="FFFFFF"/>
        </a:solidFill>
        <a:ln w="9525">
          <a:solidFill>
            <a:srgbClr val="808080"/>
          </a:solidFill>
          <a:round/>
          <a:headEnd/>
          <a:tailEnd/>
        </a:ln>
      </xdr:spPr>
    </xdr:sp>
    <xdr:clientData/>
  </xdr:twoCellAnchor>
  <xdr:twoCellAnchor>
    <xdr:from>
      <xdr:col>5</xdr:col>
      <xdr:colOff>190500</xdr:colOff>
      <xdr:row>24</xdr:row>
      <xdr:rowOff>123825</xdr:rowOff>
    </xdr:from>
    <xdr:to>
      <xdr:col>5</xdr:col>
      <xdr:colOff>514350</xdr:colOff>
      <xdr:row>26</xdr:row>
      <xdr:rowOff>95250</xdr:rowOff>
    </xdr:to>
    <xdr:sp macro="" textlink="">
      <xdr:nvSpPr>
        <xdr:cNvPr id="724037" name="Freeform 6"/>
        <xdr:cNvSpPr>
          <a:spLocks/>
        </xdr:cNvSpPr>
      </xdr:nvSpPr>
      <xdr:spPr bwMode="auto">
        <a:xfrm>
          <a:off x="3609975" y="5010150"/>
          <a:ext cx="323850" cy="295275"/>
        </a:xfrm>
        <a:custGeom>
          <a:avLst/>
          <a:gdLst>
            <a:gd name="T0" fmla="*/ 2147483647 w 205"/>
            <a:gd name="T1" fmla="*/ 2147483647 h 181"/>
            <a:gd name="T2" fmla="*/ 2147483647 w 205"/>
            <a:gd name="T3" fmla="*/ 2147483647 h 181"/>
            <a:gd name="T4" fmla="*/ 2147483647 w 205"/>
            <a:gd name="T5" fmla="*/ 2147483647 h 181"/>
            <a:gd name="T6" fmla="*/ 2147483647 w 205"/>
            <a:gd name="T7" fmla="*/ 0 h 181"/>
            <a:gd name="T8" fmla="*/ 2147483647 w 205"/>
            <a:gd name="T9" fmla="*/ 2147483647 h 181"/>
            <a:gd name="T10" fmla="*/ 2147483647 w 205"/>
            <a:gd name="T11" fmla="*/ 2147483647 h 181"/>
            <a:gd name="T12" fmla="*/ 2147483647 w 205"/>
            <a:gd name="T13" fmla="*/ 2147483647 h 181"/>
            <a:gd name="T14" fmla="*/ 2147483647 w 205"/>
            <a:gd name="T15" fmla="*/ 2147483647 h 181"/>
            <a:gd name="T16" fmla="*/ 2147483647 w 205"/>
            <a:gd name="T17" fmla="*/ 2147483647 h 181"/>
            <a:gd name="T18" fmla="*/ 2147483647 w 205"/>
            <a:gd name="T19" fmla="*/ 2147483647 h 181"/>
            <a:gd name="T20" fmla="*/ 2147483647 w 205"/>
            <a:gd name="T21" fmla="*/ 2147483647 h 181"/>
            <a:gd name="T22" fmla="*/ 0 w 205"/>
            <a:gd name="T23" fmla="*/ 2147483647 h 181"/>
            <a:gd name="T24" fmla="*/ 2147483647 w 205"/>
            <a:gd name="T25" fmla="*/ 2147483647 h 18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5"/>
            <a:gd name="T40" fmla="*/ 0 h 181"/>
            <a:gd name="T41" fmla="*/ 205 w 205"/>
            <a:gd name="T42" fmla="*/ 181 h 181"/>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5" h="181">
              <a:moveTo>
                <a:pt x="75" y="72"/>
              </a:moveTo>
              <a:cubicBezTo>
                <a:pt x="76" y="71"/>
                <a:pt x="76" y="70"/>
                <a:pt x="76" y="70"/>
              </a:cubicBezTo>
              <a:cubicBezTo>
                <a:pt x="77" y="69"/>
                <a:pt x="78" y="67"/>
                <a:pt x="78" y="67"/>
              </a:cubicBezTo>
              <a:lnTo>
                <a:pt x="101" y="0"/>
              </a:lnTo>
              <a:lnTo>
                <a:pt x="127" y="71"/>
              </a:lnTo>
              <a:lnTo>
                <a:pt x="205" y="71"/>
              </a:lnTo>
              <a:lnTo>
                <a:pt x="141" y="112"/>
              </a:lnTo>
              <a:lnTo>
                <a:pt x="168" y="181"/>
              </a:lnTo>
              <a:lnTo>
                <a:pt x="103" y="138"/>
              </a:lnTo>
              <a:lnTo>
                <a:pt x="39" y="181"/>
              </a:lnTo>
              <a:lnTo>
                <a:pt x="60" y="112"/>
              </a:lnTo>
              <a:lnTo>
                <a:pt x="0" y="74"/>
              </a:lnTo>
              <a:lnTo>
                <a:pt x="75" y="72"/>
              </a:lnTo>
              <a:close/>
            </a:path>
          </a:pathLst>
        </a:custGeom>
        <a:solidFill>
          <a:srgbClr val="FFFFFF"/>
        </a:solidFill>
        <a:ln w="9525">
          <a:solidFill>
            <a:srgbClr val="808080"/>
          </a:solidFill>
          <a:round/>
          <a:headEnd/>
          <a:tailEnd/>
        </a:ln>
      </xdr:spPr>
    </xdr:sp>
    <xdr:clientData/>
  </xdr:twoCellAnchor>
  <xdr:twoCellAnchor>
    <xdr:from>
      <xdr:col>1</xdr:col>
      <xdr:colOff>0</xdr:colOff>
      <xdr:row>97</xdr:row>
      <xdr:rowOff>152400</xdr:rowOff>
    </xdr:from>
    <xdr:to>
      <xdr:col>9</xdr:col>
      <xdr:colOff>647700</xdr:colOff>
      <xdr:row>127</xdr:row>
      <xdr:rowOff>0</xdr:rowOff>
    </xdr:to>
    <xdr:graphicFrame macro="">
      <xdr:nvGraphicFramePr>
        <xdr:cNvPr id="72403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0.32132</cdr:x>
      <cdr:y>0.91573</cdr:y>
    </cdr:from>
    <cdr:to>
      <cdr:x>0.39287</cdr:x>
      <cdr:y>0.96237</cdr:y>
    </cdr:to>
    <cdr:sp macro="" textlink="">
      <cdr:nvSpPr>
        <cdr:cNvPr id="35841" name="Rectangle 1"/>
        <cdr:cNvSpPr>
          <a:spLocks xmlns:a="http://schemas.openxmlformats.org/drawingml/2006/main" noChangeArrowheads="1"/>
        </cdr:cNvSpPr>
      </cdr:nvSpPr>
      <cdr:spPr bwMode="auto">
        <a:xfrm xmlns:a="http://schemas.openxmlformats.org/drawingml/2006/main">
          <a:off x="3754218" y="3271660"/>
          <a:ext cx="561067" cy="174507"/>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sz="1000" b="0" i="0" strike="noStrike">
              <a:solidFill>
                <a:srgbClr val="000000"/>
              </a:solidFill>
              <a:latin typeface="Arial"/>
              <a:ea typeface="Arial"/>
              <a:cs typeface="Arial"/>
            </a:rPr>
            <a:t>4 Star</a:t>
          </a:r>
        </a:p>
      </cdr:txBody>
    </cdr:sp>
  </cdr:relSizeAnchor>
  <cdr:relSizeAnchor xmlns:cdr="http://schemas.openxmlformats.org/drawingml/2006/chartDrawing">
    <cdr:from>
      <cdr:x>0.42914</cdr:x>
      <cdr:y>0.91451</cdr:y>
    </cdr:from>
    <cdr:to>
      <cdr:x>0.49943</cdr:x>
      <cdr:y>0.95993</cdr:y>
    </cdr:to>
    <cdr:sp macro="" textlink="">
      <cdr:nvSpPr>
        <cdr:cNvPr id="35842" name="Rectangle 2"/>
        <cdr:cNvSpPr>
          <a:spLocks xmlns:a="http://schemas.openxmlformats.org/drawingml/2006/main" noChangeArrowheads="1"/>
        </cdr:cNvSpPr>
      </cdr:nvSpPr>
      <cdr:spPr bwMode="auto">
        <a:xfrm xmlns:a="http://schemas.openxmlformats.org/drawingml/2006/main">
          <a:off x="4838697" y="3271660"/>
          <a:ext cx="553536" cy="174507"/>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sz="1000" b="0" i="0" strike="noStrike">
              <a:solidFill>
                <a:srgbClr val="000000"/>
              </a:solidFill>
              <a:latin typeface="Arial"/>
              <a:ea typeface="Arial"/>
              <a:cs typeface="Arial"/>
            </a:rPr>
            <a:t>5 Star</a:t>
          </a:r>
        </a:p>
      </cdr:txBody>
    </cdr:sp>
  </cdr:relSizeAnchor>
  <cdr:relSizeAnchor xmlns:cdr="http://schemas.openxmlformats.org/drawingml/2006/chartDrawing">
    <cdr:from>
      <cdr:x>0.554</cdr:x>
      <cdr:y>0.91451</cdr:y>
    </cdr:from>
    <cdr:to>
      <cdr:x>0.64328</cdr:x>
      <cdr:y>0.95993</cdr:y>
    </cdr:to>
    <cdr:sp macro="" textlink="">
      <cdr:nvSpPr>
        <cdr:cNvPr id="35843" name="Rectangle 3"/>
        <cdr:cNvSpPr>
          <a:spLocks xmlns:a="http://schemas.openxmlformats.org/drawingml/2006/main" noChangeArrowheads="1"/>
        </cdr:cNvSpPr>
      </cdr:nvSpPr>
      <cdr:spPr bwMode="auto">
        <a:xfrm xmlns:a="http://schemas.openxmlformats.org/drawingml/2006/main">
          <a:off x="6378807" y="3271660"/>
          <a:ext cx="546005" cy="174507"/>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sz="1000" b="0" i="0" strike="noStrike">
              <a:solidFill>
                <a:srgbClr val="000000"/>
              </a:solidFill>
              <a:latin typeface="Arial"/>
              <a:ea typeface="Arial"/>
              <a:cs typeface="Arial"/>
            </a:rPr>
            <a:t>6 Star</a:t>
          </a:r>
        </a:p>
      </cdr:txBody>
    </cdr:sp>
  </cdr:relSizeAnchor>
  <cdr:relSizeAnchor xmlns:cdr="http://schemas.openxmlformats.org/drawingml/2006/chartDrawing">
    <cdr:from>
      <cdr:x>0.13739</cdr:x>
      <cdr:y>0.71561</cdr:y>
    </cdr:from>
    <cdr:to>
      <cdr:x>0.38727</cdr:x>
      <cdr:y>0.78333</cdr:y>
    </cdr:to>
    <cdr:grpSp>
      <cdr:nvGrpSpPr>
        <cdr:cNvPr id="10" name="Group 8"/>
        <cdr:cNvGrpSpPr>
          <a:grpSpLocks xmlns:a="http://schemas.openxmlformats.org/drawingml/2006/main"/>
        </cdr:cNvGrpSpPr>
      </cdr:nvGrpSpPr>
      <cdr:grpSpPr bwMode="auto">
        <a:xfrm xmlns:a="http://schemas.openxmlformats.org/drawingml/2006/main">
          <a:off x="985406" y="3159302"/>
          <a:ext cx="1792220" cy="298973"/>
          <a:chOff x="780574" y="2548319"/>
          <a:chExt cx="1788223" cy="302287"/>
        </a:xfrm>
      </cdr:grpSpPr>
      <cdr:sp macro="" textlink="">
        <cdr:nvSpPr>
          <cdr:cNvPr id="727044" name="Freeform 4"/>
          <cdr:cNvSpPr>
            <a:spLocks xmlns:a="http://schemas.openxmlformats.org/drawingml/2006/main"/>
          </cdr:cNvSpPr>
        </cdr:nvSpPr>
        <cdr:spPr bwMode="auto">
          <a:xfrm xmlns:a="http://schemas.openxmlformats.org/drawingml/2006/main">
            <a:off x="780574" y="2548319"/>
            <a:ext cx="324647" cy="302287"/>
          </a:xfrm>
          <a:custGeom xmlns:a="http://schemas.openxmlformats.org/drawingml/2006/main">
            <a:avLst/>
            <a:gdLst>
              <a:gd name="T0" fmla="*/ 75 w 205"/>
              <a:gd name="T1" fmla="*/ 72 h 181"/>
              <a:gd name="T2" fmla="*/ 76 w 205"/>
              <a:gd name="T3" fmla="*/ 70 h 181"/>
              <a:gd name="T4" fmla="*/ 78 w 205"/>
              <a:gd name="T5" fmla="*/ 67 h 181"/>
              <a:gd name="T6" fmla="*/ 101 w 205"/>
              <a:gd name="T7" fmla="*/ 0 h 181"/>
              <a:gd name="T8" fmla="*/ 127 w 205"/>
              <a:gd name="T9" fmla="*/ 71 h 181"/>
              <a:gd name="T10" fmla="*/ 205 w 205"/>
              <a:gd name="T11" fmla="*/ 71 h 181"/>
              <a:gd name="T12" fmla="*/ 141 w 205"/>
              <a:gd name="T13" fmla="*/ 112 h 181"/>
              <a:gd name="T14" fmla="*/ 168 w 205"/>
              <a:gd name="T15" fmla="*/ 181 h 181"/>
              <a:gd name="T16" fmla="*/ 103 w 205"/>
              <a:gd name="T17" fmla="*/ 138 h 181"/>
              <a:gd name="T18" fmla="*/ 39 w 205"/>
              <a:gd name="T19" fmla="*/ 181 h 181"/>
              <a:gd name="T20" fmla="*/ 60 w 205"/>
              <a:gd name="T21" fmla="*/ 112 h 181"/>
              <a:gd name="T22" fmla="*/ 0 w 205"/>
              <a:gd name="T23" fmla="*/ 74 h 181"/>
              <a:gd name="T24" fmla="*/ 75 w 205"/>
              <a:gd name="T25" fmla="*/ 72 h 18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5"/>
              <a:gd name="T40" fmla="*/ 0 h 181"/>
              <a:gd name="T41" fmla="*/ 205 w 205"/>
              <a:gd name="T42" fmla="*/ 181 h 181"/>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5" h="181">
                <a:moveTo>
                  <a:pt x="75" y="72"/>
                </a:moveTo>
                <a:cubicBezTo>
                  <a:pt x="76" y="71"/>
                  <a:pt x="76" y="70"/>
                  <a:pt x="76" y="70"/>
                </a:cubicBezTo>
                <a:cubicBezTo>
                  <a:pt x="77" y="69"/>
                  <a:pt x="78" y="67"/>
                  <a:pt x="78" y="67"/>
                </a:cubicBezTo>
                <a:lnTo>
                  <a:pt x="101" y="0"/>
                </a:lnTo>
                <a:lnTo>
                  <a:pt x="127" y="71"/>
                </a:lnTo>
                <a:lnTo>
                  <a:pt x="205" y="71"/>
                </a:lnTo>
                <a:lnTo>
                  <a:pt x="141" y="112"/>
                </a:lnTo>
                <a:lnTo>
                  <a:pt x="168" y="181"/>
                </a:lnTo>
                <a:lnTo>
                  <a:pt x="103" y="138"/>
                </a:lnTo>
                <a:lnTo>
                  <a:pt x="39" y="181"/>
                </a:lnTo>
                <a:lnTo>
                  <a:pt x="60" y="112"/>
                </a:lnTo>
                <a:lnTo>
                  <a:pt x="0" y="74"/>
                </a:lnTo>
                <a:lnTo>
                  <a:pt x="75" y="72"/>
                </a:lnTo>
                <a:close/>
              </a:path>
            </a:pathLst>
          </a:custGeom>
          <a:solidFill xmlns:a="http://schemas.openxmlformats.org/drawingml/2006/main">
            <a:srgbClr val="FFFFFF"/>
          </a:solidFill>
          <a:ln xmlns:a="http://schemas.openxmlformats.org/drawingml/2006/main" w="9525">
            <a:solidFill>
              <a:srgbClr val="808080"/>
            </a:solidFill>
            <a:round/>
            <a:headEnd/>
            <a:tailEnd/>
          </a:ln>
        </cdr:spPr>
        <cdr:txBody>
          <a:bodyPr xmlns:a="http://schemas.openxmlformats.org/drawingml/2006/main"/>
          <a:lstStyle xmlns:a="http://schemas.openxmlformats.org/drawingml/2006/main"/>
          <a:p xmlns:a="http://schemas.openxmlformats.org/drawingml/2006/main">
            <a:endParaRPr lang="en-ZA"/>
          </a:p>
        </cdr:txBody>
      </cdr:sp>
      <cdr:sp macro="" textlink="">
        <cdr:nvSpPr>
          <cdr:cNvPr id="727045" name="Freeform 5"/>
          <cdr:cNvSpPr>
            <a:spLocks xmlns:a="http://schemas.openxmlformats.org/drawingml/2006/main"/>
          </cdr:cNvSpPr>
        </cdr:nvSpPr>
        <cdr:spPr bwMode="auto">
          <a:xfrm xmlns:a="http://schemas.openxmlformats.org/drawingml/2006/main">
            <a:off x="1429869" y="2553736"/>
            <a:ext cx="326422" cy="293620"/>
          </a:xfrm>
          <a:custGeom xmlns:a="http://schemas.openxmlformats.org/drawingml/2006/main">
            <a:avLst/>
            <a:gdLst>
              <a:gd name="T0" fmla="*/ 75 w 205"/>
              <a:gd name="T1" fmla="*/ 72 h 181"/>
              <a:gd name="T2" fmla="*/ 76 w 205"/>
              <a:gd name="T3" fmla="*/ 70 h 181"/>
              <a:gd name="T4" fmla="*/ 78 w 205"/>
              <a:gd name="T5" fmla="*/ 67 h 181"/>
              <a:gd name="T6" fmla="*/ 101 w 205"/>
              <a:gd name="T7" fmla="*/ 0 h 181"/>
              <a:gd name="T8" fmla="*/ 127 w 205"/>
              <a:gd name="T9" fmla="*/ 71 h 181"/>
              <a:gd name="T10" fmla="*/ 205 w 205"/>
              <a:gd name="T11" fmla="*/ 71 h 181"/>
              <a:gd name="T12" fmla="*/ 141 w 205"/>
              <a:gd name="T13" fmla="*/ 112 h 181"/>
              <a:gd name="T14" fmla="*/ 168 w 205"/>
              <a:gd name="T15" fmla="*/ 181 h 181"/>
              <a:gd name="T16" fmla="*/ 103 w 205"/>
              <a:gd name="T17" fmla="*/ 138 h 181"/>
              <a:gd name="T18" fmla="*/ 39 w 205"/>
              <a:gd name="T19" fmla="*/ 181 h 181"/>
              <a:gd name="T20" fmla="*/ 60 w 205"/>
              <a:gd name="T21" fmla="*/ 112 h 181"/>
              <a:gd name="T22" fmla="*/ 0 w 205"/>
              <a:gd name="T23" fmla="*/ 74 h 181"/>
              <a:gd name="T24" fmla="*/ 75 w 205"/>
              <a:gd name="T25" fmla="*/ 72 h 18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5"/>
              <a:gd name="T40" fmla="*/ 0 h 181"/>
              <a:gd name="T41" fmla="*/ 205 w 205"/>
              <a:gd name="T42" fmla="*/ 181 h 181"/>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5" h="181">
                <a:moveTo>
                  <a:pt x="75" y="72"/>
                </a:moveTo>
                <a:cubicBezTo>
                  <a:pt x="76" y="71"/>
                  <a:pt x="76" y="70"/>
                  <a:pt x="76" y="70"/>
                </a:cubicBezTo>
                <a:cubicBezTo>
                  <a:pt x="77" y="69"/>
                  <a:pt x="78" y="67"/>
                  <a:pt x="78" y="67"/>
                </a:cubicBezTo>
                <a:lnTo>
                  <a:pt x="101" y="0"/>
                </a:lnTo>
                <a:lnTo>
                  <a:pt x="127" y="71"/>
                </a:lnTo>
                <a:lnTo>
                  <a:pt x="205" y="71"/>
                </a:lnTo>
                <a:lnTo>
                  <a:pt x="141" y="112"/>
                </a:lnTo>
                <a:lnTo>
                  <a:pt x="168" y="181"/>
                </a:lnTo>
                <a:lnTo>
                  <a:pt x="103" y="138"/>
                </a:lnTo>
                <a:lnTo>
                  <a:pt x="39" y="181"/>
                </a:lnTo>
                <a:lnTo>
                  <a:pt x="60" y="112"/>
                </a:lnTo>
                <a:lnTo>
                  <a:pt x="0" y="74"/>
                </a:lnTo>
                <a:lnTo>
                  <a:pt x="75" y="72"/>
                </a:lnTo>
                <a:close/>
              </a:path>
            </a:pathLst>
          </a:custGeom>
          <a:solidFill xmlns:a="http://schemas.openxmlformats.org/drawingml/2006/main">
            <a:srgbClr val="FFFFFF"/>
          </a:solidFill>
          <a:ln xmlns:a="http://schemas.openxmlformats.org/drawingml/2006/main" w="9525">
            <a:solidFill>
              <a:srgbClr val="808080"/>
            </a:solidFill>
            <a:round/>
            <a:headEnd/>
            <a:tailEnd/>
          </a:ln>
        </cdr:spPr>
        <cdr:txBody>
          <a:bodyPr xmlns:a="http://schemas.openxmlformats.org/drawingml/2006/main"/>
          <a:lstStyle xmlns:a="http://schemas.openxmlformats.org/drawingml/2006/main"/>
          <a:p xmlns:a="http://schemas.openxmlformats.org/drawingml/2006/main">
            <a:endParaRPr lang="en-ZA"/>
          </a:p>
        </cdr:txBody>
      </cdr:sp>
      <cdr:sp macro="" textlink="">
        <cdr:nvSpPr>
          <cdr:cNvPr id="727046" name="Freeform 6"/>
          <cdr:cNvSpPr>
            <a:spLocks xmlns:a="http://schemas.openxmlformats.org/drawingml/2006/main"/>
          </cdr:cNvSpPr>
        </cdr:nvSpPr>
        <cdr:spPr bwMode="auto">
          <a:xfrm xmlns:a="http://schemas.openxmlformats.org/drawingml/2006/main">
            <a:off x="2242376" y="2555903"/>
            <a:ext cx="326421" cy="294703"/>
          </a:xfrm>
          <a:custGeom xmlns:a="http://schemas.openxmlformats.org/drawingml/2006/main">
            <a:avLst/>
            <a:gdLst>
              <a:gd name="T0" fmla="*/ 75 w 205"/>
              <a:gd name="T1" fmla="*/ 72 h 181"/>
              <a:gd name="T2" fmla="*/ 76 w 205"/>
              <a:gd name="T3" fmla="*/ 70 h 181"/>
              <a:gd name="T4" fmla="*/ 78 w 205"/>
              <a:gd name="T5" fmla="*/ 67 h 181"/>
              <a:gd name="T6" fmla="*/ 101 w 205"/>
              <a:gd name="T7" fmla="*/ 0 h 181"/>
              <a:gd name="T8" fmla="*/ 127 w 205"/>
              <a:gd name="T9" fmla="*/ 71 h 181"/>
              <a:gd name="T10" fmla="*/ 205 w 205"/>
              <a:gd name="T11" fmla="*/ 71 h 181"/>
              <a:gd name="T12" fmla="*/ 141 w 205"/>
              <a:gd name="T13" fmla="*/ 112 h 181"/>
              <a:gd name="T14" fmla="*/ 168 w 205"/>
              <a:gd name="T15" fmla="*/ 181 h 181"/>
              <a:gd name="T16" fmla="*/ 103 w 205"/>
              <a:gd name="T17" fmla="*/ 138 h 181"/>
              <a:gd name="T18" fmla="*/ 39 w 205"/>
              <a:gd name="T19" fmla="*/ 181 h 181"/>
              <a:gd name="T20" fmla="*/ 60 w 205"/>
              <a:gd name="T21" fmla="*/ 112 h 181"/>
              <a:gd name="T22" fmla="*/ 0 w 205"/>
              <a:gd name="T23" fmla="*/ 74 h 181"/>
              <a:gd name="T24" fmla="*/ 75 w 205"/>
              <a:gd name="T25" fmla="*/ 72 h 18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5"/>
              <a:gd name="T40" fmla="*/ 0 h 181"/>
              <a:gd name="T41" fmla="*/ 205 w 205"/>
              <a:gd name="T42" fmla="*/ 181 h 181"/>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5" h="181">
                <a:moveTo>
                  <a:pt x="75" y="72"/>
                </a:moveTo>
                <a:cubicBezTo>
                  <a:pt x="76" y="71"/>
                  <a:pt x="76" y="70"/>
                  <a:pt x="76" y="70"/>
                </a:cubicBezTo>
                <a:cubicBezTo>
                  <a:pt x="77" y="69"/>
                  <a:pt x="78" y="67"/>
                  <a:pt x="78" y="67"/>
                </a:cubicBezTo>
                <a:lnTo>
                  <a:pt x="101" y="0"/>
                </a:lnTo>
                <a:lnTo>
                  <a:pt x="127" y="71"/>
                </a:lnTo>
                <a:lnTo>
                  <a:pt x="205" y="71"/>
                </a:lnTo>
                <a:lnTo>
                  <a:pt x="141" y="112"/>
                </a:lnTo>
                <a:lnTo>
                  <a:pt x="168" y="181"/>
                </a:lnTo>
                <a:lnTo>
                  <a:pt x="103" y="138"/>
                </a:lnTo>
                <a:lnTo>
                  <a:pt x="39" y="181"/>
                </a:lnTo>
                <a:lnTo>
                  <a:pt x="60" y="112"/>
                </a:lnTo>
                <a:lnTo>
                  <a:pt x="0" y="74"/>
                </a:lnTo>
                <a:lnTo>
                  <a:pt x="75" y="72"/>
                </a:lnTo>
                <a:close/>
              </a:path>
            </a:pathLst>
          </a:custGeom>
          <a:solidFill xmlns:a="http://schemas.openxmlformats.org/drawingml/2006/main">
            <a:srgbClr val="FFFFFF"/>
          </a:solidFill>
          <a:ln xmlns:a="http://schemas.openxmlformats.org/drawingml/2006/main" w="9525">
            <a:solidFill>
              <a:srgbClr val="808080"/>
            </a:solidFill>
            <a:round/>
            <a:headEnd/>
            <a:tailEnd/>
          </a:ln>
        </cdr:spPr>
        <cdr:txBody>
          <a:bodyPr xmlns:a="http://schemas.openxmlformats.org/drawingml/2006/main"/>
          <a:lstStyle xmlns:a="http://schemas.openxmlformats.org/drawingml/2006/main"/>
          <a:p xmlns:a="http://schemas.openxmlformats.org/drawingml/2006/main">
            <a:endParaRPr lang="en-ZA"/>
          </a:p>
        </cdr:txBody>
      </cdr:sp>
    </cdr:grpSp>
  </cdr:relSizeAnchor>
</c:userShapes>
</file>

<file path=xl/drawings/drawing3.xml><?xml version="1.0" encoding="utf-8"?>
<xdr:wsDr xmlns:xdr="http://schemas.openxmlformats.org/drawingml/2006/spreadsheetDrawing" xmlns:a="http://schemas.openxmlformats.org/drawingml/2006/main">
  <xdr:twoCellAnchor editAs="oneCell">
    <xdr:from>
      <xdr:col>1</xdr:col>
      <xdr:colOff>6038850</xdr:colOff>
      <xdr:row>0</xdr:row>
      <xdr:rowOff>47625</xdr:rowOff>
    </xdr:from>
    <xdr:to>
      <xdr:col>1</xdr:col>
      <xdr:colOff>7839075</xdr:colOff>
      <xdr:row>3</xdr:row>
      <xdr:rowOff>37910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96025" y="47625"/>
          <a:ext cx="1800225" cy="876110"/>
        </a:xfrm>
        <a:prstGeom prst="rect">
          <a:avLst/>
        </a:prstGeom>
      </xdr:spPr>
    </xdr:pic>
    <xdr:clientData/>
  </xdr:twoCellAnchor>
  <xdr:twoCellAnchor editAs="oneCell">
    <xdr:from>
      <xdr:col>1</xdr:col>
      <xdr:colOff>85725</xdr:colOff>
      <xdr:row>0</xdr:row>
      <xdr:rowOff>95250</xdr:rowOff>
    </xdr:from>
    <xdr:to>
      <xdr:col>1</xdr:col>
      <xdr:colOff>1933575</xdr:colOff>
      <xdr:row>0</xdr:row>
      <xdr:rowOff>552450</xdr:rowOff>
    </xdr:to>
    <xdr:pic>
      <xdr:nvPicPr>
        <xdr:cNvPr id="713748" name="Picture 36" descr="Green Building Council of South Africa logo (high res)"/>
        <xdr:cNvPicPr>
          <a:picLocks noChangeAspect="1" noChangeArrowheads="1"/>
        </xdr:cNvPicPr>
      </xdr:nvPicPr>
      <xdr:blipFill>
        <a:blip xmlns:r="http://schemas.openxmlformats.org/officeDocument/2006/relationships" r:embed="rId2" cstate="print"/>
        <a:srcRect/>
        <a:stretch>
          <a:fillRect/>
        </a:stretch>
      </xdr:blipFill>
      <xdr:spPr bwMode="auto">
        <a:xfrm>
          <a:off x="342900" y="95250"/>
          <a:ext cx="1847850" cy="4572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6057900</xdr:colOff>
      <xdr:row>0</xdr:row>
      <xdr:rowOff>66675</xdr:rowOff>
    </xdr:from>
    <xdr:to>
      <xdr:col>2</xdr:col>
      <xdr:colOff>9525</xdr:colOff>
      <xdr:row>3</xdr:row>
      <xdr:rowOff>56960</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15075" y="66675"/>
          <a:ext cx="1800225" cy="876110"/>
        </a:xfrm>
        <a:prstGeom prst="rect">
          <a:avLst/>
        </a:prstGeom>
      </xdr:spPr>
    </xdr:pic>
    <xdr:clientData/>
  </xdr:twoCellAnchor>
  <xdr:twoCellAnchor editAs="oneCell">
    <xdr:from>
      <xdr:col>1</xdr:col>
      <xdr:colOff>85725</xdr:colOff>
      <xdr:row>0</xdr:row>
      <xdr:rowOff>95250</xdr:rowOff>
    </xdr:from>
    <xdr:to>
      <xdr:col>1</xdr:col>
      <xdr:colOff>1933575</xdr:colOff>
      <xdr:row>0</xdr:row>
      <xdr:rowOff>552450</xdr:rowOff>
    </xdr:to>
    <xdr:pic>
      <xdr:nvPicPr>
        <xdr:cNvPr id="385076" name="Picture 38" descr="Green Building Council of South Africa logo (high res)"/>
        <xdr:cNvPicPr>
          <a:picLocks noChangeAspect="1" noChangeArrowheads="1"/>
        </xdr:cNvPicPr>
      </xdr:nvPicPr>
      <xdr:blipFill>
        <a:blip xmlns:r="http://schemas.openxmlformats.org/officeDocument/2006/relationships" r:embed="rId2" cstate="print"/>
        <a:srcRect/>
        <a:stretch>
          <a:fillRect/>
        </a:stretch>
      </xdr:blipFill>
      <xdr:spPr bwMode="auto">
        <a:xfrm>
          <a:off x="342900" y="95250"/>
          <a:ext cx="1847850" cy="4572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xdr:col>
          <xdr:colOff>6686550</xdr:colOff>
          <xdr:row>28</xdr:row>
          <xdr:rowOff>57150</xdr:rowOff>
        </xdr:from>
        <xdr:to>
          <xdr:col>1</xdr:col>
          <xdr:colOff>7639050</xdr:colOff>
          <xdr:row>29</xdr:row>
          <xdr:rowOff>66675</xdr:rowOff>
        </xdr:to>
        <xdr:sp macro="" textlink="">
          <xdr:nvSpPr>
            <xdr:cNvPr id="385056" name="Button 32" hidden="1">
              <a:extLst>
                <a:ext uri="{63B3BB69-23CF-44E3-9099-C40C66FF867C}">
                  <a14:compatExt spid="_x0000_s38505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800" b="1" i="0" u="none" strike="noStrike" baseline="0">
                  <a:solidFill>
                    <a:srgbClr val="000000"/>
                  </a:solidFill>
                  <a:latin typeface="Arial"/>
                  <a:cs typeface="Arial"/>
                </a:rPr>
                <a:t>Back to Top</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2</xdr:col>
      <xdr:colOff>6315075</xdr:colOff>
      <xdr:row>0</xdr:row>
      <xdr:rowOff>47625</xdr:rowOff>
    </xdr:from>
    <xdr:to>
      <xdr:col>5</xdr:col>
      <xdr:colOff>28575</xdr:colOff>
      <xdr:row>3</xdr:row>
      <xdr:rowOff>37910</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67575" y="47625"/>
          <a:ext cx="1800225" cy="876110"/>
        </a:xfrm>
        <a:prstGeom prst="rect">
          <a:avLst/>
        </a:prstGeom>
      </xdr:spPr>
    </xdr:pic>
    <xdr:clientData/>
  </xdr:twoCellAnchor>
  <xdr:twoCellAnchor editAs="oneCell">
    <xdr:from>
      <xdr:col>1</xdr:col>
      <xdr:colOff>66675</xdr:colOff>
      <xdr:row>0</xdr:row>
      <xdr:rowOff>66675</xdr:rowOff>
    </xdr:from>
    <xdr:to>
      <xdr:col>2</xdr:col>
      <xdr:colOff>1219200</xdr:colOff>
      <xdr:row>0</xdr:row>
      <xdr:rowOff>523875</xdr:rowOff>
    </xdr:to>
    <xdr:pic>
      <xdr:nvPicPr>
        <xdr:cNvPr id="3" name="Picture 17" descr="Green Building Council of South Africa logo (high res)"/>
        <xdr:cNvPicPr>
          <a:picLocks noChangeAspect="1" noChangeArrowheads="1"/>
        </xdr:cNvPicPr>
      </xdr:nvPicPr>
      <xdr:blipFill>
        <a:blip xmlns:r="http://schemas.openxmlformats.org/officeDocument/2006/relationships" r:embed="rId2" cstate="print"/>
        <a:srcRect/>
        <a:stretch>
          <a:fillRect/>
        </a:stretch>
      </xdr:blipFill>
      <xdr:spPr bwMode="auto">
        <a:xfrm>
          <a:off x="323850" y="66675"/>
          <a:ext cx="1847850" cy="4572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6324600</xdr:colOff>
      <xdr:row>0</xdr:row>
      <xdr:rowOff>66675</xdr:rowOff>
    </xdr:from>
    <xdr:to>
      <xdr:col>5</xdr:col>
      <xdr:colOff>38100</xdr:colOff>
      <xdr:row>3</xdr:row>
      <xdr:rowOff>56960</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77100" y="66675"/>
          <a:ext cx="1800225" cy="876110"/>
        </a:xfrm>
        <a:prstGeom prst="rect">
          <a:avLst/>
        </a:prstGeom>
      </xdr:spPr>
    </xdr:pic>
    <xdr:clientData/>
  </xdr:twoCellAnchor>
  <xdr:twoCellAnchor editAs="oneCell">
    <xdr:from>
      <xdr:col>1</xdr:col>
      <xdr:colOff>66675</xdr:colOff>
      <xdr:row>0</xdr:row>
      <xdr:rowOff>76200</xdr:rowOff>
    </xdr:from>
    <xdr:to>
      <xdr:col>2</xdr:col>
      <xdr:colOff>1219200</xdr:colOff>
      <xdr:row>0</xdr:row>
      <xdr:rowOff>533400</xdr:rowOff>
    </xdr:to>
    <xdr:pic>
      <xdr:nvPicPr>
        <xdr:cNvPr id="3" name="Picture 17" descr="Green Building Council of South Africa logo (high res)"/>
        <xdr:cNvPicPr>
          <a:picLocks noChangeAspect="1" noChangeArrowheads="1"/>
        </xdr:cNvPicPr>
      </xdr:nvPicPr>
      <xdr:blipFill>
        <a:blip xmlns:r="http://schemas.openxmlformats.org/officeDocument/2006/relationships" r:embed="rId2" cstate="print"/>
        <a:srcRect/>
        <a:stretch>
          <a:fillRect/>
        </a:stretch>
      </xdr:blipFill>
      <xdr:spPr bwMode="auto">
        <a:xfrm>
          <a:off x="323850" y="76200"/>
          <a:ext cx="1847850" cy="4572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6105525</xdr:colOff>
      <xdr:row>0</xdr:row>
      <xdr:rowOff>47625</xdr:rowOff>
    </xdr:from>
    <xdr:to>
      <xdr:col>2</xdr:col>
      <xdr:colOff>57150</xdr:colOff>
      <xdr:row>3</xdr:row>
      <xdr:rowOff>37910</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62700" y="47625"/>
          <a:ext cx="1800225" cy="876110"/>
        </a:xfrm>
        <a:prstGeom prst="rect">
          <a:avLst/>
        </a:prstGeom>
      </xdr:spPr>
    </xdr:pic>
    <xdr:clientData/>
  </xdr:twoCellAnchor>
  <xdr:twoCellAnchor editAs="oneCell">
    <xdr:from>
      <xdr:col>1</xdr:col>
      <xdr:colOff>6067425</xdr:colOff>
      <xdr:row>0</xdr:row>
      <xdr:rowOff>57150</xdr:rowOff>
    </xdr:from>
    <xdr:to>
      <xdr:col>1</xdr:col>
      <xdr:colOff>6067425</xdr:colOff>
      <xdr:row>3</xdr:row>
      <xdr:rowOff>9525</xdr:rowOff>
    </xdr:to>
    <xdr:pic>
      <xdr:nvPicPr>
        <xdr:cNvPr id="2" name="Picture 4" descr="GSSA Retail Centre Design v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57150"/>
          <a:ext cx="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0</xdr:row>
      <xdr:rowOff>76200</xdr:rowOff>
    </xdr:from>
    <xdr:to>
      <xdr:col>1</xdr:col>
      <xdr:colOff>1895475</xdr:colOff>
      <xdr:row>0</xdr:row>
      <xdr:rowOff>533400</xdr:rowOff>
    </xdr:to>
    <xdr:pic>
      <xdr:nvPicPr>
        <xdr:cNvPr id="4" name="Picture 17" descr="Green Building Council of South Africa logo (high res)"/>
        <xdr:cNvPicPr>
          <a:picLocks noChangeAspect="1" noChangeArrowheads="1"/>
        </xdr:cNvPicPr>
      </xdr:nvPicPr>
      <xdr:blipFill>
        <a:blip xmlns:r="http://schemas.openxmlformats.org/officeDocument/2006/relationships" r:embed="rId3" cstate="print"/>
        <a:srcRect/>
        <a:stretch>
          <a:fillRect/>
        </a:stretch>
      </xdr:blipFill>
      <xdr:spPr bwMode="auto">
        <a:xfrm>
          <a:off x="304800" y="76200"/>
          <a:ext cx="1847850" cy="4572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0</xdr:row>
          <xdr:rowOff>514350</xdr:rowOff>
        </xdr:from>
        <xdr:to>
          <xdr:col>3</xdr:col>
          <xdr:colOff>666750</xdr:colOff>
          <xdr:row>1</xdr:row>
          <xdr:rowOff>180975</xdr:rowOff>
        </xdr:to>
        <xdr:sp macro="" textlink="">
          <xdr:nvSpPr>
            <xdr:cNvPr id="326658" name="Drop Down 2" hidden="1">
              <a:extLst>
                <a:ext uri="{63B3BB69-23CF-44E3-9099-C40C66FF867C}">
                  <a14:compatExt spid="_x0000_s326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0</xdr:rowOff>
        </xdr:from>
        <xdr:to>
          <xdr:col>3</xdr:col>
          <xdr:colOff>657225</xdr:colOff>
          <xdr:row>3</xdr:row>
          <xdr:rowOff>9525</xdr:rowOff>
        </xdr:to>
        <xdr:sp macro="" textlink="">
          <xdr:nvSpPr>
            <xdr:cNvPr id="326665" name="Drop Down 9" hidden="1">
              <a:extLst>
                <a:ext uri="{63B3BB69-23CF-44E3-9099-C40C66FF867C}">
                  <a14:compatExt spid="_x0000_s326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97</xdr:row>
          <xdr:rowOff>142875</xdr:rowOff>
        </xdr:from>
        <xdr:to>
          <xdr:col>5</xdr:col>
          <xdr:colOff>0</xdr:colOff>
          <xdr:row>100</xdr:row>
          <xdr:rowOff>133350</xdr:rowOff>
        </xdr:to>
        <xdr:sp macro="" textlink="">
          <xdr:nvSpPr>
            <xdr:cNvPr id="326666" name="Button 10" hidden="1">
              <a:extLst>
                <a:ext uri="{63B3BB69-23CF-44E3-9099-C40C66FF867C}">
                  <a14:compatExt spid="_x0000_s32666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Go to Credit Summary</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581025</xdr:colOff>
          <xdr:row>23</xdr:row>
          <xdr:rowOff>47625</xdr:rowOff>
        </xdr:from>
        <xdr:to>
          <xdr:col>7</xdr:col>
          <xdr:colOff>0</xdr:colOff>
          <xdr:row>26</xdr:row>
          <xdr:rowOff>38100</xdr:rowOff>
        </xdr:to>
        <xdr:sp macro="" textlink="">
          <xdr:nvSpPr>
            <xdr:cNvPr id="322563" name="Button 3" hidden="1">
              <a:extLst>
                <a:ext uri="{63B3BB69-23CF-44E3-9099-C40C66FF867C}">
                  <a14:compatExt spid="_x0000_s32256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Go to Credit Summary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809625</xdr:colOff>
          <xdr:row>23</xdr:row>
          <xdr:rowOff>142875</xdr:rowOff>
        </xdr:from>
        <xdr:to>
          <xdr:col>7</xdr:col>
          <xdr:colOff>1933575</xdr:colOff>
          <xdr:row>25</xdr:row>
          <xdr:rowOff>142875</xdr:rowOff>
        </xdr:to>
        <xdr:sp macro="" textlink="">
          <xdr:nvSpPr>
            <xdr:cNvPr id="322564" name="Button 4" hidden="1">
              <a:extLst>
                <a:ext uri="{63B3BB69-23CF-44E3-9099-C40C66FF867C}">
                  <a14:compatExt spid="_x0000_s32256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1" i="0" u="none" strike="noStrike" baseline="0">
                  <a:solidFill>
                    <a:srgbClr val="000000"/>
                  </a:solidFill>
                  <a:latin typeface="Arial"/>
                  <a:cs typeface="Arial"/>
                </a:rPr>
                <a:t>Back to Top</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ocuments%20and%20Settings\ZAMB00655\Local%20Settings\Temporary%20Internet%20Files\OLKA4\unlocked%20GBCSA%20&amp;%20GBCA%20docs\GSSA_Office_v1_20090401_UNLOCK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4%20Technical\3%20GreenStar%20SA\Retail\Tech%20Consultant\Deliverables%201%20Sept\unlocked%20GBCSA%20&amp;%20GBCA%20docs\GSSA_Office_v1_20090401_UNLOCK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ocuments%20and%20Settings\Ben\My%20Documents\Consulting\GBCA%20March%202007\Rebuilt%20-%20Office%20as%20Buil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Documents%20and%20Settings\jacob.knight\Local%20Settings\Temporary%20Internet%20Files\OLK8B4\Energy%20Calculator%20draft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Documents%20and%20Settings\mhicks\Local%20Settings\Temporary%20Internet%20Files\OLK2BA\Rebuilt%20-%20Office%20as%20Buil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Green%20Star%20Rating%20System\Green%20Star%20-%20Office%20As%20Built\Version%202\Excel%20Tool\Green%20Star%20-%20Office%20As%20Built%20v2%20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gbcsa.org.za/Users/francoisr.GBCSA/AppData/Local/Microsoft/Windows/Temporary%20Internet%20Files/Content.Outlook/M0LB7397/Unlocked_GSSA%20-%20PEB%20PILOT_final%20draf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gbcsa.org.za/Users/Menno.SPOORMAKERCAPE/AppData/Local/Microsoft/Windows/Temporary%20Internet%20Files/Content.Outlook/51CCHIZ9/GSSA%20Public%20Building%20Tool%20110720%20MS%20-%20Materials%20%20Water.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gbcsa.org.za/Users/Menno.SPOORMAKERCAPE/AppData/Local/Microsoft/Windows/Temporary%20Internet%20Files/Content.Outlook/51CCHIZ9/Rating%20Tool%20-%20GSSA%20Public%20Building%20Tool%20PILOT%2020110922_occupant%20ammeniti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A"/>
      <sheetName val="Introduction"/>
      <sheetName val="How to Use"/>
      <sheetName val="Disclaimer"/>
      <sheetName val="Building Input"/>
      <sheetName val="Management"/>
      <sheetName val="IEQ"/>
      <sheetName val="Energy"/>
      <sheetName val="Energy Calculator"/>
      <sheetName val="Transport"/>
      <sheetName val="Transport Calculator"/>
      <sheetName val="Water"/>
      <sheetName val="Potable Water Calculator"/>
      <sheetName val="Materials"/>
      <sheetName val="Land Use &amp; Ecology"/>
      <sheetName val="Emissions"/>
      <sheetName val="Sewage Calculator"/>
      <sheetName val="Innovation"/>
      <sheetName val="Credit Summary"/>
      <sheetName val="Graphical Summary"/>
      <sheetName val="Calculation"/>
      <sheetName val="Ecology Calculator"/>
    </sheetNames>
    <sheetDataSet>
      <sheetData sheetId="0" refreshError="1"/>
      <sheetData sheetId="1" refreshError="1"/>
      <sheetData sheetId="2" refreshError="1"/>
      <sheetData sheetId="3" refreshError="1"/>
      <sheetData sheetId="4">
        <row r="36">
          <cell r="C36">
            <v>0</v>
          </cell>
        </row>
      </sheetData>
      <sheetData sheetId="5"/>
      <sheetData sheetId="6"/>
      <sheetData sheetId="7"/>
      <sheetData sheetId="8"/>
      <sheetData sheetId="9"/>
      <sheetData sheetId="10">
        <row r="8">
          <cell r="B8" t="str">
            <v>No. of Bus, Midibus or Minibus Services</v>
          </cell>
        </row>
        <row r="9">
          <cell r="C9" t="str">
            <v>Contracted</v>
          </cell>
        </row>
        <row r="10">
          <cell r="B10" t="str">
            <v>Walking Distance from Building Entrance to Public Transport</v>
          </cell>
          <cell r="C10" t="str">
            <v>Frequency of Service During Peak Periods</v>
          </cell>
        </row>
        <row r="11">
          <cell r="C11" t="str">
            <v>15 min</v>
          </cell>
          <cell r="D11" t="str">
            <v>30 min</v>
          </cell>
        </row>
        <row r="12">
          <cell r="B12" t="str">
            <v>0-250m</v>
          </cell>
        </row>
        <row r="13">
          <cell r="B13" t="str">
            <v>250-500m</v>
          </cell>
        </row>
        <row r="14">
          <cell r="B14" t="str">
            <v>500-750m</v>
          </cell>
        </row>
        <row r="15">
          <cell r="B15" t="str">
            <v>750m-1km</v>
          </cell>
        </row>
        <row r="18">
          <cell r="B18" t="str">
            <v>No. of Train Services</v>
          </cell>
        </row>
        <row r="19">
          <cell r="B19" t="str">
            <v>Walking Distance from Building Entrance to Public Transport</v>
          </cell>
          <cell r="C19" t="str">
            <v>Frequency of Service During Peak Periods</v>
          </cell>
        </row>
        <row r="20">
          <cell r="C20" t="str">
            <v>15 min</v>
          </cell>
          <cell r="D20" t="str">
            <v>30 min</v>
          </cell>
        </row>
        <row r="21">
          <cell r="B21" t="str">
            <v>0-250m</v>
          </cell>
        </row>
        <row r="22">
          <cell r="B22" t="str">
            <v>250-500m</v>
          </cell>
        </row>
        <row r="23">
          <cell r="B23" t="str">
            <v>500-750m</v>
          </cell>
        </row>
        <row r="24">
          <cell r="B24" t="str">
            <v>750m-1km</v>
          </cell>
        </row>
        <row r="27">
          <cell r="D27">
            <v>0</v>
          </cell>
        </row>
      </sheetData>
      <sheetData sheetId="11"/>
      <sheetData sheetId="12" refreshError="1"/>
      <sheetData sheetId="13"/>
      <sheetData sheetId="14"/>
      <sheetData sheetId="15"/>
      <sheetData sheetId="16" refreshError="1"/>
      <sheetData sheetId="17"/>
      <sheetData sheetId="18" refreshError="1"/>
      <sheetData sheetId="19" refreshError="1"/>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A"/>
      <sheetName val="Introduction"/>
      <sheetName val="How to Use"/>
      <sheetName val="Disclaimer"/>
      <sheetName val="Building Input"/>
      <sheetName val="Management"/>
      <sheetName val="IEQ"/>
      <sheetName val="Energy"/>
      <sheetName val="Energy Calculator"/>
      <sheetName val="Transport"/>
      <sheetName val="Transport Calculator"/>
      <sheetName val="Water"/>
      <sheetName val="Potable Water Calculator"/>
      <sheetName val="Materials"/>
      <sheetName val="Land Use &amp; Ecology"/>
      <sheetName val="Ecology Calculator"/>
      <sheetName val="Emissions"/>
      <sheetName val="Sewage Calculator"/>
      <sheetName val="Innovation"/>
      <sheetName val="Credit Summary"/>
      <sheetName val="Graphical Summary"/>
      <sheetName val="Calculation"/>
    </sheetNames>
    <sheetDataSet>
      <sheetData sheetId="0" refreshError="1"/>
      <sheetData sheetId="1" refreshError="1"/>
      <sheetData sheetId="2" refreshError="1"/>
      <sheetData sheetId="3" refreshError="1"/>
      <sheetData sheetId="4">
        <row r="36">
          <cell r="C36">
            <v>0</v>
          </cell>
        </row>
      </sheetData>
      <sheetData sheetId="5"/>
      <sheetData sheetId="6"/>
      <sheetData sheetId="7"/>
      <sheetData sheetId="8"/>
      <sheetData sheetId="9"/>
      <sheetData sheetId="10">
        <row r="8">
          <cell r="B8" t="str">
            <v>No. of Bus, Midibus or Minibus Services</v>
          </cell>
        </row>
        <row r="9">
          <cell r="C9" t="str">
            <v>Contracted</v>
          </cell>
        </row>
        <row r="10">
          <cell r="B10" t="str">
            <v>Walking Distance from Building Entrance to Public Transport</v>
          </cell>
          <cell r="C10" t="str">
            <v>Frequency of Service During Peak Periods</v>
          </cell>
        </row>
        <row r="11">
          <cell r="C11" t="str">
            <v>15 min</v>
          </cell>
          <cell r="D11" t="str">
            <v>30 min</v>
          </cell>
        </row>
        <row r="12">
          <cell r="B12" t="str">
            <v>0-250m</v>
          </cell>
        </row>
        <row r="13">
          <cell r="B13" t="str">
            <v>250-500m</v>
          </cell>
        </row>
        <row r="14">
          <cell r="B14" t="str">
            <v>500-750m</v>
          </cell>
        </row>
        <row r="15">
          <cell r="B15" t="str">
            <v>750m-1km</v>
          </cell>
        </row>
        <row r="18">
          <cell r="B18" t="str">
            <v>No. of Train Services</v>
          </cell>
        </row>
        <row r="19">
          <cell r="B19" t="str">
            <v>Walking Distance from Building Entrance to Public Transport</v>
          </cell>
          <cell r="C19" t="str">
            <v>Frequency of Service During Peak Periods</v>
          </cell>
        </row>
        <row r="20">
          <cell r="C20" t="str">
            <v>15 min</v>
          </cell>
          <cell r="D20" t="str">
            <v>30 min</v>
          </cell>
        </row>
        <row r="21">
          <cell r="B21" t="str">
            <v>0-250m</v>
          </cell>
        </row>
        <row r="22">
          <cell r="B22" t="str">
            <v>250-500m</v>
          </cell>
        </row>
        <row r="23">
          <cell r="B23" t="str">
            <v>500-750m</v>
          </cell>
        </row>
        <row r="24">
          <cell r="B24" t="str">
            <v>750m-1km</v>
          </cell>
        </row>
        <row r="27">
          <cell r="D27">
            <v>0</v>
          </cell>
        </row>
      </sheetData>
      <sheetData sheetId="11"/>
      <sheetData sheetId="12" refreshError="1"/>
      <sheetData sheetId="13"/>
      <sheetData sheetId="14"/>
      <sheetData sheetId="15"/>
      <sheetData sheetId="16"/>
      <sheetData sheetId="17" refreshError="1"/>
      <sheetData sheetId="18"/>
      <sheetData sheetId="19" refreshError="1"/>
      <sheetData sheetId="20" refreshError="1"/>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Transport"/>
      <sheetName val="TransportCalc"/>
      <sheetName val="Water"/>
      <sheetName val="WaterCalc"/>
      <sheetName val="Materials"/>
      <sheetName val="Land Use &amp; Ecology"/>
      <sheetName val="EcologyCalc"/>
      <sheetName val="Emissions"/>
      <sheetName val="SewerageCalc"/>
      <sheetName val="Innovation"/>
      <sheetName val="Summary"/>
      <sheetName val="Credit Summary"/>
      <sheetName val="Graphical Summary"/>
      <sheetName val="Calculation"/>
      <sheetName val="Rebuilt - Office as Buil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B4" t="str">
            <v>Name of Building:</v>
          </cell>
          <cell r="C4" t="str">
            <v/>
          </cell>
        </row>
        <row r="5">
          <cell r="B5" t="str">
            <v>State:</v>
          </cell>
          <cell r="C5" t="str">
            <v>ACT</v>
          </cell>
        </row>
        <row r="6">
          <cell r="B6" t="str">
            <v>Type of Assessment:</v>
          </cell>
          <cell r="C6" t="str">
            <v>New Building</v>
          </cell>
        </row>
        <row r="38">
          <cell r="C38" t="str">
            <v>Points Available</v>
          </cell>
          <cell r="D38" t="str">
            <v>Points Achieved</v>
          </cell>
          <cell r="E38" t="str">
            <v>Category Score Achieved</v>
          </cell>
          <cell r="F38" t="str">
            <v>PointsTBC</v>
          </cell>
          <cell r="G38" t="str">
            <v>Potential Category Score</v>
          </cell>
        </row>
        <row r="39">
          <cell r="B39" t="str">
            <v>Management</v>
          </cell>
          <cell r="C39">
            <v>12</v>
          </cell>
          <cell r="D39">
            <v>0</v>
          </cell>
          <cell r="E39">
            <v>0</v>
          </cell>
          <cell r="F39">
            <v>0</v>
          </cell>
          <cell r="G39">
            <v>0</v>
          </cell>
        </row>
        <row r="40">
          <cell r="B40" t="str">
            <v>Indoor Environment Quality</v>
          </cell>
          <cell r="C40">
            <v>27</v>
          </cell>
          <cell r="D40">
            <v>0</v>
          </cell>
          <cell r="E40">
            <v>0</v>
          </cell>
          <cell r="F40">
            <v>0</v>
          </cell>
          <cell r="G40">
            <v>0</v>
          </cell>
        </row>
        <row r="41">
          <cell r="B41" t="str">
            <v>Energy</v>
          </cell>
          <cell r="C41">
            <v>24</v>
          </cell>
          <cell r="D41">
            <v>0</v>
          </cell>
          <cell r="E41">
            <v>0</v>
          </cell>
          <cell r="F41">
            <v>0</v>
          </cell>
          <cell r="G41">
            <v>0</v>
          </cell>
        </row>
        <row r="42">
          <cell r="B42" t="str">
            <v>Transport</v>
          </cell>
          <cell r="C42">
            <v>11</v>
          </cell>
          <cell r="D42">
            <v>0</v>
          </cell>
          <cell r="E42">
            <v>0</v>
          </cell>
          <cell r="F42">
            <v>0</v>
          </cell>
          <cell r="G42">
            <v>0</v>
          </cell>
        </row>
        <row r="43">
          <cell r="B43" t="str">
            <v>Water</v>
          </cell>
          <cell r="C43">
            <v>13</v>
          </cell>
          <cell r="D43">
            <v>0</v>
          </cell>
          <cell r="E43">
            <v>0</v>
          </cell>
          <cell r="F43">
            <v>0</v>
          </cell>
          <cell r="G43">
            <v>0</v>
          </cell>
        </row>
        <row r="44">
          <cell r="B44" t="str">
            <v>Materials</v>
          </cell>
          <cell r="C44">
            <v>20</v>
          </cell>
          <cell r="D44">
            <v>0</v>
          </cell>
          <cell r="E44">
            <v>0</v>
          </cell>
          <cell r="F44">
            <v>0</v>
          </cell>
          <cell r="G44">
            <v>0</v>
          </cell>
        </row>
        <row r="45">
          <cell r="B45" t="str">
            <v>Land Use and Ecology</v>
          </cell>
          <cell r="C45">
            <v>8</v>
          </cell>
          <cell r="D45">
            <v>0</v>
          </cell>
          <cell r="E45">
            <v>0</v>
          </cell>
          <cell r="F45">
            <v>0</v>
          </cell>
          <cell r="G45">
            <v>0</v>
          </cell>
        </row>
        <row r="46">
          <cell r="B46" t="str">
            <v>Emissions</v>
          </cell>
          <cell r="C46">
            <v>14</v>
          </cell>
          <cell r="D46">
            <v>0</v>
          </cell>
          <cell r="E46">
            <v>0</v>
          </cell>
          <cell r="F46">
            <v>0</v>
          </cell>
          <cell r="G46">
            <v>0</v>
          </cell>
        </row>
        <row r="48">
          <cell r="B48" t="str">
            <v>Innovation</v>
          </cell>
          <cell r="C48">
            <v>5</v>
          </cell>
          <cell r="D48">
            <v>0</v>
          </cell>
          <cell r="E48" t="str">
            <v>n/a</v>
          </cell>
          <cell r="F48">
            <v>0</v>
          </cell>
          <cell r="G48" t="str">
            <v>n/a</v>
          </cell>
        </row>
      </sheetData>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ilding Input"/>
      <sheetName val="Ene-1 Calculator"/>
    </sheetNames>
    <sheetDataSet>
      <sheetData sheetId="0">
        <row r="30">
          <cell r="C30">
            <v>1100</v>
          </cell>
        </row>
        <row r="31">
          <cell r="C31">
            <v>1000</v>
          </cell>
        </row>
        <row r="32">
          <cell r="C32">
            <v>0.90909090909090906</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Transport"/>
      <sheetName val="TransportCalc"/>
      <sheetName val="Water"/>
      <sheetName val="WaterCalc"/>
      <sheetName val="Materials"/>
      <sheetName val="Land Use &amp; Ecology"/>
      <sheetName val="EcologyCalc"/>
      <sheetName val="Emissions"/>
      <sheetName val="SewerageCalc"/>
      <sheetName val="Innovation"/>
      <sheetName val="Summary"/>
      <sheetName val="Credit Summary"/>
      <sheetName val="Graphical Summary"/>
      <sheetName val="Calculation"/>
      <sheetName val="Rebuilt - Office as Buil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B4" t="str">
            <v>Name of Building:</v>
          </cell>
          <cell r="C4" t="str">
            <v/>
          </cell>
        </row>
        <row r="5">
          <cell r="B5" t="str">
            <v>State:</v>
          </cell>
          <cell r="C5" t="str">
            <v>ACT</v>
          </cell>
        </row>
        <row r="6">
          <cell r="B6" t="str">
            <v>Type of Assessment:</v>
          </cell>
          <cell r="C6" t="str">
            <v>New Building</v>
          </cell>
        </row>
        <row r="38">
          <cell r="C38" t="str">
            <v>Points Available</v>
          </cell>
          <cell r="D38" t="str">
            <v>Points Achieved</v>
          </cell>
          <cell r="E38" t="str">
            <v>Category Score Achieved</v>
          </cell>
          <cell r="F38" t="str">
            <v>PointsTBC</v>
          </cell>
          <cell r="G38" t="str">
            <v>Potential Category Score</v>
          </cell>
        </row>
        <row r="39">
          <cell r="B39" t="str">
            <v>Management</v>
          </cell>
          <cell r="C39">
            <v>12</v>
          </cell>
          <cell r="D39">
            <v>0</v>
          </cell>
          <cell r="E39">
            <v>0</v>
          </cell>
          <cell r="F39">
            <v>0</v>
          </cell>
          <cell r="G39">
            <v>0</v>
          </cell>
        </row>
        <row r="40">
          <cell r="B40" t="str">
            <v>Indoor Environment Quality</v>
          </cell>
          <cell r="C40">
            <v>27</v>
          </cell>
          <cell r="D40">
            <v>0</v>
          </cell>
          <cell r="E40">
            <v>0</v>
          </cell>
          <cell r="F40">
            <v>0</v>
          </cell>
          <cell r="G40">
            <v>0</v>
          </cell>
        </row>
        <row r="41">
          <cell r="B41" t="str">
            <v>Energy</v>
          </cell>
          <cell r="C41">
            <v>24</v>
          </cell>
          <cell r="D41">
            <v>0</v>
          </cell>
          <cell r="E41">
            <v>0</v>
          </cell>
          <cell r="F41">
            <v>0</v>
          </cell>
          <cell r="G41">
            <v>0</v>
          </cell>
        </row>
        <row r="42">
          <cell r="B42" t="str">
            <v>Transport</v>
          </cell>
          <cell r="C42">
            <v>11</v>
          </cell>
          <cell r="D42">
            <v>0</v>
          </cell>
          <cell r="E42">
            <v>0</v>
          </cell>
          <cell r="F42">
            <v>0</v>
          </cell>
          <cell r="G42">
            <v>0</v>
          </cell>
        </row>
        <row r="43">
          <cell r="B43" t="str">
            <v>Water</v>
          </cell>
          <cell r="C43">
            <v>13</v>
          </cell>
          <cell r="D43">
            <v>0</v>
          </cell>
          <cell r="E43">
            <v>0</v>
          </cell>
          <cell r="F43">
            <v>0</v>
          </cell>
          <cell r="G43">
            <v>0</v>
          </cell>
        </row>
        <row r="44">
          <cell r="B44" t="str">
            <v>Materials</v>
          </cell>
          <cell r="C44">
            <v>20</v>
          </cell>
          <cell r="D44">
            <v>0</v>
          </cell>
          <cell r="E44">
            <v>0</v>
          </cell>
          <cell r="F44">
            <v>0</v>
          </cell>
          <cell r="G44">
            <v>0</v>
          </cell>
        </row>
        <row r="45">
          <cell r="B45" t="str">
            <v>Land Use and Ecology</v>
          </cell>
          <cell r="C45">
            <v>8</v>
          </cell>
          <cell r="D45">
            <v>0</v>
          </cell>
          <cell r="E45">
            <v>0</v>
          </cell>
          <cell r="F45">
            <v>0</v>
          </cell>
          <cell r="G45">
            <v>0</v>
          </cell>
        </row>
        <row r="46">
          <cell r="B46" t="str">
            <v>Emissions</v>
          </cell>
          <cell r="C46">
            <v>14</v>
          </cell>
          <cell r="D46">
            <v>0</v>
          </cell>
          <cell r="E46">
            <v>0</v>
          </cell>
          <cell r="F46">
            <v>0</v>
          </cell>
          <cell r="G46">
            <v>0</v>
          </cell>
        </row>
        <row r="48">
          <cell r="B48" t="str">
            <v>Innovation</v>
          </cell>
          <cell r="C48">
            <v>5</v>
          </cell>
          <cell r="D48">
            <v>0</v>
          </cell>
          <cell r="E48" t="str">
            <v>n/a</v>
          </cell>
          <cell r="F48">
            <v>0</v>
          </cell>
          <cell r="G48" t="str">
            <v>n/a</v>
          </cell>
        </row>
      </sheetData>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Transport"/>
      <sheetName val="Transport Calculator"/>
      <sheetName val="Water"/>
      <sheetName val="Water Calculator"/>
      <sheetName val="Materials"/>
      <sheetName val="Land Use &amp; Ecology"/>
      <sheetName val="Ecology Calculator"/>
      <sheetName val="Emissions"/>
      <sheetName val="Sewerage Calculator"/>
      <sheetName val="Innovation"/>
      <sheetName val="Credit Summary"/>
      <sheetName val="Graphical Summary"/>
      <sheetName val="Calculation"/>
    </sheetNames>
    <sheetDataSet>
      <sheetData sheetId="0"/>
      <sheetData sheetId="1"/>
      <sheetData sheetId="2"/>
      <sheetData sheetId="3"/>
      <sheetData sheetId="4"/>
      <sheetData sheetId="5"/>
      <sheetData sheetId="6"/>
      <sheetData sheetId="7"/>
      <sheetData sheetId="8"/>
      <sheetData sheetId="9">
        <row r="5">
          <cell r="B5" t="str">
            <v>No. of Bus, Tram or Ferry Services</v>
          </cell>
        </row>
        <row r="6">
          <cell r="B6" t="str">
            <v>Walking Distance from Building Entrance to Public Transport</v>
          </cell>
          <cell r="C6" t="str">
            <v>Frequency of Service During Peak Periods</v>
          </cell>
        </row>
        <row r="7">
          <cell r="C7" t="str">
            <v>15 min</v>
          </cell>
          <cell r="D7" t="str">
            <v>30 min</v>
          </cell>
        </row>
        <row r="8">
          <cell r="B8" t="str">
            <v>0-250m</v>
          </cell>
        </row>
        <row r="9">
          <cell r="B9" t="str">
            <v>250-500m</v>
          </cell>
        </row>
        <row r="10">
          <cell r="B10" t="str">
            <v>500-750m</v>
          </cell>
        </row>
        <row r="11">
          <cell r="B11" t="str">
            <v>750m-1km</v>
          </cell>
        </row>
        <row r="14">
          <cell r="B14" t="str">
            <v>No. of Train Services</v>
          </cell>
        </row>
        <row r="15">
          <cell r="B15" t="str">
            <v>Walking Distance from Building Entrance to Public Transport</v>
          </cell>
          <cell r="C15" t="str">
            <v>Frequency of Service During Peak Periods</v>
          </cell>
        </row>
        <row r="16">
          <cell r="C16" t="str">
            <v>15 min</v>
          </cell>
          <cell r="D16" t="str">
            <v>30 min</v>
          </cell>
        </row>
        <row r="17">
          <cell r="B17" t="str">
            <v>0-250m</v>
          </cell>
        </row>
        <row r="18">
          <cell r="B18" t="str">
            <v>250-500m</v>
          </cell>
        </row>
        <row r="19">
          <cell r="B19" t="str">
            <v>500-750m</v>
          </cell>
        </row>
        <row r="20">
          <cell r="B20" t="str">
            <v>750m-1km</v>
          </cell>
        </row>
        <row r="22">
          <cell r="D22">
            <v>0</v>
          </cell>
        </row>
      </sheetData>
      <sheetData sheetId="10"/>
      <sheetData sheetId="11"/>
      <sheetData sheetId="12"/>
      <sheetData sheetId="13"/>
      <sheetData sheetId="14">
        <row r="5">
          <cell r="B5" t="str">
            <v>Does the site contain any rare, threatened or vulnerable flora or fauna?</v>
          </cell>
        </row>
        <row r="7">
          <cell r="B7" t="str">
            <v>In which bio-region is the site located?</v>
          </cell>
        </row>
        <row r="9">
          <cell r="C9" t="str">
            <v>Hidden</v>
          </cell>
          <cell r="D9" t="str">
            <v>BEFORE</v>
          </cell>
          <cell r="E9" t="str">
            <v>Hidden</v>
          </cell>
          <cell r="F9" t="str">
            <v>AFTER</v>
          </cell>
        </row>
        <row r="10">
          <cell r="B10" t="str">
            <v>Land Type</v>
          </cell>
          <cell r="C10" t="str">
            <v>Ecological Value</v>
          </cell>
          <cell r="D10" t="str">
            <v>Land Types Before Construction / m2</v>
          </cell>
          <cell r="E10" t="str">
            <v>Ecological Score</v>
          </cell>
          <cell r="F10" t="str">
            <v>Land Types After Construction / m2</v>
          </cell>
        </row>
        <row r="11">
          <cell r="B11" t="str">
            <v>Building</v>
          </cell>
        </row>
        <row r="12">
          <cell r="B12" t="str">
            <v>Impermeable/concreted Area</v>
          </cell>
        </row>
        <row r="13">
          <cell r="B13" t="str">
            <v>Bare Ground</v>
          </cell>
        </row>
        <row r="14">
          <cell r="B14" t="str">
            <v>Weed Infestations</v>
          </cell>
        </row>
        <row r="15">
          <cell r="B15" t="str">
            <v>Exotic Garden</v>
          </cell>
        </row>
        <row r="16">
          <cell r="B16" t="str">
            <v>Native Garden</v>
          </cell>
        </row>
        <row r="17">
          <cell r="B17" t="str">
            <v>Exotic Grazing</v>
          </cell>
        </row>
        <row r="18">
          <cell r="B18" t="str">
            <v>Native Grazing*</v>
          </cell>
        </row>
        <row r="19">
          <cell r="B19" t="str">
            <v>Crop Farming</v>
          </cell>
        </row>
        <row r="20">
          <cell r="B20" t="str">
            <v>Existing Waterway*</v>
          </cell>
        </row>
        <row r="21">
          <cell r="B21" t="str">
            <v>Wetland*</v>
          </cell>
        </row>
        <row r="22">
          <cell r="B22" t="str">
            <v>Plantation Forest</v>
          </cell>
        </row>
        <row r="23">
          <cell r="B23" t="str">
            <v>Pine Plantation Forest</v>
          </cell>
        </row>
        <row r="24">
          <cell r="B24" t="str">
            <v>Blue Gum Plantation Forest</v>
          </cell>
        </row>
        <row r="25">
          <cell r="B25" t="str">
            <v>Regenerated Native Habitat(&lt; 10 years old)*</v>
          </cell>
        </row>
        <row r="26">
          <cell r="B26" t="str">
            <v>Indigenous Native Habitat (&gt; 10 years old)*</v>
          </cell>
        </row>
        <row r="27">
          <cell r="B27" t="str">
            <v>Indigenous Native Habitat (&gt; 20 years old)*</v>
          </cell>
        </row>
        <row r="28">
          <cell r="B28" t="str">
            <v>TOTAL</v>
          </cell>
          <cell r="D28">
            <v>0</v>
          </cell>
          <cell r="E28">
            <v>0</v>
          </cell>
          <cell r="F28">
            <v>0</v>
          </cell>
        </row>
        <row r="29">
          <cell r="B29" t="str">
            <v>ECOLOGICAL DIVERSITY INDEX:</v>
          </cell>
          <cell r="D29">
            <v>0</v>
          </cell>
          <cell r="F29">
            <v>0</v>
          </cell>
        </row>
        <row r="30">
          <cell r="B30" t="str">
            <v>CHANGE IN ECOLOGICAL DIVERSITY INDEX</v>
          </cell>
          <cell r="D30">
            <v>0</v>
          </cell>
        </row>
        <row r="31">
          <cell r="B31" t="str">
            <v>Points Achieved</v>
          </cell>
          <cell r="D31">
            <v>0</v>
          </cell>
          <cell r="F31" t="str">
            <v/>
          </cell>
        </row>
      </sheetData>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A"/>
      <sheetName val="Introduction"/>
      <sheetName val="How to use"/>
      <sheetName val="Disclaimer"/>
      <sheetName val="Change Log"/>
      <sheetName val="R1 Pre-Submission Checklist"/>
      <sheetName val="R2 Pre-Submission Checklist"/>
      <sheetName val="Applicant Declaration"/>
      <sheetName val="Building Input"/>
      <sheetName val="Management"/>
      <sheetName val="IEQ"/>
      <sheetName val="Energy"/>
      <sheetName val="Energy Calculator"/>
      <sheetName val="Lighting Energy Calculator"/>
      <sheetName val="Transport"/>
      <sheetName val="Transport Calculator"/>
      <sheetName val="Water"/>
      <sheetName val="Potable Water Calculator"/>
      <sheetName val="Rainfall data"/>
      <sheetName val="Materials"/>
      <sheetName val="Land Use &amp; Ecology"/>
      <sheetName val="Ecology Calculator"/>
      <sheetName val="Emissions"/>
      <sheetName val="Sewage Calculator"/>
      <sheetName val="Innovation"/>
      <sheetName val="Credit Summary"/>
      <sheetName val="Graphical Summary"/>
      <sheetName val="Rainfall data_old"/>
      <sheetName val="Calculation"/>
      <sheetName val="Calculatio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3">
          <cell r="DJ193" t="str">
            <v>&lt;please select&gt;</v>
          </cell>
        </row>
        <row r="194">
          <cell r="DJ194" t="str">
            <v>Xeriscaping</v>
          </cell>
          <cell r="DN194" t="str">
            <v>Rainfall</v>
          </cell>
        </row>
        <row r="195">
          <cell r="DJ195" t="str">
            <v>Low</v>
          </cell>
          <cell r="DN195" t="str">
            <v>&lt;Please select&gt;</v>
          </cell>
        </row>
        <row r="196">
          <cell r="DJ196" t="str">
            <v>Medium low</v>
          </cell>
          <cell r="DN196" t="str">
            <v>Sprinklers - Day</v>
          </cell>
        </row>
        <row r="197">
          <cell r="DJ197" t="str">
            <v>Medium</v>
          </cell>
          <cell r="DN197" t="str">
            <v>Sprinklers - Night</v>
          </cell>
        </row>
        <row r="198">
          <cell r="DJ198" t="str">
            <v>Medium high</v>
          </cell>
          <cell r="DN198" t="str">
            <v>Sprays - Day</v>
          </cell>
        </row>
        <row r="199">
          <cell r="DJ199" t="str">
            <v>High</v>
          </cell>
          <cell r="DN199" t="str">
            <v>Sprays - Night</v>
          </cell>
        </row>
        <row r="200">
          <cell r="DN200" t="str">
            <v>Microsprays - Day</v>
          </cell>
        </row>
        <row r="201">
          <cell r="DN201" t="str">
            <v>Microsprays - Night</v>
          </cell>
        </row>
        <row r="202">
          <cell r="DJ202" t="str">
            <v>&lt;Please select&gt;</v>
          </cell>
          <cell r="DN202" t="str">
            <v>Drip - Bare soil</v>
          </cell>
        </row>
        <row r="203">
          <cell r="DJ203" t="str">
            <v>Exposed - no shade during the day, high temperatures, full wind exposure on all sides</v>
          </cell>
          <cell r="DN203" t="str">
            <v>Drip - Under mulch</v>
          </cell>
        </row>
        <row r="204">
          <cell r="DJ204" t="str">
            <v>Normal</v>
          </cell>
          <cell r="DN204" t="str">
            <v>Subsurface drip (SDI)</v>
          </cell>
        </row>
        <row r="205">
          <cell r="DJ205" t="str">
            <v>Protected - full shade, no direct sun during the day.  High wind protection, shelter on 3 or 4 sides</v>
          </cell>
          <cell r="DN205" t="str">
            <v>Hand watering</v>
          </cell>
        </row>
        <row r="366">
          <cell r="DJ366" t="str">
            <v>Steel roof &gt;30o Pitch</v>
          </cell>
        </row>
        <row r="367">
          <cell r="DJ367" t="str">
            <v>Non-absorbent roof&gt;30o Pitch</v>
          </cell>
        </row>
        <row r="368">
          <cell r="DJ368" t="str">
            <v>Flat non-absorbent roof &lt; 30o Pitch</v>
          </cell>
        </row>
        <row r="369">
          <cell r="DJ369" t="str">
            <v>Flat gravel or turf roof &lt; 30o pitch</v>
          </cell>
        </row>
        <row r="416">
          <cell r="N416" t="str">
            <v>Discharged to sewer</v>
          </cell>
        </row>
        <row r="417">
          <cell r="N417" t="str">
            <v>Recycled</v>
          </cell>
        </row>
      </sheetData>
      <sheetData sheetId="18">
        <row r="4">
          <cell r="B4" t="str">
            <v>Beaufort West</v>
          </cell>
        </row>
        <row r="5">
          <cell r="B5" t="str">
            <v>Bela-Bela</v>
          </cell>
        </row>
        <row r="6">
          <cell r="B6" t="str">
            <v>Belfast</v>
          </cell>
        </row>
        <row r="7">
          <cell r="B7" t="str">
            <v>Bethal</v>
          </cell>
        </row>
        <row r="8">
          <cell r="B8" t="str">
            <v>Bethlehem</v>
          </cell>
        </row>
        <row r="9">
          <cell r="B9" t="str">
            <v>Bloemfontein</v>
          </cell>
        </row>
        <row r="10">
          <cell r="B10" t="str">
            <v>Calvinia</v>
          </cell>
        </row>
        <row r="11">
          <cell r="B11" t="str">
            <v>Cape Town</v>
          </cell>
        </row>
        <row r="12">
          <cell r="B12" t="str">
            <v>De Aar</v>
          </cell>
        </row>
        <row r="13">
          <cell r="B13" t="str">
            <v>Durban</v>
          </cell>
        </row>
        <row r="14">
          <cell r="B14" t="str">
            <v>East London</v>
          </cell>
        </row>
        <row r="15">
          <cell r="B15" t="str">
            <v>George</v>
          </cell>
        </row>
        <row r="16">
          <cell r="B16" t="str">
            <v>Johannesburg</v>
          </cell>
        </row>
        <row r="17">
          <cell r="B17" t="str">
            <v>Kimberley</v>
          </cell>
        </row>
        <row r="18">
          <cell r="B18" t="str">
            <v>Ladysmith</v>
          </cell>
        </row>
        <row r="19">
          <cell r="B19" t="str">
            <v>Langebaan</v>
          </cell>
        </row>
        <row r="20">
          <cell r="B20" t="str">
            <v>Musina</v>
          </cell>
        </row>
        <row r="21">
          <cell r="B21" t="str">
            <v>Nelspruit</v>
          </cell>
        </row>
        <row r="22">
          <cell r="B22" t="str">
            <v>Nmmabatho</v>
          </cell>
        </row>
        <row r="23">
          <cell r="B23" t="str">
            <v>Pietermaritzburg</v>
          </cell>
        </row>
        <row r="24">
          <cell r="B24" t="str">
            <v>Pilansberg</v>
          </cell>
        </row>
        <row r="25">
          <cell r="B25" t="str">
            <v>Polokwane</v>
          </cell>
        </row>
        <row r="26">
          <cell r="B26" t="str">
            <v>Port Elizabeth</v>
          </cell>
        </row>
        <row r="27">
          <cell r="B27" t="str">
            <v>Pretoria</v>
          </cell>
        </row>
        <row r="28">
          <cell r="B28" t="str">
            <v>Richards Bay</v>
          </cell>
        </row>
        <row r="29">
          <cell r="B29" t="str">
            <v>Skukuza</v>
          </cell>
        </row>
        <row r="30">
          <cell r="B30" t="str">
            <v>Thohoyandou</v>
          </cell>
        </row>
        <row r="31">
          <cell r="B31" t="str">
            <v>Tstsikama</v>
          </cell>
        </row>
        <row r="32">
          <cell r="B32" t="str">
            <v>Umtata</v>
          </cell>
        </row>
        <row r="33">
          <cell r="B33" t="str">
            <v>Upington</v>
          </cell>
        </row>
      </sheetData>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A"/>
      <sheetName val="Introduction"/>
      <sheetName val="How to use"/>
      <sheetName val="Disclaimer"/>
      <sheetName val="Change Log"/>
      <sheetName val="Building Input"/>
      <sheetName val="Management"/>
      <sheetName val="IEQ"/>
      <sheetName val="Energy"/>
      <sheetName val="Energy Calculator"/>
      <sheetName val="Lighting Energy Calculator"/>
      <sheetName val="Transport"/>
      <sheetName val="Transport Calculator"/>
      <sheetName val="Water"/>
      <sheetName val="Potable Water Calculator"/>
      <sheetName val="Materials"/>
      <sheetName val="Land Use &amp; Ecology"/>
      <sheetName val="Ecology Calculator"/>
      <sheetName val="Emissions"/>
      <sheetName val="Sewage Calculator"/>
      <sheetName val="Innovation"/>
      <sheetName val="Credit Summary"/>
      <sheetName val="Graphical Summary"/>
      <sheetName val="Rainfall data"/>
      <sheetName val="Calculation"/>
      <sheetName val="Calculation1"/>
      <sheetName val="GSSA Public Building Tool 11072"/>
    </sheetNames>
    <definedNames>
      <definedName name="GoToSewageCal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A"/>
      <sheetName val="Introduction"/>
      <sheetName val="How to use"/>
      <sheetName val="Disclaimer"/>
      <sheetName val="Change Log"/>
      <sheetName val="Building Input"/>
      <sheetName val="Management"/>
      <sheetName val="IEQ"/>
      <sheetName val="Energy"/>
      <sheetName val="Energy Calculator"/>
      <sheetName val="Lighting Energy Calculator"/>
      <sheetName val="Transport"/>
      <sheetName val="Transport Calculator"/>
      <sheetName val="Water"/>
      <sheetName val="Potable Water Calculator"/>
      <sheetName val="Potable Water Calculator_old"/>
      <sheetName val="Rainfall data"/>
      <sheetName val="INFO FROM OTHER CREDITS"/>
      <sheetName val="Materials"/>
      <sheetName val="Land Use &amp; Ecology"/>
      <sheetName val="Ecology Calculator"/>
      <sheetName val="Emissions"/>
      <sheetName val="Sewage Calculator"/>
      <sheetName val="Innovation"/>
      <sheetName val="Credit Summary"/>
      <sheetName val="Graphical Summary"/>
      <sheetName val="Rainfall data_old"/>
      <sheetName val="Calculation"/>
      <sheetName val="Calculatio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7.bin"/><Relationship Id="rId6" Type="http://schemas.openxmlformats.org/officeDocument/2006/relationships/comments" Target="../comments3.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omments" Target="../comments4.xml"/><Relationship Id="rId2" Type="http://schemas.openxmlformats.org/officeDocument/2006/relationships/drawing" Target="../drawings/drawing11.xml"/><Relationship Id="rId1" Type="http://schemas.openxmlformats.org/officeDocument/2006/relationships/printerSettings" Target="../printerSettings/printerSettings8.bin"/><Relationship Id="rId6" Type="http://schemas.openxmlformats.org/officeDocument/2006/relationships/ctrlProp" Target="../ctrlProps/ctrlProp16.xml"/><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9.bin"/><Relationship Id="rId6" Type="http://schemas.openxmlformats.org/officeDocument/2006/relationships/comments" Target="../comments5.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trlProp" Target="../ctrlProps/ctrlProp1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omments" Target="../comments6.xml"/><Relationship Id="rId2" Type="http://schemas.openxmlformats.org/officeDocument/2006/relationships/drawing" Target="../drawings/drawing14.xml"/><Relationship Id="rId1" Type="http://schemas.openxmlformats.org/officeDocument/2006/relationships/printerSettings" Target="../printerSettings/printerSettings11.bin"/><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2.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3.bin"/><Relationship Id="rId6" Type="http://schemas.openxmlformats.org/officeDocument/2006/relationships/comments" Target="../comments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16.bin"/><Relationship Id="rId5" Type="http://schemas.openxmlformats.org/officeDocument/2006/relationships/comments" Target="../comments9.xml"/><Relationship Id="rId4" Type="http://schemas.openxmlformats.org/officeDocument/2006/relationships/ctrlProp" Target="../ctrlProps/ctrlProp27.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vmlDrawing" Target="../drawings/vmlDrawing14.vml"/><Relationship Id="rId7" Type="http://schemas.openxmlformats.org/officeDocument/2006/relationships/ctrlProp" Target="../ctrlProps/ctrlProp29.xml"/><Relationship Id="rId2" Type="http://schemas.openxmlformats.org/officeDocument/2006/relationships/drawing" Target="../drawings/drawing20.xml"/><Relationship Id="rId1" Type="http://schemas.openxmlformats.org/officeDocument/2006/relationships/printerSettings" Target="../printerSettings/printerSettings17.bin"/><Relationship Id="rId6" Type="http://schemas.openxmlformats.org/officeDocument/2006/relationships/ctrlProp" Target="../ctrlProps/ctrlProp28.xml"/><Relationship Id="rId5" Type="http://schemas.openxmlformats.org/officeDocument/2006/relationships/image" Target="../media/image11.emf"/><Relationship Id="rId4" Type="http://schemas.openxmlformats.org/officeDocument/2006/relationships/control" Target="../activeX/activeX1.xml"/></Relationships>
</file>

<file path=xl/worksheets/_rels/sheet21.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vmlDrawing" Target="../drawings/vmlDrawing15.vml"/><Relationship Id="rId7" Type="http://schemas.openxmlformats.org/officeDocument/2006/relationships/ctrlProp" Target="../ctrlProps/ctrlProp33.xml"/><Relationship Id="rId2" Type="http://schemas.openxmlformats.org/officeDocument/2006/relationships/drawing" Target="../drawings/drawing21.xml"/><Relationship Id="rId1" Type="http://schemas.openxmlformats.org/officeDocument/2006/relationships/printerSettings" Target="../printerSettings/printerSettings18.bin"/><Relationship Id="rId6" Type="http://schemas.openxmlformats.org/officeDocument/2006/relationships/ctrlProp" Target="../ctrlProps/ctrlProp32.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7" Type="http://schemas.openxmlformats.org/officeDocument/2006/relationships/comments" Target="../comments12.xml"/><Relationship Id="rId2" Type="http://schemas.openxmlformats.org/officeDocument/2006/relationships/drawing" Target="../drawings/drawing22.xml"/><Relationship Id="rId1" Type="http://schemas.openxmlformats.org/officeDocument/2006/relationships/printerSettings" Target="../printerSettings/printerSettings19.bin"/><Relationship Id="rId6" Type="http://schemas.openxmlformats.org/officeDocument/2006/relationships/ctrlProp" Target="../ctrlProps/ctrlProp36.xml"/><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3.xml"/><Relationship Id="rId1" Type="http://schemas.openxmlformats.org/officeDocument/2006/relationships/printerSettings" Target="../printerSettings/printerSettings20.bin"/><Relationship Id="rId5" Type="http://schemas.openxmlformats.org/officeDocument/2006/relationships/comments" Target="../comments13.xml"/><Relationship Id="rId4" Type="http://schemas.openxmlformats.org/officeDocument/2006/relationships/ctrlProp" Target="../ctrlProps/ctrlProp3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4.xml"/><Relationship Id="rId1" Type="http://schemas.openxmlformats.org/officeDocument/2006/relationships/printerSettings" Target="../printerSettings/printerSettings21.bin"/><Relationship Id="rId5" Type="http://schemas.openxmlformats.org/officeDocument/2006/relationships/comments" Target="../comments14.xml"/><Relationship Id="rId4" Type="http://schemas.openxmlformats.org/officeDocument/2006/relationships/ctrlProp" Target="../ctrlProps/ctrlProp38.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19.vml"/><Relationship Id="rId7" Type="http://schemas.openxmlformats.org/officeDocument/2006/relationships/ctrlProp" Target="../ctrlProps/ctrlProp42.xml"/><Relationship Id="rId12" Type="http://schemas.openxmlformats.org/officeDocument/2006/relationships/comments" Target="../comments15.xml"/><Relationship Id="rId2" Type="http://schemas.openxmlformats.org/officeDocument/2006/relationships/drawing" Target="../drawings/drawing25.xml"/><Relationship Id="rId1" Type="http://schemas.openxmlformats.org/officeDocument/2006/relationships/printerSettings" Target="../printerSettings/printerSettings22.bin"/><Relationship Id="rId6" Type="http://schemas.openxmlformats.org/officeDocument/2006/relationships/ctrlProp" Target="../ctrlProps/ctrlProp41.xml"/><Relationship Id="rId11" Type="http://schemas.openxmlformats.org/officeDocument/2006/relationships/ctrlProp" Target="../ctrlProps/ctrlProp46.xml"/><Relationship Id="rId5" Type="http://schemas.openxmlformats.org/officeDocument/2006/relationships/ctrlProp" Target="../ctrlProps/ctrlProp40.xml"/><Relationship Id="rId10" Type="http://schemas.openxmlformats.org/officeDocument/2006/relationships/ctrlProp" Target="../ctrlProps/ctrlProp45.xml"/><Relationship Id="rId4" Type="http://schemas.openxmlformats.org/officeDocument/2006/relationships/ctrlProp" Target="../ctrlProps/ctrlProp39.xml"/><Relationship Id="rId9" Type="http://schemas.openxmlformats.org/officeDocument/2006/relationships/ctrlProp" Target="../ctrlProps/ctrlProp4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omments" Target="../comments1.xml"/><Relationship Id="rId2" Type="http://schemas.openxmlformats.org/officeDocument/2006/relationships/drawing" Target="../drawings/drawing8.xml"/><Relationship Id="rId1" Type="http://schemas.openxmlformats.org/officeDocument/2006/relationships/printerSettings" Target="../printerSettings/printerSettings5.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39"/>
  <sheetViews>
    <sheetView tabSelected="1" zoomScale="90" zoomScaleNormal="90" zoomScaleSheetLayoutView="100" workbookViewId="0">
      <selection activeCell="G8" sqref="G8"/>
    </sheetView>
  </sheetViews>
  <sheetFormatPr defaultColWidth="7.875" defaultRowHeight="12.75"/>
  <cols>
    <col min="1" max="1" width="3.375" style="803" customWidth="1"/>
    <col min="2" max="2" width="73.375" style="803" customWidth="1"/>
    <col min="3" max="16384" width="7.875" style="803"/>
  </cols>
  <sheetData>
    <row r="1" spans="2:2" ht="17.25" customHeight="1">
      <c r="B1" s="802"/>
    </row>
    <row r="5" spans="2:2" ht="20.25">
      <c r="B5" s="804"/>
    </row>
    <row r="10" spans="2:2">
      <c r="B10" s="802"/>
    </row>
    <row r="11" spans="2:2" ht="5.25" customHeight="1">
      <c r="B11" s="802"/>
    </row>
    <row r="13" spans="2:2" ht="24">
      <c r="B13" s="805" t="s">
        <v>2112</v>
      </c>
    </row>
    <row r="14" spans="2:2" ht="14.25">
      <c r="B14" s="806"/>
    </row>
    <row r="15" spans="2:2" ht="95.25" customHeight="1">
      <c r="B15" s="807" t="s">
        <v>2113</v>
      </c>
    </row>
    <row r="16" spans="2:2" ht="14.25">
      <c r="B16" s="806"/>
    </row>
    <row r="17" spans="1:2" ht="15">
      <c r="B17" s="808" t="s">
        <v>383</v>
      </c>
    </row>
    <row r="18" spans="1:2" ht="14.25" customHeight="1">
      <c r="A18" s="809"/>
      <c r="B18" s="810"/>
    </row>
    <row r="19" spans="1:2">
      <c r="B19" s="810" t="s">
        <v>384</v>
      </c>
    </row>
    <row r="20" spans="1:2">
      <c r="B20" s="845" t="s">
        <v>2339</v>
      </c>
    </row>
    <row r="28" spans="1:2">
      <c r="B28" s="802"/>
    </row>
    <row r="34" spans="2:2" ht="16.5">
      <c r="B34" s="811"/>
    </row>
    <row r="39" spans="2:2" ht="13.5">
      <c r="B39" s="812"/>
    </row>
  </sheetData>
  <sheetProtection password="AD9B" sheet="1" objects="1" scenarios="1"/>
  <phoneticPr fontId="103" type="noConversion"/>
  <pageMargins left="0.59055118110236227" right="0.59055118110236227" top="0.47244094488188981" bottom="0.47244094488188981" header="0.23622047244094491" footer="0.35433070866141736"/>
  <pageSetup paperSize="9" scale="94" orientation="portrait" blackAndWhite="1" r:id="rId1"/>
  <headerFooter alignWithMargins="0">
    <oddHeader>&amp;LGreen Building Council of South Africa&amp;R&amp;T   &amp;D</oddHeader>
    <oddFooter>&amp;L&amp;F&amp;CPage &amp;P of &amp;N&amp;R&amp;A</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U47"/>
  <sheetViews>
    <sheetView zoomScale="80" zoomScaleNormal="80" zoomScaleSheetLayoutView="80" workbookViewId="0">
      <pane xSplit="2" ySplit="4" topLeftCell="C5" activePane="bottomRight" state="frozen"/>
      <selection pane="topRight"/>
      <selection pane="bottomLeft"/>
      <selection pane="bottomRight" activeCell="F87" sqref="F87"/>
    </sheetView>
  </sheetViews>
  <sheetFormatPr defaultColWidth="7.875" defaultRowHeight="15"/>
  <cols>
    <col min="1" max="1" width="7.25" style="1150" customWidth="1"/>
    <col min="2" max="2" width="15.125" style="1150" customWidth="1"/>
    <col min="3" max="3" width="27.25" style="1150" customWidth="1"/>
    <col min="4" max="4" width="64.875" style="1150" customWidth="1"/>
    <col min="5" max="7" width="12.625" style="275" customWidth="1"/>
    <col min="8" max="8" width="31" style="317" customWidth="1"/>
    <col min="9" max="9" width="10.875" style="452" hidden="1" customWidth="1"/>
    <col min="10" max="11" width="8.875" style="1150" customWidth="1"/>
    <col min="12" max="57" width="7.875" style="1150"/>
    <col min="58" max="16384" width="7.875" style="273"/>
  </cols>
  <sheetData>
    <row r="1" spans="1:255" s="450" customFormat="1" ht="24" customHeight="1" thickBot="1">
      <c r="A1" s="455" t="str">
        <f>'Building Input'!B1</f>
        <v>Green Star SA - Public &amp; Education Building v1</v>
      </c>
      <c r="D1" s="1150"/>
      <c r="E1" s="275"/>
      <c r="F1" s="444" t="s">
        <v>134</v>
      </c>
      <c r="G1" s="445">
        <f>'Credit Summary'!J36</f>
        <v>0.15</v>
      </c>
      <c r="H1" s="443" t="s">
        <v>136</v>
      </c>
      <c r="I1" s="452"/>
    </row>
    <row r="2" spans="1:255" s="450" customFormat="1" ht="30" customHeight="1" thickBot="1">
      <c r="A2" s="272" t="s">
        <v>315</v>
      </c>
      <c r="D2" s="442" t="s">
        <v>135</v>
      </c>
      <c r="E2" s="1190">
        <f>E32</f>
        <v>23</v>
      </c>
      <c r="F2" s="1191">
        <f>F32</f>
        <v>0</v>
      </c>
      <c r="G2" s="1190">
        <f>G32</f>
        <v>0</v>
      </c>
      <c r="H2" s="1192">
        <f>'Credit Summary'!K36</f>
        <v>0</v>
      </c>
      <c r="I2" s="452"/>
    </row>
    <row r="3" spans="1:255" s="462" customFormat="1" ht="19.5" customHeight="1" thickBot="1">
      <c r="A3" s="458" t="s">
        <v>1037</v>
      </c>
      <c r="B3" s="459"/>
      <c r="C3" s="458" t="str">
        <f>IF('Building Input'!$C$5=0,"",'Building Input'!$C$5)</f>
        <v/>
      </c>
      <c r="D3" s="460"/>
      <c r="E3" s="275"/>
      <c r="F3" s="448" t="str">
        <f>IF(OR((I3=Calculation1!$B$84),(I3=Calculation1!$B$85),((F2+G2)&gt;E2)),Calculation1!$B$86,"")</f>
        <v/>
      </c>
      <c r="G3" s="275"/>
      <c r="H3" s="460"/>
      <c r="I3" s="461" t="str">
        <f>T(I5:I25)</f>
        <v/>
      </c>
    </row>
    <row r="4" spans="1:255" s="315" customFormat="1" ht="33" customHeight="1" thickBot="1">
      <c r="A4" s="1229" t="s">
        <v>1039</v>
      </c>
      <c r="B4" s="1230" t="s">
        <v>1040</v>
      </c>
      <c r="C4" s="1230" t="s">
        <v>1041</v>
      </c>
      <c r="D4" s="1230" t="s">
        <v>1168</v>
      </c>
      <c r="E4" s="1231" t="s">
        <v>1169</v>
      </c>
      <c r="F4" s="1231" t="s">
        <v>451</v>
      </c>
      <c r="G4" s="1231" t="s">
        <v>452</v>
      </c>
      <c r="H4" s="2065" t="s">
        <v>453</v>
      </c>
      <c r="I4" s="452"/>
    </row>
    <row r="5" spans="1:255" s="315" customFormat="1" ht="375.75" customHeight="1">
      <c r="A5" s="1165" t="s">
        <v>76</v>
      </c>
      <c r="B5" s="1166" t="s">
        <v>2049</v>
      </c>
      <c r="C5" s="1166" t="s">
        <v>1230</v>
      </c>
      <c r="D5" s="1132" t="s">
        <v>2338</v>
      </c>
      <c r="E5" s="1167">
        <v>2</v>
      </c>
      <c r="F5" s="2066"/>
      <c r="G5" s="2066"/>
      <c r="H5" s="2068"/>
      <c r="I5" s="909" t="str">
        <f>IF(ISBLANK(F5),IF(G5&gt;E5,Calculation1!$B$84,""),IF(F5="na","",IF(OR(F5="na",ISNUMBER(F5)),IF(F5+G5&gt;E5,Calculation1!$B$84,""),Calculation1!$B$85)))</f>
        <v/>
      </c>
      <c r="J5" s="905"/>
      <c r="K5" s="906"/>
      <c r="L5" s="349"/>
    </row>
    <row r="6" spans="1:255" s="315" customFormat="1" ht="30" customHeight="1">
      <c r="A6" s="938" t="s">
        <v>2075</v>
      </c>
      <c r="B6" s="857" t="s">
        <v>565</v>
      </c>
      <c r="C6" s="857"/>
      <c r="D6" s="939" t="s">
        <v>2104</v>
      </c>
      <c r="E6" s="940" t="s">
        <v>1308</v>
      </c>
      <c r="F6" s="946" t="s">
        <v>1308</v>
      </c>
      <c r="G6" s="946" t="s">
        <v>1308</v>
      </c>
      <c r="H6" s="2047"/>
      <c r="I6" s="909" t="str">
        <f>IF(ISBLANK(F6),IF(G6&gt;E6,Calculation1!$B$84,""),IF(F6="na","",IF(OR(F6="na",ISNUMBER(F6)),IF(F6+G6&gt;E6,Calculation1!$B$84,""),Calculation1!$B$85)))</f>
        <v>ERROR, Value entered in 'No. of points achieved' must be a number or 'na'</v>
      </c>
      <c r="J6" s="905"/>
      <c r="K6" s="906"/>
      <c r="L6" s="349"/>
    </row>
    <row r="7" spans="1:255" s="315" customFormat="1" ht="368.25" customHeight="1">
      <c r="A7" s="1034" t="s">
        <v>77</v>
      </c>
      <c r="B7" s="1995" t="s">
        <v>618</v>
      </c>
      <c r="C7" s="1995" t="s">
        <v>585</v>
      </c>
      <c r="D7" s="854" t="s">
        <v>2141</v>
      </c>
      <c r="E7" s="457">
        <f>IF(F7="na",0,1)</f>
        <v>1</v>
      </c>
      <c r="F7" s="2050"/>
      <c r="G7" s="2050"/>
      <c r="H7" s="852"/>
      <c r="I7" s="1151" t="str">
        <f>IF(ISBLANK(F7),IF(G7&gt;E7,Calculation1!$B$84,""),IF(F7="na","",IF(OR(F7="na",ISNUMBER(F7)),IF(F7+G7&gt;E7,Calculation1!$B$84,""),Calculation1!$B$85)))</f>
        <v/>
      </c>
      <c r="J7" s="905"/>
      <c r="K7" s="906"/>
      <c r="L7" s="349"/>
    </row>
    <row r="8" spans="1:255" s="315" customFormat="1" ht="318.75">
      <c r="A8" s="1987" t="s">
        <v>78</v>
      </c>
      <c r="B8" s="1988" t="s">
        <v>619</v>
      </c>
      <c r="C8" s="1988" t="s">
        <v>396</v>
      </c>
      <c r="D8" s="1986" t="s">
        <v>2143</v>
      </c>
      <c r="E8" s="858">
        <v>3</v>
      </c>
      <c r="F8" s="2050"/>
      <c r="G8" s="2050"/>
      <c r="H8" s="2010"/>
      <c r="I8" s="1151" t="str">
        <f>IF(OR(ISTEXT(F8)=TRUE,ISTEXT(G8)=TRUE),Calculation1!$B$87,IF(F8+G8&gt;E8,Calculation1!$B$84,""))</f>
        <v/>
      </c>
      <c r="J8" s="905"/>
      <c r="K8" s="906"/>
      <c r="L8" s="349"/>
    </row>
    <row r="9" spans="1:255" s="315" customFormat="1" ht="230.25" customHeight="1">
      <c r="A9" s="1987" t="s">
        <v>79</v>
      </c>
      <c r="B9" s="1988" t="s">
        <v>460</v>
      </c>
      <c r="C9" s="1988" t="s">
        <v>1224</v>
      </c>
      <c r="D9" s="1142" t="s">
        <v>2050</v>
      </c>
      <c r="E9" s="859">
        <v>1</v>
      </c>
      <c r="F9" s="2050"/>
      <c r="G9" s="2050"/>
      <c r="H9" s="2010"/>
      <c r="I9" s="1151"/>
      <c r="J9" s="905"/>
      <c r="K9" s="906"/>
      <c r="L9" s="349"/>
    </row>
    <row r="10" spans="1:255" s="1143" customFormat="1" ht="30" customHeight="1">
      <c r="A10" s="938" t="s">
        <v>80</v>
      </c>
      <c r="B10" s="857" t="s">
        <v>461</v>
      </c>
      <c r="C10" s="857"/>
      <c r="D10" s="939" t="s">
        <v>2104</v>
      </c>
      <c r="E10" s="940" t="s">
        <v>1308</v>
      </c>
      <c r="F10" s="946" t="s">
        <v>1308</v>
      </c>
      <c r="G10" s="946" t="s">
        <v>1308</v>
      </c>
      <c r="H10" s="2047"/>
      <c r="I10" s="1151"/>
      <c r="J10" s="1144"/>
      <c r="K10" s="1144"/>
      <c r="L10" s="1144"/>
      <c r="M10" s="1144"/>
      <c r="N10" s="1144"/>
      <c r="O10" s="1144"/>
      <c r="P10" s="1144"/>
      <c r="Q10" s="1144"/>
      <c r="R10" s="1144"/>
      <c r="S10" s="1144"/>
      <c r="T10" s="1144"/>
      <c r="U10" s="1144"/>
      <c r="V10" s="1144"/>
      <c r="W10" s="1144"/>
      <c r="X10" s="1144"/>
      <c r="Y10" s="1144"/>
      <c r="Z10" s="1144"/>
      <c r="AA10" s="1144"/>
      <c r="AB10" s="1144"/>
      <c r="AC10" s="1144"/>
      <c r="AD10" s="1144"/>
      <c r="AE10" s="1144"/>
      <c r="AF10" s="1144"/>
      <c r="AG10" s="1144"/>
      <c r="AH10" s="1144"/>
      <c r="AI10" s="1144"/>
      <c r="AJ10" s="1144"/>
      <c r="AK10" s="1144"/>
      <c r="AL10" s="1144"/>
      <c r="AM10" s="1144"/>
      <c r="AN10" s="1144"/>
      <c r="AO10" s="1144"/>
      <c r="AP10" s="1144"/>
      <c r="AQ10" s="1144"/>
      <c r="AR10" s="1144"/>
      <c r="AS10" s="1144"/>
      <c r="AT10" s="1144"/>
      <c r="AU10" s="1144"/>
      <c r="AV10" s="1144"/>
      <c r="AW10" s="1144"/>
      <c r="AX10" s="1144"/>
      <c r="AY10" s="1144"/>
      <c r="AZ10" s="1144"/>
      <c r="BA10" s="1144"/>
      <c r="BB10" s="1144"/>
      <c r="BC10" s="1144"/>
      <c r="BD10" s="1144"/>
      <c r="BE10" s="1144"/>
      <c r="BF10" s="1144"/>
      <c r="BG10" s="1144"/>
      <c r="BH10" s="1144"/>
      <c r="BI10" s="1144"/>
      <c r="BJ10" s="1144"/>
      <c r="BK10" s="1144"/>
      <c r="BL10" s="1144"/>
      <c r="BM10" s="1144"/>
      <c r="BN10" s="1144"/>
      <c r="BO10" s="1144"/>
      <c r="BP10" s="1144"/>
      <c r="BQ10" s="1144"/>
      <c r="BR10" s="1144"/>
      <c r="BS10" s="1144"/>
      <c r="BT10" s="1144"/>
      <c r="BU10" s="1144"/>
      <c r="BV10" s="1144"/>
      <c r="BW10" s="1144"/>
      <c r="BX10" s="1144"/>
      <c r="BY10" s="1144"/>
      <c r="BZ10" s="1144"/>
      <c r="CA10" s="1144"/>
      <c r="CB10" s="1144"/>
      <c r="CC10" s="1144"/>
      <c r="CD10" s="1144"/>
      <c r="CE10" s="1144"/>
      <c r="CF10" s="1144"/>
      <c r="CG10" s="1144"/>
      <c r="CH10" s="1144"/>
      <c r="CI10" s="1144"/>
      <c r="CJ10" s="1144"/>
      <c r="CK10" s="1144"/>
      <c r="CL10" s="1144"/>
      <c r="CM10" s="1144"/>
      <c r="CN10" s="1144"/>
      <c r="CO10" s="1144"/>
      <c r="CP10" s="1144"/>
      <c r="CQ10" s="1144"/>
      <c r="CR10" s="1144"/>
      <c r="CS10" s="1144"/>
      <c r="CT10" s="1144"/>
      <c r="CU10" s="1144"/>
      <c r="CV10" s="1144"/>
      <c r="CW10" s="1144"/>
      <c r="CX10" s="1144"/>
      <c r="CY10" s="1144"/>
      <c r="CZ10" s="1144"/>
      <c r="DA10" s="1144"/>
      <c r="DB10" s="1144"/>
      <c r="DC10" s="1144"/>
      <c r="DD10" s="1144"/>
      <c r="DE10" s="1144"/>
      <c r="DF10" s="1144"/>
      <c r="DG10" s="1144"/>
      <c r="DH10" s="1144"/>
      <c r="DI10" s="1144"/>
      <c r="DJ10" s="1144"/>
      <c r="DK10" s="1144"/>
      <c r="DL10" s="1144"/>
      <c r="DM10" s="1144"/>
      <c r="DN10" s="1144"/>
      <c r="DO10" s="1144"/>
      <c r="DP10" s="1144"/>
      <c r="DQ10" s="1144"/>
      <c r="DR10" s="1144"/>
      <c r="DS10" s="1144"/>
      <c r="DT10" s="1144"/>
      <c r="DU10" s="1144"/>
      <c r="DV10" s="1144"/>
      <c r="DW10" s="1144"/>
      <c r="DX10" s="1144"/>
      <c r="DY10" s="1144"/>
      <c r="DZ10" s="1144"/>
      <c r="EA10" s="1144"/>
      <c r="EB10" s="1144"/>
      <c r="EC10" s="1144"/>
      <c r="ED10" s="1144"/>
      <c r="EE10" s="1144"/>
      <c r="EF10" s="1144"/>
      <c r="EG10" s="1144"/>
      <c r="EH10" s="1144"/>
      <c r="EI10" s="1144"/>
      <c r="EJ10" s="1144"/>
      <c r="EK10" s="1144"/>
      <c r="EL10" s="1144"/>
      <c r="EM10" s="1144"/>
      <c r="EN10" s="1144"/>
      <c r="EO10" s="1144"/>
      <c r="EP10" s="1144"/>
      <c r="EQ10" s="1144"/>
      <c r="ER10" s="1144"/>
      <c r="ES10" s="1144"/>
      <c r="ET10" s="1144"/>
      <c r="EU10" s="1144"/>
      <c r="EV10" s="1144"/>
      <c r="EW10" s="1144"/>
      <c r="EX10" s="1144"/>
      <c r="EY10" s="1144"/>
      <c r="EZ10" s="1144"/>
      <c r="FA10" s="1144"/>
      <c r="FB10" s="1144"/>
      <c r="FC10" s="1144"/>
      <c r="FD10" s="1144"/>
      <c r="FE10" s="1144"/>
      <c r="FF10" s="1144"/>
      <c r="FG10" s="1144"/>
      <c r="FH10" s="1144"/>
      <c r="FI10" s="1144"/>
      <c r="FJ10" s="1144"/>
      <c r="FK10" s="1144"/>
      <c r="FL10" s="1144"/>
      <c r="FM10" s="1144"/>
      <c r="FN10" s="1144"/>
      <c r="FO10" s="1144"/>
      <c r="FP10" s="1144"/>
      <c r="FQ10" s="1144"/>
      <c r="FR10" s="1144"/>
      <c r="FS10" s="1144"/>
      <c r="FT10" s="1144"/>
      <c r="FU10" s="1144"/>
      <c r="FV10" s="1144"/>
      <c r="FW10" s="1144"/>
      <c r="FX10" s="1144"/>
      <c r="FY10" s="1144"/>
      <c r="FZ10" s="1144"/>
      <c r="GA10" s="1144"/>
      <c r="GB10" s="1144"/>
      <c r="GC10" s="1144"/>
      <c r="GD10" s="1144"/>
      <c r="GE10" s="1144"/>
      <c r="GF10" s="1144"/>
      <c r="GG10" s="1144"/>
      <c r="GH10" s="1144"/>
      <c r="GI10" s="1144"/>
      <c r="GJ10" s="1144"/>
      <c r="GK10" s="1144"/>
      <c r="GL10" s="1144"/>
      <c r="GM10" s="1144"/>
      <c r="GN10" s="1144"/>
      <c r="GO10" s="1144"/>
      <c r="GP10" s="1144"/>
      <c r="GQ10" s="1144"/>
      <c r="GR10" s="1144"/>
      <c r="GS10" s="1144"/>
      <c r="GT10" s="1144"/>
      <c r="GU10" s="1144"/>
      <c r="GV10" s="1144"/>
      <c r="GW10" s="1144"/>
      <c r="GX10" s="1144"/>
      <c r="GY10" s="1144"/>
      <c r="GZ10" s="1144"/>
      <c r="HA10" s="1144"/>
      <c r="HB10" s="1144"/>
      <c r="HC10" s="1144"/>
      <c r="HD10" s="1144"/>
      <c r="HE10" s="1144"/>
      <c r="HF10" s="1144"/>
      <c r="HG10" s="1144"/>
      <c r="HH10" s="1144"/>
      <c r="HI10" s="1144"/>
      <c r="HJ10" s="1144"/>
      <c r="HK10" s="1144"/>
      <c r="HL10" s="1144"/>
      <c r="HM10" s="1144"/>
      <c r="HN10" s="1144"/>
      <c r="HO10" s="1144"/>
      <c r="HP10" s="1144"/>
      <c r="HQ10" s="1144"/>
      <c r="HR10" s="1144"/>
      <c r="HS10" s="1144"/>
      <c r="HT10" s="1144"/>
      <c r="HU10" s="1144"/>
      <c r="HV10" s="1144"/>
      <c r="HW10" s="1144"/>
      <c r="HX10" s="1144"/>
      <c r="HY10" s="1144"/>
      <c r="HZ10" s="1144"/>
      <c r="IA10" s="1144"/>
      <c r="IB10" s="1144"/>
      <c r="IC10" s="1144"/>
      <c r="ID10" s="1144"/>
      <c r="IE10" s="1144"/>
      <c r="IF10" s="1144"/>
      <c r="IG10" s="1144"/>
      <c r="IH10" s="1144"/>
      <c r="II10" s="1144"/>
      <c r="IJ10" s="1144"/>
      <c r="IK10" s="1144"/>
      <c r="IL10" s="1144"/>
      <c r="IM10" s="1144"/>
      <c r="IN10" s="1144"/>
      <c r="IO10" s="1144"/>
      <c r="IP10" s="1144"/>
      <c r="IQ10" s="1144"/>
      <c r="IR10" s="1144"/>
      <c r="IS10" s="1144"/>
      <c r="IT10" s="1144"/>
      <c r="IU10" s="1144"/>
    </row>
    <row r="11" spans="1:255" s="315" customFormat="1" ht="111.75" customHeight="1">
      <c r="A11" s="1987" t="s">
        <v>81</v>
      </c>
      <c r="B11" s="1988" t="s">
        <v>440</v>
      </c>
      <c r="C11" s="1988" t="s">
        <v>1994</v>
      </c>
      <c r="D11" s="854" t="s">
        <v>2076</v>
      </c>
      <c r="E11" s="457">
        <v>1</v>
      </c>
      <c r="F11" s="2050"/>
      <c r="G11" s="2050"/>
      <c r="H11" s="2069"/>
      <c r="I11" s="1151"/>
      <c r="J11" s="905"/>
      <c r="K11" s="906"/>
      <c r="L11" s="349"/>
    </row>
    <row r="12" spans="1:255" s="315" customFormat="1" ht="165" customHeight="1">
      <c r="A12" s="1987" t="s">
        <v>82</v>
      </c>
      <c r="B12" s="1988" t="s">
        <v>441</v>
      </c>
      <c r="C12" s="1988" t="s">
        <v>1225</v>
      </c>
      <c r="D12" s="857" t="s">
        <v>2078</v>
      </c>
      <c r="E12" s="457">
        <v>2</v>
      </c>
      <c r="F12" s="2050"/>
      <c r="G12" s="2050"/>
      <c r="H12" s="853"/>
      <c r="I12" s="1151"/>
      <c r="J12" s="905"/>
      <c r="K12" s="906"/>
      <c r="L12" s="349"/>
    </row>
    <row r="13" spans="1:255" s="315" customFormat="1" ht="216" customHeight="1">
      <c r="A13" s="1168" t="s">
        <v>83</v>
      </c>
      <c r="B13" s="1169" t="s">
        <v>324</v>
      </c>
      <c r="C13" s="1169" t="s">
        <v>586</v>
      </c>
      <c r="D13" s="2247" t="s">
        <v>2144</v>
      </c>
      <c r="E13" s="2232">
        <v>2</v>
      </c>
      <c r="F13" s="2234"/>
      <c r="G13" s="2234"/>
      <c r="H13" s="2236"/>
      <c r="I13" s="592" t="str">
        <f>IF(ISBLANK(F13),IF(G13&gt;E13,Calculation1!$B$84,""),IF(F13="na","",IF(OR(F13="na",ISNUMBER(F13)),IF(F13+G13&gt;E13,Calculation1!$B$84,""),Calculation1!$B$85)))</f>
        <v/>
      </c>
      <c r="J13" s="905"/>
      <c r="K13" s="906"/>
      <c r="L13" s="349"/>
    </row>
    <row r="14" spans="1:255" s="315" customFormat="1" ht="111.75" customHeight="1">
      <c r="A14" s="1170"/>
      <c r="B14" s="1171"/>
      <c r="C14" s="1171"/>
      <c r="D14" s="2248"/>
      <c r="E14" s="2233"/>
      <c r="F14" s="2235"/>
      <c r="G14" s="2235"/>
      <c r="H14" s="2237"/>
      <c r="I14" s="897"/>
      <c r="J14" s="905"/>
      <c r="K14" s="906"/>
      <c r="L14" s="349"/>
    </row>
    <row r="15" spans="1:255" s="1143" customFormat="1" ht="30" customHeight="1">
      <c r="A15" s="938" t="s">
        <v>1343</v>
      </c>
      <c r="B15" s="857" t="s">
        <v>1344</v>
      </c>
      <c r="C15" s="857"/>
      <c r="D15" s="939" t="s">
        <v>2104</v>
      </c>
      <c r="E15" s="940" t="s">
        <v>1308</v>
      </c>
      <c r="F15" s="946" t="s">
        <v>1308</v>
      </c>
      <c r="G15" s="946" t="s">
        <v>1308</v>
      </c>
      <c r="H15" s="2047"/>
      <c r="I15" s="1151" t="str">
        <f>IF(OR(ISTEXT(F15)=TRUE,ISTEXT(G15)=TRUE),Calculation1!$B$87,IF(F15+G15&gt;E15,Calculation1!$B$84,""))</f>
        <v>ERROR, text not valid!</v>
      </c>
      <c r="J15" s="1144"/>
      <c r="K15" s="1144"/>
      <c r="L15" s="1144"/>
      <c r="M15" s="1144"/>
      <c r="N15" s="1144"/>
      <c r="O15" s="1144"/>
      <c r="P15" s="1144"/>
      <c r="Q15" s="1144"/>
      <c r="R15" s="1144"/>
      <c r="S15" s="1144"/>
      <c r="T15" s="1144"/>
      <c r="U15" s="1144"/>
      <c r="V15" s="1144"/>
      <c r="W15" s="1144"/>
      <c r="X15" s="1144"/>
      <c r="Y15" s="1144"/>
      <c r="Z15" s="1144"/>
      <c r="AA15" s="1144"/>
      <c r="AB15" s="1144"/>
      <c r="AC15" s="1144"/>
      <c r="AD15" s="1144"/>
      <c r="AE15" s="1144"/>
      <c r="AF15" s="1144"/>
      <c r="AG15" s="1144"/>
      <c r="AH15" s="1144"/>
      <c r="AI15" s="1144"/>
      <c r="AJ15" s="1144"/>
      <c r="AK15" s="1144"/>
      <c r="AL15" s="1144"/>
      <c r="AM15" s="1144"/>
      <c r="AN15" s="1144"/>
      <c r="AO15" s="1144"/>
      <c r="AP15" s="1144"/>
      <c r="AQ15" s="1144"/>
      <c r="AR15" s="1144"/>
      <c r="AS15" s="1144"/>
      <c r="AT15" s="1144"/>
      <c r="AU15" s="1144"/>
      <c r="AV15" s="1144"/>
      <c r="AW15" s="1144"/>
      <c r="AX15" s="1144"/>
      <c r="AY15" s="1144"/>
      <c r="AZ15" s="1144"/>
      <c r="BA15" s="1144"/>
      <c r="BB15" s="1144"/>
      <c r="BC15" s="1144"/>
      <c r="BD15" s="1144"/>
      <c r="BE15" s="1144"/>
      <c r="BF15" s="1144"/>
      <c r="BG15" s="1144"/>
      <c r="BH15" s="1144"/>
      <c r="BI15" s="1144"/>
      <c r="BJ15" s="1144"/>
      <c r="BK15" s="1144"/>
      <c r="BL15" s="1144"/>
      <c r="BM15" s="1144"/>
      <c r="BN15" s="1144"/>
      <c r="BO15" s="1144"/>
      <c r="BP15" s="1144"/>
      <c r="BQ15" s="1144"/>
      <c r="BR15" s="1144"/>
      <c r="BS15" s="1144"/>
      <c r="BT15" s="1144"/>
      <c r="BU15" s="1144"/>
      <c r="BV15" s="1144"/>
      <c r="BW15" s="1144"/>
      <c r="BX15" s="1144"/>
      <c r="BY15" s="1144"/>
      <c r="BZ15" s="1144"/>
      <c r="CA15" s="1144"/>
      <c r="CB15" s="1144"/>
      <c r="CC15" s="1144"/>
      <c r="CD15" s="1144"/>
      <c r="CE15" s="1144"/>
      <c r="CF15" s="1144"/>
      <c r="CG15" s="1144"/>
      <c r="CH15" s="1144"/>
      <c r="CI15" s="1144"/>
      <c r="CJ15" s="1144"/>
      <c r="CK15" s="1144"/>
      <c r="CL15" s="1144"/>
      <c r="CM15" s="1144"/>
      <c r="CN15" s="1144"/>
      <c r="CO15" s="1144"/>
      <c r="CP15" s="1144"/>
      <c r="CQ15" s="1144"/>
      <c r="CR15" s="1144"/>
      <c r="CS15" s="1144"/>
      <c r="CT15" s="1144"/>
      <c r="CU15" s="1144"/>
      <c r="CV15" s="1144"/>
      <c r="CW15" s="1144"/>
      <c r="CX15" s="1144"/>
      <c r="CY15" s="1144"/>
      <c r="CZ15" s="1144"/>
      <c r="DA15" s="1144"/>
      <c r="DB15" s="1144"/>
      <c r="DC15" s="1144"/>
      <c r="DD15" s="1144"/>
      <c r="DE15" s="1144"/>
      <c r="DF15" s="1144"/>
      <c r="DG15" s="1144"/>
      <c r="DH15" s="1144"/>
      <c r="DI15" s="1144"/>
      <c r="DJ15" s="1144"/>
      <c r="DK15" s="1144"/>
      <c r="DL15" s="1144"/>
      <c r="DM15" s="1144"/>
      <c r="DN15" s="1144"/>
      <c r="DO15" s="1144"/>
      <c r="DP15" s="1144"/>
      <c r="DQ15" s="1144"/>
      <c r="DR15" s="1144"/>
      <c r="DS15" s="1144"/>
      <c r="DT15" s="1144"/>
      <c r="DU15" s="1144"/>
      <c r="DV15" s="1144"/>
      <c r="DW15" s="1144"/>
      <c r="DX15" s="1144"/>
      <c r="DY15" s="1144"/>
      <c r="DZ15" s="1144"/>
      <c r="EA15" s="1144"/>
      <c r="EB15" s="1144"/>
      <c r="EC15" s="1144"/>
      <c r="ED15" s="1144"/>
      <c r="EE15" s="1144"/>
      <c r="EF15" s="1144"/>
      <c r="EG15" s="1144"/>
      <c r="EH15" s="1144"/>
      <c r="EI15" s="1144"/>
      <c r="EJ15" s="1144"/>
      <c r="EK15" s="1144"/>
      <c r="EL15" s="1144"/>
      <c r="EM15" s="1144"/>
      <c r="EN15" s="1144"/>
      <c r="EO15" s="1144"/>
      <c r="EP15" s="1144"/>
      <c r="EQ15" s="1144"/>
      <c r="ER15" s="1144"/>
      <c r="ES15" s="1144"/>
      <c r="ET15" s="1144"/>
      <c r="EU15" s="1144"/>
      <c r="EV15" s="1144"/>
      <c r="EW15" s="1144"/>
      <c r="EX15" s="1144"/>
      <c r="EY15" s="1144"/>
      <c r="EZ15" s="1144"/>
      <c r="FA15" s="1144"/>
      <c r="FB15" s="1144"/>
      <c r="FC15" s="1144"/>
      <c r="FD15" s="1144"/>
      <c r="FE15" s="1144"/>
      <c r="FF15" s="1144"/>
      <c r="FG15" s="1144"/>
      <c r="FH15" s="1144"/>
      <c r="FI15" s="1144"/>
      <c r="FJ15" s="1144"/>
      <c r="FK15" s="1144"/>
      <c r="FL15" s="1144"/>
      <c r="FM15" s="1144"/>
      <c r="FN15" s="1144"/>
      <c r="FO15" s="1144"/>
      <c r="FP15" s="1144"/>
      <c r="FQ15" s="1144"/>
      <c r="FR15" s="1144"/>
      <c r="FS15" s="1144"/>
      <c r="FT15" s="1144"/>
      <c r="FU15" s="1144"/>
      <c r="FV15" s="1144"/>
      <c r="FW15" s="1144"/>
      <c r="FX15" s="1144"/>
      <c r="FY15" s="1144"/>
      <c r="FZ15" s="1144"/>
      <c r="GA15" s="1144"/>
      <c r="GB15" s="1144"/>
      <c r="GC15" s="1144"/>
      <c r="GD15" s="1144"/>
      <c r="GE15" s="1144"/>
      <c r="GF15" s="1144"/>
      <c r="GG15" s="1144"/>
      <c r="GH15" s="1144"/>
      <c r="GI15" s="1144"/>
      <c r="GJ15" s="1144"/>
      <c r="GK15" s="1144"/>
      <c r="GL15" s="1144"/>
      <c r="GM15" s="1144"/>
      <c r="GN15" s="1144"/>
      <c r="GO15" s="1144"/>
      <c r="GP15" s="1144"/>
      <c r="GQ15" s="1144"/>
      <c r="GR15" s="1144"/>
      <c r="GS15" s="1144"/>
      <c r="GT15" s="1144"/>
      <c r="GU15" s="1144"/>
      <c r="GV15" s="1144"/>
      <c r="GW15" s="1144"/>
      <c r="GX15" s="1144"/>
      <c r="GY15" s="1144"/>
      <c r="GZ15" s="1144"/>
      <c r="HA15" s="1144"/>
      <c r="HB15" s="1144"/>
      <c r="HC15" s="1144"/>
      <c r="HD15" s="1144"/>
      <c r="HE15" s="1144"/>
      <c r="HF15" s="1144"/>
      <c r="HG15" s="1144"/>
      <c r="HH15" s="1144"/>
      <c r="HI15" s="1144"/>
      <c r="HJ15" s="1144"/>
      <c r="HK15" s="1144"/>
      <c r="HL15" s="1144"/>
      <c r="HM15" s="1144"/>
      <c r="HN15" s="1144"/>
      <c r="HO15" s="1144"/>
      <c r="HP15" s="1144"/>
      <c r="HQ15" s="1144"/>
      <c r="HR15" s="1144"/>
      <c r="HS15" s="1144"/>
      <c r="HT15" s="1144"/>
      <c r="HU15" s="1144"/>
      <c r="HV15" s="1144"/>
      <c r="HW15" s="1144"/>
      <c r="HX15" s="1144"/>
      <c r="HY15" s="1144"/>
      <c r="HZ15" s="1144"/>
      <c r="IA15" s="1144"/>
      <c r="IB15" s="1144"/>
      <c r="IC15" s="1144"/>
      <c r="ID15" s="1144"/>
      <c r="IE15" s="1144"/>
      <c r="IF15" s="1144"/>
      <c r="IG15" s="1144"/>
      <c r="IH15" s="1144"/>
      <c r="II15" s="1144"/>
      <c r="IJ15" s="1144"/>
      <c r="IK15" s="1144"/>
      <c r="IL15" s="1144"/>
      <c r="IM15" s="1144"/>
      <c r="IN15" s="1144"/>
      <c r="IO15" s="1144"/>
      <c r="IP15" s="1144"/>
      <c r="IQ15" s="1144"/>
      <c r="IR15" s="1144"/>
      <c r="IS15" s="1144"/>
      <c r="IT15" s="1144"/>
      <c r="IU15" s="1144"/>
    </row>
    <row r="16" spans="1:255" s="315" customFormat="1" ht="170.25" customHeight="1">
      <c r="A16" s="248" t="s">
        <v>84</v>
      </c>
      <c r="B16" s="244" t="s">
        <v>613</v>
      </c>
      <c r="C16" s="244" t="s">
        <v>450</v>
      </c>
      <c r="D16" s="1148" t="s">
        <v>2016</v>
      </c>
      <c r="E16" s="457">
        <f>IF(F16="na",0,1)</f>
        <v>1</v>
      </c>
      <c r="F16" s="2050"/>
      <c r="G16" s="2050"/>
      <c r="H16" s="2010"/>
      <c r="I16" s="1151" t="str">
        <f>IF(ISBLANK(F16),IF(G16&gt;E16,Calculation1!$B$84,""),IF(F16="na","",IF(OR(F16="na",ISNUMBER(F16)),IF(F16+G16&gt;E16,Calculation1!$B$84,""),Calculation1!$B$85)))</f>
        <v/>
      </c>
      <c r="J16" s="905"/>
      <c r="K16" s="906"/>
      <c r="L16" s="349"/>
    </row>
    <row r="17" spans="1:255" s="315" customFormat="1" ht="218.25" customHeight="1" thickBot="1">
      <c r="A17" s="889" t="s">
        <v>85</v>
      </c>
      <c r="B17" s="1131" t="s">
        <v>614</v>
      </c>
      <c r="C17" s="1131" t="s">
        <v>2051</v>
      </c>
      <c r="D17" s="1153" t="s">
        <v>2052</v>
      </c>
      <c r="E17" s="837">
        <v>2</v>
      </c>
      <c r="F17" s="2049"/>
      <c r="G17" s="2049"/>
      <c r="H17" s="907"/>
      <c r="I17" s="1151" t="str">
        <f>IF(ISBLANK(F17),IF(G17&gt;E17,Calculation1!$B$84,""),IF(F17="na","",IF(OR(F17="na",ISNUMBER(F17)),IF(F17+G17&gt;E17,Calculation1!$B$84,""),Calculation1!$B$85)))</f>
        <v/>
      </c>
      <c r="J17" s="905"/>
      <c r="K17" s="906"/>
      <c r="L17" s="349"/>
    </row>
    <row r="18" spans="1:255" s="315" customFormat="1" ht="285.75" customHeight="1">
      <c r="A18" s="890"/>
      <c r="B18" s="891"/>
      <c r="C18" s="891"/>
      <c r="D18" s="1153" t="s">
        <v>2077</v>
      </c>
      <c r="E18" s="837">
        <f>IF(F18="na",0,1)</f>
        <v>1</v>
      </c>
      <c r="F18" s="2049"/>
      <c r="G18" s="2049"/>
      <c r="H18" s="907"/>
      <c r="I18" s="1151"/>
      <c r="J18" s="905"/>
      <c r="K18" s="906"/>
      <c r="L18" s="349"/>
    </row>
    <row r="19" spans="1:255" ht="113.25" customHeight="1">
      <c r="A19" s="2238" t="s">
        <v>86</v>
      </c>
      <c r="B19" s="2241" t="s">
        <v>750</v>
      </c>
      <c r="C19" s="2244" t="s">
        <v>423</v>
      </c>
      <c r="D19" s="1148" t="s">
        <v>2079</v>
      </c>
      <c r="E19" s="456">
        <v>1</v>
      </c>
      <c r="F19" s="2050"/>
      <c r="G19" s="2050"/>
      <c r="H19" s="2010"/>
      <c r="I19" s="1151" t="str">
        <f>IF(OR(ISTEXT(F19)=TRUE,ISTEXT(G19)=TRUE),Calculation1!$B$87,IF(F19+G19&gt;E19,Calculation1!$B$84,""))</f>
        <v/>
      </c>
      <c r="J19" s="905"/>
      <c r="K19" s="906"/>
      <c r="L19" s="899"/>
    </row>
    <row r="20" spans="1:255" s="912" customFormat="1" ht="82.5" customHeight="1">
      <c r="A20" s="2239"/>
      <c r="B20" s="2242"/>
      <c r="C20" s="2245"/>
      <c r="D20" s="1129" t="s">
        <v>2017</v>
      </c>
      <c r="E20" s="855">
        <v>1</v>
      </c>
      <c r="F20" s="2058"/>
      <c r="G20" s="2058"/>
      <c r="H20" s="856"/>
      <c r="I20" s="1151"/>
      <c r="J20" s="905"/>
      <c r="K20" s="906"/>
      <c r="L20" s="899"/>
      <c r="M20" s="1150"/>
      <c r="N20" s="1150"/>
      <c r="O20" s="1150"/>
      <c r="P20" s="1150"/>
      <c r="Q20" s="1150"/>
      <c r="R20" s="1150"/>
      <c r="S20" s="1150"/>
      <c r="T20" s="1150"/>
      <c r="U20" s="1150"/>
      <c r="V20" s="1150"/>
      <c r="W20" s="1150"/>
      <c r="X20" s="1150"/>
      <c r="Y20" s="1150"/>
      <c r="Z20" s="1150"/>
      <c r="AA20" s="1150"/>
      <c r="AB20" s="1150"/>
      <c r="AC20" s="1150"/>
      <c r="AD20" s="1150"/>
      <c r="AE20" s="1150"/>
      <c r="AF20" s="1150"/>
      <c r="AG20" s="1150"/>
      <c r="AH20" s="1150"/>
      <c r="AI20" s="1150"/>
      <c r="AJ20" s="1150"/>
      <c r="AK20" s="1150"/>
      <c r="AL20" s="1150"/>
      <c r="AM20" s="1150"/>
      <c r="AN20" s="1150"/>
      <c r="AO20" s="1150"/>
      <c r="AP20" s="1150"/>
      <c r="AQ20" s="1150"/>
      <c r="AR20" s="1150"/>
      <c r="AS20" s="1150"/>
      <c r="AT20" s="1150"/>
      <c r="AU20" s="1150"/>
      <c r="AV20" s="1150"/>
      <c r="AW20" s="1150"/>
      <c r="AX20" s="1150"/>
      <c r="AY20" s="1150"/>
      <c r="AZ20" s="1150"/>
      <c r="BA20" s="1150"/>
      <c r="BB20" s="1150"/>
      <c r="BC20" s="1150"/>
      <c r="BD20" s="1150"/>
      <c r="BE20" s="1150"/>
    </row>
    <row r="21" spans="1:255" ht="148.5" customHeight="1">
      <c r="A21" s="2240"/>
      <c r="B21" s="2243"/>
      <c r="C21" s="2246"/>
      <c r="D21" s="1134" t="s">
        <v>2018</v>
      </c>
      <c r="E21" s="855">
        <f>IF(F21="na",0,1)</f>
        <v>1</v>
      </c>
      <c r="F21" s="2058"/>
      <c r="G21" s="2058"/>
      <c r="H21" s="856"/>
      <c r="I21" s="1151" t="str">
        <f>IF(OR(ISTEXT(F21)=TRUE,ISTEXT(G21)=TRUE),Calculation1!$B$87,IF(F21+G21&gt;E21,Calculation1!$B$84,""))</f>
        <v/>
      </c>
      <c r="J21" s="905"/>
      <c r="K21" s="906"/>
      <c r="L21" s="899"/>
    </row>
    <row r="22" spans="1:255" ht="168" customHeight="1">
      <c r="A22" s="248" t="s">
        <v>87</v>
      </c>
      <c r="B22" s="1992" t="s">
        <v>751</v>
      </c>
      <c r="C22" s="1128" t="s">
        <v>621</v>
      </c>
      <c r="D22" s="1148" t="s">
        <v>2019</v>
      </c>
      <c r="E22" s="457">
        <f>IF(F22="na",0,1)</f>
        <v>1</v>
      </c>
      <c r="F22" s="2050"/>
      <c r="G22" s="2050"/>
      <c r="H22" s="2010"/>
      <c r="I22" s="1151" t="str">
        <f>IF(ISBLANK(F22),IF(G22&gt;E22,Calculation1!$B$84,""),IF(F22="na","",IF(OR(F22="na",ISNUMBER(F22)),IF(F22+G22&gt;E22,Calculation1!$B$84,""),Calculation1!$B$85)))</f>
        <v/>
      </c>
      <c r="J22" s="905"/>
      <c r="K22" s="906"/>
      <c r="L22" s="899"/>
    </row>
    <row r="23" spans="1:255" s="315" customFormat="1" ht="178.5" customHeight="1">
      <c r="A23" s="1987" t="s">
        <v>88</v>
      </c>
      <c r="B23" s="1992" t="s">
        <v>752</v>
      </c>
      <c r="C23" s="1988" t="s">
        <v>219</v>
      </c>
      <c r="D23" s="1148" t="s">
        <v>2053</v>
      </c>
      <c r="E23" s="457">
        <v>1</v>
      </c>
      <c r="F23" s="2050"/>
      <c r="G23" s="2050"/>
      <c r="H23" s="2010"/>
      <c r="I23" s="1151" t="str">
        <f>IF(ISBLANK(F23),IF(G23&gt;E23,Calculation1!$B$84,""),IF(F23="na","",IF(OR(F23="na",ISNUMBER(F23)),IF(F23+G23&gt;E23,Calculation1!$B$84,""),Calculation1!$B$85)))</f>
        <v/>
      </c>
      <c r="J23" s="905"/>
      <c r="K23" s="906"/>
      <c r="L23" s="349"/>
    </row>
    <row r="24" spans="1:255" s="315" customFormat="1" ht="178.5">
      <c r="A24" s="1987" t="s">
        <v>1184</v>
      </c>
      <c r="B24" s="471" t="s">
        <v>1228</v>
      </c>
      <c r="C24" s="1988" t="s">
        <v>2054</v>
      </c>
      <c r="D24" s="1148" t="s">
        <v>2055</v>
      </c>
      <c r="E24" s="457">
        <f>IF(F24="na",0,1)</f>
        <v>1</v>
      </c>
      <c r="F24" s="2050"/>
      <c r="G24" s="2050"/>
      <c r="H24" s="2010"/>
      <c r="I24" s="1151"/>
      <c r="J24" s="905"/>
      <c r="K24" s="906"/>
      <c r="L24" s="349"/>
    </row>
    <row r="25" spans="1:255" s="315" customFormat="1" ht="39.75" customHeight="1">
      <c r="A25" s="938" t="s">
        <v>1226</v>
      </c>
      <c r="B25" s="857" t="s">
        <v>1227</v>
      </c>
      <c r="C25" s="857"/>
      <c r="D25" s="939" t="s">
        <v>2104</v>
      </c>
      <c r="E25" s="940" t="s">
        <v>1308</v>
      </c>
      <c r="F25" s="946" t="s">
        <v>1308</v>
      </c>
      <c r="G25" s="946" t="s">
        <v>1308</v>
      </c>
      <c r="H25" s="2047"/>
      <c r="I25" s="1151"/>
      <c r="J25" s="905"/>
      <c r="K25" s="906"/>
      <c r="L25" s="349"/>
    </row>
    <row r="26" spans="1:255" s="912" customFormat="1" ht="42" customHeight="1">
      <c r="A26" s="938" t="s">
        <v>1345</v>
      </c>
      <c r="B26" s="857" t="s">
        <v>1350</v>
      </c>
      <c r="C26" s="857"/>
      <c r="D26" s="939" t="s">
        <v>2104</v>
      </c>
      <c r="E26" s="940" t="s">
        <v>1308</v>
      </c>
      <c r="F26" s="946" t="s">
        <v>1308</v>
      </c>
      <c r="G26" s="946" t="s">
        <v>1308</v>
      </c>
      <c r="H26" s="2047"/>
      <c r="I26" s="1151" t="str">
        <f>IF(OR(ISTEXT(F26)=TRUE,ISTEXT(G26)=TRUE),Calculation1!$B$87,IF(F26+G26&gt;E26,Calculation1!$B$84,""))</f>
        <v>ERROR, text not valid!</v>
      </c>
      <c r="J26" s="1144"/>
      <c r="K26" s="1144"/>
      <c r="L26" s="1144"/>
      <c r="M26" s="1144"/>
      <c r="N26" s="1144"/>
      <c r="O26" s="1144"/>
      <c r="P26" s="1144"/>
      <c r="Q26" s="1144"/>
      <c r="R26" s="1144"/>
      <c r="S26" s="1144"/>
      <c r="T26" s="1144"/>
      <c r="U26" s="1144"/>
      <c r="V26" s="1144"/>
      <c r="W26" s="1144"/>
      <c r="X26" s="1144"/>
      <c r="Y26" s="1144"/>
      <c r="Z26" s="1144"/>
      <c r="AA26" s="1144"/>
      <c r="AB26" s="1144"/>
      <c r="AC26" s="1144"/>
      <c r="AD26" s="1144"/>
      <c r="AE26" s="1144"/>
      <c r="AF26" s="1144"/>
      <c r="AG26" s="1144"/>
      <c r="AH26" s="1144"/>
      <c r="AI26" s="1144"/>
      <c r="AJ26" s="1144"/>
      <c r="AK26" s="1144"/>
      <c r="AL26" s="1144"/>
      <c r="AM26" s="1144"/>
      <c r="AN26" s="1144"/>
      <c r="AO26" s="1144"/>
      <c r="AP26" s="1144"/>
      <c r="AQ26" s="1144"/>
      <c r="AR26" s="1144"/>
      <c r="AS26" s="1144"/>
      <c r="AT26" s="1144"/>
      <c r="AU26" s="1144"/>
      <c r="AV26" s="1144"/>
      <c r="AW26" s="1144"/>
      <c r="AX26" s="1144"/>
      <c r="AY26" s="1144"/>
      <c r="AZ26" s="1144"/>
      <c r="BA26" s="1144"/>
      <c r="BB26" s="1144"/>
      <c r="BC26" s="1144"/>
      <c r="BD26" s="1144"/>
      <c r="BE26" s="1144"/>
      <c r="BF26" s="274"/>
      <c r="BG26" s="274"/>
      <c r="BH26" s="274"/>
      <c r="BI26" s="274"/>
      <c r="BJ26" s="274"/>
      <c r="BK26" s="274"/>
      <c r="BL26" s="274"/>
      <c r="BM26" s="274"/>
      <c r="BN26" s="274"/>
      <c r="BO26" s="274"/>
      <c r="BP26" s="274"/>
      <c r="BQ26" s="274"/>
      <c r="BR26" s="274"/>
      <c r="BS26" s="274"/>
      <c r="BT26" s="274"/>
      <c r="BU26" s="274"/>
      <c r="BV26" s="274"/>
      <c r="BW26" s="274"/>
      <c r="BX26" s="274"/>
      <c r="BY26" s="274"/>
      <c r="BZ26" s="274"/>
      <c r="CA26" s="274"/>
      <c r="CB26" s="274"/>
      <c r="CC26" s="274"/>
      <c r="CD26" s="274"/>
      <c r="CE26" s="274"/>
      <c r="CF26" s="274"/>
      <c r="CG26" s="274"/>
      <c r="CH26" s="274"/>
      <c r="CI26" s="274"/>
      <c r="CJ26" s="274"/>
      <c r="CK26" s="274"/>
      <c r="CL26" s="274"/>
      <c r="CM26" s="274"/>
      <c r="CN26" s="274"/>
      <c r="CO26" s="274"/>
      <c r="CP26" s="274"/>
      <c r="CQ26" s="274"/>
      <c r="CR26" s="274"/>
      <c r="CS26" s="274"/>
      <c r="CT26" s="274"/>
      <c r="CU26" s="274"/>
      <c r="CV26" s="274"/>
      <c r="CW26" s="274"/>
      <c r="CX26" s="274"/>
      <c r="CY26" s="274"/>
      <c r="CZ26" s="274"/>
      <c r="DA26" s="274"/>
      <c r="DB26" s="274"/>
      <c r="DC26" s="274"/>
      <c r="DD26" s="274"/>
      <c r="DE26" s="274"/>
      <c r="DF26" s="274"/>
      <c r="DG26" s="274"/>
      <c r="DH26" s="274"/>
      <c r="DI26" s="274"/>
      <c r="DJ26" s="274"/>
      <c r="DK26" s="274"/>
      <c r="DL26" s="274"/>
      <c r="DM26" s="274"/>
      <c r="DN26" s="274"/>
      <c r="DO26" s="274"/>
      <c r="DP26" s="274"/>
      <c r="DQ26" s="274"/>
      <c r="DR26" s="274"/>
      <c r="DS26" s="274"/>
      <c r="DT26" s="274"/>
      <c r="DU26" s="274"/>
      <c r="DV26" s="274"/>
      <c r="DW26" s="274"/>
      <c r="DX26" s="274"/>
      <c r="DY26" s="274"/>
      <c r="DZ26" s="274"/>
      <c r="EA26" s="274"/>
      <c r="EB26" s="274"/>
      <c r="EC26" s="274"/>
      <c r="ED26" s="274"/>
      <c r="EE26" s="274"/>
      <c r="EF26" s="274"/>
      <c r="EG26" s="274"/>
      <c r="EH26" s="274"/>
      <c r="EI26" s="274"/>
      <c r="EJ26" s="274"/>
      <c r="EK26" s="274"/>
      <c r="EL26" s="274"/>
      <c r="EM26" s="274"/>
      <c r="EN26" s="274"/>
      <c r="EO26" s="274"/>
      <c r="EP26" s="274"/>
      <c r="EQ26" s="274"/>
      <c r="ER26" s="274"/>
      <c r="ES26" s="274"/>
      <c r="ET26" s="274"/>
      <c r="EU26" s="274"/>
      <c r="EV26" s="274"/>
      <c r="EW26" s="274"/>
      <c r="EX26" s="274"/>
      <c r="EY26" s="274"/>
      <c r="EZ26" s="274"/>
      <c r="FA26" s="274"/>
      <c r="FB26" s="274"/>
      <c r="FC26" s="274"/>
      <c r="FD26" s="274"/>
      <c r="FE26" s="274"/>
      <c r="FF26" s="274"/>
      <c r="FG26" s="274"/>
      <c r="FH26" s="274"/>
      <c r="FI26" s="274"/>
      <c r="FJ26" s="274"/>
      <c r="FK26" s="274"/>
      <c r="FL26" s="274"/>
      <c r="FM26" s="274"/>
      <c r="FN26" s="274"/>
      <c r="FO26" s="274"/>
      <c r="FP26" s="274"/>
      <c r="FQ26" s="274"/>
      <c r="FR26" s="274"/>
      <c r="FS26" s="274"/>
      <c r="FT26" s="274"/>
      <c r="FU26" s="274"/>
      <c r="FV26" s="274"/>
      <c r="FW26" s="274"/>
      <c r="FX26" s="274"/>
      <c r="FY26" s="274"/>
      <c r="FZ26" s="274"/>
      <c r="GA26" s="274"/>
      <c r="GB26" s="274"/>
      <c r="GC26" s="274"/>
      <c r="GD26" s="274"/>
      <c r="GE26" s="274"/>
      <c r="GF26" s="274"/>
      <c r="GG26" s="274"/>
      <c r="GH26" s="274"/>
      <c r="GI26" s="274"/>
      <c r="GJ26" s="274"/>
      <c r="GK26" s="274"/>
      <c r="GL26" s="274"/>
      <c r="GM26" s="274"/>
      <c r="GN26" s="274"/>
      <c r="GO26" s="274"/>
      <c r="GP26" s="274"/>
      <c r="GQ26" s="274"/>
      <c r="GR26" s="274"/>
      <c r="GS26" s="274"/>
      <c r="GT26" s="274"/>
      <c r="GU26" s="274"/>
      <c r="GV26" s="274"/>
      <c r="GW26" s="274"/>
      <c r="GX26" s="274"/>
      <c r="GY26" s="274"/>
      <c r="GZ26" s="274"/>
      <c r="HA26" s="274"/>
      <c r="HB26" s="274"/>
      <c r="HC26" s="274"/>
      <c r="HD26" s="274"/>
      <c r="HE26" s="274"/>
      <c r="HF26" s="274"/>
      <c r="HG26" s="274"/>
      <c r="HH26" s="274"/>
      <c r="HI26" s="274"/>
      <c r="HJ26" s="274"/>
      <c r="HK26" s="274"/>
      <c r="HL26" s="274"/>
      <c r="HM26" s="274"/>
      <c r="HN26" s="274"/>
      <c r="HO26" s="274"/>
      <c r="HP26" s="274"/>
      <c r="HQ26" s="274"/>
      <c r="HR26" s="274"/>
      <c r="HS26" s="274"/>
      <c r="HT26" s="274"/>
      <c r="HU26" s="274"/>
      <c r="HV26" s="274"/>
      <c r="HW26" s="274"/>
      <c r="HX26" s="274"/>
      <c r="HY26" s="274"/>
      <c r="HZ26" s="274"/>
      <c r="IA26" s="274"/>
      <c r="IB26" s="274"/>
      <c r="IC26" s="274"/>
      <c r="ID26" s="274"/>
      <c r="IE26" s="274"/>
      <c r="IF26" s="274"/>
      <c r="IG26" s="274"/>
      <c r="IH26" s="274"/>
      <c r="II26" s="274"/>
      <c r="IJ26" s="274"/>
      <c r="IK26" s="274"/>
      <c r="IL26" s="274"/>
      <c r="IM26" s="274"/>
      <c r="IN26" s="274"/>
      <c r="IO26" s="274"/>
      <c r="IP26" s="274"/>
      <c r="IQ26" s="274"/>
      <c r="IR26" s="274"/>
      <c r="IS26" s="274"/>
      <c r="IT26" s="274"/>
      <c r="IU26" s="274"/>
    </row>
    <row r="27" spans="1:255" s="912" customFormat="1" ht="25.5">
      <c r="A27" s="938" t="s">
        <v>1346</v>
      </c>
      <c r="B27" s="857" t="s">
        <v>1351</v>
      </c>
      <c r="C27" s="857"/>
      <c r="D27" s="939" t="s">
        <v>2104</v>
      </c>
      <c r="E27" s="940" t="s">
        <v>1308</v>
      </c>
      <c r="F27" s="946" t="s">
        <v>1308</v>
      </c>
      <c r="G27" s="946" t="s">
        <v>1308</v>
      </c>
      <c r="H27" s="2047"/>
      <c r="I27" s="1151" t="str">
        <f>IF(OR(ISTEXT(F27)=TRUE,ISTEXT(G27)=TRUE),Calculation1!$B$87,IF(F27+G27&gt;E27,Calculation1!$B$84,""))</f>
        <v>ERROR, text not valid!</v>
      </c>
      <c r="J27" s="1144"/>
      <c r="K27" s="1144"/>
      <c r="L27" s="1144"/>
      <c r="M27" s="1144"/>
      <c r="N27" s="1144"/>
      <c r="O27" s="1144"/>
      <c r="P27" s="1144"/>
      <c r="Q27" s="1144"/>
      <c r="R27" s="1144"/>
      <c r="S27" s="1144"/>
      <c r="T27" s="1144"/>
      <c r="U27" s="1144"/>
      <c r="V27" s="1144"/>
      <c r="W27" s="1144"/>
      <c r="X27" s="1144"/>
      <c r="Y27" s="1144"/>
      <c r="Z27" s="1144"/>
      <c r="AA27" s="1144"/>
      <c r="AB27" s="1144"/>
      <c r="AC27" s="1144"/>
      <c r="AD27" s="1144"/>
      <c r="AE27" s="1144"/>
      <c r="AF27" s="1144"/>
      <c r="AG27" s="1144"/>
      <c r="AH27" s="1144"/>
      <c r="AI27" s="1144"/>
      <c r="AJ27" s="1144"/>
      <c r="AK27" s="1144"/>
      <c r="AL27" s="1144"/>
      <c r="AM27" s="1144"/>
      <c r="AN27" s="1144"/>
      <c r="AO27" s="1144"/>
      <c r="AP27" s="1144"/>
      <c r="AQ27" s="1144"/>
      <c r="AR27" s="1144"/>
      <c r="AS27" s="1144"/>
      <c r="AT27" s="1144"/>
      <c r="AU27" s="1144"/>
      <c r="AV27" s="1144"/>
      <c r="AW27" s="1144"/>
      <c r="AX27" s="1144"/>
      <c r="AY27" s="1144"/>
      <c r="AZ27" s="1144"/>
      <c r="BA27" s="1144"/>
      <c r="BB27" s="1144"/>
      <c r="BC27" s="1144"/>
      <c r="BD27" s="1144"/>
      <c r="BE27" s="1144"/>
      <c r="BF27" s="274"/>
      <c r="BG27" s="274"/>
      <c r="BH27" s="274"/>
      <c r="BI27" s="274"/>
      <c r="BJ27" s="274"/>
      <c r="BK27" s="274"/>
      <c r="BL27" s="274"/>
      <c r="BM27" s="274"/>
      <c r="BN27" s="274"/>
      <c r="BO27" s="274"/>
      <c r="BP27" s="274"/>
      <c r="BQ27" s="274"/>
      <c r="BR27" s="274"/>
      <c r="BS27" s="274"/>
      <c r="BT27" s="274"/>
      <c r="BU27" s="274"/>
      <c r="BV27" s="274"/>
      <c r="BW27" s="274"/>
      <c r="BX27" s="274"/>
      <c r="BY27" s="274"/>
      <c r="BZ27" s="274"/>
      <c r="CA27" s="274"/>
      <c r="CB27" s="274"/>
      <c r="CC27" s="274"/>
      <c r="CD27" s="274"/>
      <c r="CE27" s="274"/>
      <c r="CF27" s="274"/>
      <c r="CG27" s="274"/>
      <c r="CH27" s="274"/>
      <c r="CI27" s="274"/>
      <c r="CJ27" s="274"/>
      <c r="CK27" s="274"/>
      <c r="CL27" s="274"/>
      <c r="CM27" s="274"/>
      <c r="CN27" s="274"/>
      <c r="CO27" s="274"/>
      <c r="CP27" s="274"/>
      <c r="CQ27" s="274"/>
      <c r="CR27" s="274"/>
      <c r="CS27" s="274"/>
      <c r="CT27" s="274"/>
      <c r="CU27" s="274"/>
      <c r="CV27" s="274"/>
      <c r="CW27" s="274"/>
      <c r="CX27" s="274"/>
      <c r="CY27" s="274"/>
      <c r="CZ27" s="274"/>
      <c r="DA27" s="274"/>
      <c r="DB27" s="274"/>
      <c r="DC27" s="274"/>
      <c r="DD27" s="274"/>
      <c r="DE27" s="274"/>
      <c r="DF27" s="274"/>
      <c r="DG27" s="274"/>
      <c r="DH27" s="274"/>
      <c r="DI27" s="274"/>
      <c r="DJ27" s="274"/>
      <c r="DK27" s="274"/>
      <c r="DL27" s="274"/>
      <c r="DM27" s="274"/>
      <c r="DN27" s="274"/>
      <c r="DO27" s="274"/>
      <c r="DP27" s="274"/>
      <c r="DQ27" s="274"/>
      <c r="DR27" s="274"/>
      <c r="DS27" s="274"/>
      <c r="DT27" s="274"/>
      <c r="DU27" s="274"/>
      <c r="DV27" s="274"/>
      <c r="DW27" s="274"/>
      <c r="DX27" s="274"/>
      <c r="DY27" s="274"/>
      <c r="DZ27" s="274"/>
      <c r="EA27" s="274"/>
      <c r="EB27" s="274"/>
      <c r="EC27" s="274"/>
      <c r="ED27" s="274"/>
      <c r="EE27" s="274"/>
      <c r="EF27" s="274"/>
      <c r="EG27" s="274"/>
      <c r="EH27" s="274"/>
      <c r="EI27" s="274"/>
      <c r="EJ27" s="274"/>
      <c r="EK27" s="274"/>
      <c r="EL27" s="274"/>
      <c r="EM27" s="274"/>
      <c r="EN27" s="274"/>
      <c r="EO27" s="274"/>
      <c r="EP27" s="274"/>
      <c r="EQ27" s="274"/>
      <c r="ER27" s="274"/>
      <c r="ES27" s="274"/>
      <c r="ET27" s="274"/>
      <c r="EU27" s="274"/>
      <c r="EV27" s="274"/>
      <c r="EW27" s="274"/>
      <c r="EX27" s="274"/>
      <c r="EY27" s="274"/>
      <c r="EZ27" s="274"/>
      <c r="FA27" s="274"/>
      <c r="FB27" s="274"/>
      <c r="FC27" s="274"/>
      <c r="FD27" s="274"/>
      <c r="FE27" s="274"/>
      <c r="FF27" s="274"/>
      <c r="FG27" s="274"/>
      <c r="FH27" s="274"/>
      <c r="FI27" s="274"/>
      <c r="FJ27" s="274"/>
      <c r="FK27" s="274"/>
      <c r="FL27" s="274"/>
      <c r="FM27" s="274"/>
      <c r="FN27" s="274"/>
      <c r="FO27" s="274"/>
      <c r="FP27" s="274"/>
      <c r="FQ27" s="274"/>
      <c r="FR27" s="274"/>
      <c r="FS27" s="274"/>
      <c r="FT27" s="274"/>
      <c r="FU27" s="274"/>
      <c r="FV27" s="274"/>
      <c r="FW27" s="274"/>
      <c r="FX27" s="274"/>
      <c r="FY27" s="274"/>
      <c r="FZ27" s="274"/>
      <c r="GA27" s="274"/>
      <c r="GB27" s="274"/>
      <c r="GC27" s="274"/>
      <c r="GD27" s="274"/>
      <c r="GE27" s="274"/>
      <c r="GF27" s="274"/>
      <c r="GG27" s="274"/>
      <c r="GH27" s="274"/>
      <c r="GI27" s="274"/>
      <c r="GJ27" s="274"/>
      <c r="GK27" s="274"/>
      <c r="GL27" s="274"/>
      <c r="GM27" s="274"/>
      <c r="GN27" s="274"/>
      <c r="GO27" s="274"/>
      <c r="GP27" s="274"/>
      <c r="GQ27" s="274"/>
      <c r="GR27" s="274"/>
      <c r="GS27" s="274"/>
      <c r="GT27" s="274"/>
      <c r="GU27" s="274"/>
      <c r="GV27" s="274"/>
      <c r="GW27" s="274"/>
      <c r="GX27" s="274"/>
      <c r="GY27" s="274"/>
      <c r="GZ27" s="274"/>
      <c r="HA27" s="274"/>
      <c r="HB27" s="274"/>
      <c r="HC27" s="274"/>
      <c r="HD27" s="274"/>
      <c r="HE27" s="274"/>
      <c r="HF27" s="274"/>
      <c r="HG27" s="274"/>
      <c r="HH27" s="274"/>
      <c r="HI27" s="274"/>
      <c r="HJ27" s="274"/>
      <c r="HK27" s="274"/>
      <c r="HL27" s="274"/>
      <c r="HM27" s="274"/>
      <c r="HN27" s="274"/>
      <c r="HO27" s="274"/>
      <c r="HP27" s="274"/>
      <c r="HQ27" s="274"/>
      <c r="HR27" s="274"/>
      <c r="HS27" s="274"/>
      <c r="HT27" s="274"/>
      <c r="HU27" s="274"/>
      <c r="HV27" s="274"/>
      <c r="HW27" s="274"/>
      <c r="HX27" s="274"/>
      <c r="HY27" s="274"/>
      <c r="HZ27" s="274"/>
      <c r="IA27" s="274"/>
      <c r="IB27" s="274"/>
      <c r="IC27" s="274"/>
      <c r="ID27" s="274"/>
      <c r="IE27" s="274"/>
      <c r="IF27" s="274"/>
      <c r="IG27" s="274"/>
      <c r="IH27" s="274"/>
      <c r="II27" s="274"/>
      <c r="IJ27" s="274"/>
      <c r="IK27" s="274"/>
      <c r="IL27" s="274"/>
      <c r="IM27" s="274"/>
      <c r="IN27" s="274"/>
      <c r="IO27" s="274"/>
      <c r="IP27" s="274"/>
      <c r="IQ27" s="274"/>
      <c r="IR27" s="274"/>
      <c r="IS27" s="274"/>
      <c r="IT27" s="274"/>
      <c r="IU27" s="274"/>
    </row>
    <row r="28" spans="1:255" s="912" customFormat="1" ht="22.5">
      <c r="A28" s="938" t="s">
        <v>1347</v>
      </c>
      <c r="B28" s="857" t="s">
        <v>1352</v>
      </c>
      <c r="C28" s="857"/>
      <c r="D28" s="939" t="s">
        <v>2104</v>
      </c>
      <c r="E28" s="940" t="s">
        <v>1308</v>
      </c>
      <c r="F28" s="946" t="s">
        <v>1308</v>
      </c>
      <c r="G28" s="946" t="s">
        <v>1308</v>
      </c>
      <c r="H28" s="2047"/>
      <c r="I28" s="1151" t="str">
        <f>IF(OR(ISTEXT(F28)=TRUE,ISTEXT(G28)=TRUE),Calculation1!$B$87,IF(F28+G28&gt;E28,Calculation1!$B$84,""))</f>
        <v>ERROR, text not valid!</v>
      </c>
      <c r="J28" s="1144"/>
      <c r="K28" s="1144"/>
      <c r="L28" s="1144"/>
      <c r="M28" s="1144"/>
      <c r="N28" s="1144"/>
      <c r="O28" s="1144"/>
      <c r="P28" s="1144"/>
      <c r="Q28" s="1144"/>
      <c r="R28" s="1144"/>
      <c r="S28" s="1144"/>
      <c r="T28" s="1144"/>
      <c r="U28" s="1144"/>
      <c r="V28" s="1144"/>
      <c r="W28" s="1144"/>
      <c r="X28" s="1144"/>
      <c r="Y28" s="1144"/>
      <c r="Z28" s="1144"/>
      <c r="AA28" s="1144"/>
      <c r="AB28" s="1144"/>
      <c r="AC28" s="1144"/>
      <c r="AD28" s="1144"/>
      <c r="AE28" s="1144"/>
      <c r="AF28" s="1144"/>
      <c r="AG28" s="1144"/>
      <c r="AH28" s="1144"/>
      <c r="AI28" s="1144"/>
      <c r="AJ28" s="1144"/>
      <c r="AK28" s="1144"/>
      <c r="AL28" s="1144"/>
      <c r="AM28" s="1144"/>
      <c r="AN28" s="1144"/>
      <c r="AO28" s="1144"/>
      <c r="AP28" s="1144"/>
      <c r="AQ28" s="1144"/>
      <c r="AR28" s="1144"/>
      <c r="AS28" s="1144"/>
      <c r="AT28" s="1144"/>
      <c r="AU28" s="1144"/>
      <c r="AV28" s="1144"/>
      <c r="AW28" s="1144"/>
      <c r="AX28" s="1144"/>
      <c r="AY28" s="1144"/>
      <c r="AZ28" s="1144"/>
      <c r="BA28" s="1144"/>
      <c r="BB28" s="1144"/>
      <c r="BC28" s="1144"/>
      <c r="BD28" s="1144"/>
      <c r="BE28" s="1144"/>
      <c r="BF28" s="274"/>
      <c r="BG28" s="274"/>
      <c r="BH28" s="274"/>
      <c r="BI28" s="274"/>
      <c r="BJ28" s="274"/>
      <c r="BK28" s="274"/>
      <c r="BL28" s="274"/>
      <c r="BM28" s="274"/>
      <c r="BN28" s="274"/>
      <c r="BO28" s="274"/>
      <c r="BP28" s="274"/>
      <c r="BQ28" s="274"/>
      <c r="BR28" s="274"/>
      <c r="BS28" s="274"/>
      <c r="BT28" s="274"/>
      <c r="BU28" s="274"/>
      <c r="BV28" s="274"/>
      <c r="BW28" s="274"/>
      <c r="BX28" s="274"/>
      <c r="BY28" s="274"/>
      <c r="BZ28" s="274"/>
      <c r="CA28" s="274"/>
      <c r="CB28" s="274"/>
      <c r="CC28" s="274"/>
      <c r="CD28" s="274"/>
      <c r="CE28" s="274"/>
      <c r="CF28" s="274"/>
      <c r="CG28" s="274"/>
      <c r="CH28" s="274"/>
      <c r="CI28" s="274"/>
      <c r="CJ28" s="274"/>
      <c r="CK28" s="274"/>
      <c r="CL28" s="274"/>
      <c r="CM28" s="274"/>
      <c r="CN28" s="274"/>
      <c r="CO28" s="274"/>
      <c r="CP28" s="274"/>
      <c r="CQ28" s="274"/>
      <c r="CR28" s="274"/>
      <c r="CS28" s="274"/>
      <c r="CT28" s="274"/>
      <c r="CU28" s="274"/>
      <c r="CV28" s="274"/>
      <c r="CW28" s="274"/>
      <c r="CX28" s="274"/>
      <c r="CY28" s="274"/>
      <c r="CZ28" s="274"/>
      <c r="DA28" s="274"/>
      <c r="DB28" s="274"/>
      <c r="DC28" s="274"/>
      <c r="DD28" s="274"/>
      <c r="DE28" s="274"/>
      <c r="DF28" s="274"/>
      <c r="DG28" s="274"/>
      <c r="DH28" s="274"/>
      <c r="DI28" s="274"/>
      <c r="DJ28" s="274"/>
      <c r="DK28" s="274"/>
      <c r="DL28" s="274"/>
      <c r="DM28" s="274"/>
      <c r="DN28" s="274"/>
      <c r="DO28" s="274"/>
      <c r="DP28" s="274"/>
      <c r="DQ28" s="274"/>
      <c r="DR28" s="274"/>
      <c r="DS28" s="274"/>
      <c r="DT28" s="274"/>
      <c r="DU28" s="274"/>
      <c r="DV28" s="274"/>
      <c r="DW28" s="274"/>
      <c r="DX28" s="274"/>
      <c r="DY28" s="274"/>
      <c r="DZ28" s="274"/>
      <c r="EA28" s="274"/>
      <c r="EB28" s="274"/>
      <c r="EC28" s="274"/>
      <c r="ED28" s="274"/>
      <c r="EE28" s="274"/>
      <c r="EF28" s="274"/>
      <c r="EG28" s="274"/>
      <c r="EH28" s="274"/>
      <c r="EI28" s="274"/>
      <c r="EJ28" s="274"/>
      <c r="EK28" s="274"/>
      <c r="EL28" s="274"/>
      <c r="EM28" s="274"/>
      <c r="EN28" s="274"/>
      <c r="EO28" s="274"/>
      <c r="EP28" s="274"/>
      <c r="EQ28" s="274"/>
      <c r="ER28" s="274"/>
      <c r="ES28" s="274"/>
      <c r="ET28" s="274"/>
      <c r="EU28" s="274"/>
      <c r="EV28" s="274"/>
      <c r="EW28" s="274"/>
      <c r="EX28" s="274"/>
      <c r="EY28" s="274"/>
      <c r="EZ28" s="274"/>
      <c r="FA28" s="274"/>
      <c r="FB28" s="274"/>
      <c r="FC28" s="274"/>
      <c r="FD28" s="274"/>
      <c r="FE28" s="274"/>
      <c r="FF28" s="274"/>
      <c r="FG28" s="274"/>
      <c r="FH28" s="274"/>
      <c r="FI28" s="274"/>
      <c r="FJ28" s="274"/>
      <c r="FK28" s="274"/>
      <c r="FL28" s="274"/>
      <c r="FM28" s="274"/>
      <c r="FN28" s="274"/>
      <c r="FO28" s="274"/>
      <c r="FP28" s="274"/>
      <c r="FQ28" s="274"/>
      <c r="FR28" s="274"/>
      <c r="FS28" s="274"/>
      <c r="FT28" s="274"/>
      <c r="FU28" s="274"/>
      <c r="FV28" s="274"/>
      <c r="FW28" s="274"/>
      <c r="FX28" s="274"/>
      <c r="FY28" s="274"/>
      <c r="FZ28" s="274"/>
      <c r="GA28" s="274"/>
      <c r="GB28" s="274"/>
      <c r="GC28" s="274"/>
      <c r="GD28" s="274"/>
      <c r="GE28" s="274"/>
      <c r="GF28" s="274"/>
      <c r="GG28" s="274"/>
      <c r="GH28" s="274"/>
      <c r="GI28" s="274"/>
      <c r="GJ28" s="274"/>
      <c r="GK28" s="274"/>
      <c r="GL28" s="274"/>
      <c r="GM28" s="274"/>
      <c r="GN28" s="274"/>
      <c r="GO28" s="274"/>
      <c r="GP28" s="274"/>
      <c r="GQ28" s="274"/>
      <c r="GR28" s="274"/>
      <c r="GS28" s="274"/>
      <c r="GT28" s="274"/>
      <c r="GU28" s="274"/>
      <c r="GV28" s="274"/>
      <c r="GW28" s="274"/>
      <c r="GX28" s="274"/>
      <c r="GY28" s="274"/>
      <c r="GZ28" s="274"/>
      <c r="HA28" s="274"/>
      <c r="HB28" s="274"/>
      <c r="HC28" s="274"/>
      <c r="HD28" s="274"/>
      <c r="HE28" s="274"/>
      <c r="HF28" s="274"/>
      <c r="HG28" s="274"/>
      <c r="HH28" s="274"/>
      <c r="HI28" s="274"/>
      <c r="HJ28" s="274"/>
      <c r="HK28" s="274"/>
      <c r="HL28" s="274"/>
      <c r="HM28" s="274"/>
      <c r="HN28" s="274"/>
      <c r="HO28" s="274"/>
      <c r="HP28" s="274"/>
      <c r="HQ28" s="274"/>
      <c r="HR28" s="274"/>
      <c r="HS28" s="274"/>
      <c r="HT28" s="274"/>
      <c r="HU28" s="274"/>
      <c r="HV28" s="274"/>
      <c r="HW28" s="274"/>
      <c r="HX28" s="274"/>
      <c r="HY28" s="274"/>
      <c r="HZ28" s="274"/>
      <c r="IA28" s="274"/>
      <c r="IB28" s="274"/>
      <c r="IC28" s="274"/>
      <c r="ID28" s="274"/>
      <c r="IE28" s="274"/>
      <c r="IF28" s="274"/>
      <c r="IG28" s="274"/>
      <c r="IH28" s="274"/>
      <c r="II28" s="274"/>
      <c r="IJ28" s="274"/>
      <c r="IK28" s="274"/>
      <c r="IL28" s="274"/>
      <c r="IM28" s="274"/>
      <c r="IN28" s="274"/>
      <c r="IO28" s="274"/>
      <c r="IP28" s="274"/>
      <c r="IQ28" s="274"/>
      <c r="IR28" s="274"/>
      <c r="IS28" s="274"/>
      <c r="IT28" s="274"/>
      <c r="IU28" s="274"/>
    </row>
    <row r="29" spans="1:255" s="912" customFormat="1" ht="38.25">
      <c r="A29" s="938" t="s">
        <v>1348</v>
      </c>
      <c r="B29" s="857" t="s">
        <v>1353</v>
      </c>
      <c r="C29" s="857"/>
      <c r="D29" s="939" t="s">
        <v>2104</v>
      </c>
      <c r="E29" s="940" t="s">
        <v>1308</v>
      </c>
      <c r="F29" s="946" t="s">
        <v>1308</v>
      </c>
      <c r="G29" s="946" t="s">
        <v>1308</v>
      </c>
      <c r="H29" s="2047"/>
      <c r="I29" s="1151" t="str">
        <f>IF(OR(ISTEXT(F29)=TRUE,ISTEXT(G29)=TRUE),Calculation1!$B$87,IF(F29+G29&gt;E29,Calculation1!$B$84,""))</f>
        <v>ERROR, text not valid!</v>
      </c>
      <c r="J29" s="1144"/>
      <c r="K29" s="1144"/>
      <c r="L29" s="1144"/>
      <c r="M29" s="1144"/>
      <c r="N29" s="1144"/>
      <c r="O29" s="1144"/>
      <c r="P29" s="1144"/>
      <c r="Q29" s="1144"/>
      <c r="R29" s="1144"/>
      <c r="S29" s="1144"/>
      <c r="T29" s="1144"/>
      <c r="U29" s="1144"/>
      <c r="V29" s="1144"/>
      <c r="W29" s="1144"/>
      <c r="X29" s="1144"/>
      <c r="Y29" s="1144"/>
      <c r="Z29" s="1144"/>
      <c r="AA29" s="1144"/>
      <c r="AB29" s="1144"/>
      <c r="AC29" s="1144"/>
      <c r="AD29" s="1144"/>
      <c r="AE29" s="1144"/>
      <c r="AF29" s="1144"/>
      <c r="AG29" s="1144"/>
      <c r="AH29" s="1144"/>
      <c r="AI29" s="1144"/>
      <c r="AJ29" s="1144"/>
      <c r="AK29" s="1144"/>
      <c r="AL29" s="1144"/>
      <c r="AM29" s="1144"/>
      <c r="AN29" s="1144"/>
      <c r="AO29" s="1144"/>
      <c r="AP29" s="1144"/>
      <c r="AQ29" s="1144"/>
      <c r="AR29" s="1144"/>
      <c r="AS29" s="1144"/>
      <c r="AT29" s="1144"/>
      <c r="AU29" s="1144"/>
      <c r="AV29" s="1144"/>
      <c r="AW29" s="1144"/>
      <c r="AX29" s="1144"/>
      <c r="AY29" s="1144"/>
      <c r="AZ29" s="1144"/>
      <c r="BA29" s="1144"/>
      <c r="BB29" s="1144"/>
      <c r="BC29" s="1144"/>
      <c r="BD29" s="1144"/>
      <c r="BE29" s="1144"/>
      <c r="BF29" s="274"/>
      <c r="BG29" s="274"/>
      <c r="BH29" s="274"/>
      <c r="BI29" s="274"/>
      <c r="BJ29" s="274"/>
      <c r="BK29" s="274"/>
      <c r="BL29" s="274"/>
      <c r="BM29" s="274"/>
      <c r="BN29" s="274"/>
      <c r="BO29" s="274"/>
      <c r="BP29" s="274"/>
      <c r="BQ29" s="274"/>
      <c r="BR29" s="274"/>
      <c r="BS29" s="274"/>
      <c r="BT29" s="274"/>
      <c r="BU29" s="274"/>
      <c r="BV29" s="274"/>
      <c r="BW29" s="274"/>
      <c r="BX29" s="274"/>
      <c r="BY29" s="274"/>
      <c r="BZ29" s="274"/>
      <c r="CA29" s="274"/>
      <c r="CB29" s="274"/>
      <c r="CC29" s="274"/>
      <c r="CD29" s="274"/>
      <c r="CE29" s="274"/>
      <c r="CF29" s="274"/>
      <c r="CG29" s="274"/>
      <c r="CH29" s="274"/>
      <c r="CI29" s="274"/>
      <c r="CJ29" s="274"/>
      <c r="CK29" s="274"/>
      <c r="CL29" s="274"/>
      <c r="CM29" s="274"/>
      <c r="CN29" s="274"/>
      <c r="CO29" s="274"/>
      <c r="CP29" s="274"/>
      <c r="CQ29" s="274"/>
      <c r="CR29" s="274"/>
      <c r="CS29" s="274"/>
      <c r="CT29" s="274"/>
      <c r="CU29" s="274"/>
      <c r="CV29" s="274"/>
      <c r="CW29" s="274"/>
      <c r="CX29" s="274"/>
      <c r="CY29" s="274"/>
      <c r="CZ29" s="274"/>
      <c r="DA29" s="274"/>
      <c r="DB29" s="274"/>
      <c r="DC29" s="274"/>
      <c r="DD29" s="274"/>
      <c r="DE29" s="274"/>
      <c r="DF29" s="274"/>
      <c r="DG29" s="274"/>
      <c r="DH29" s="274"/>
      <c r="DI29" s="274"/>
      <c r="DJ29" s="274"/>
      <c r="DK29" s="274"/>
      <c r="DL29" s="274"/>
      <c r="DM29" s="274"/>
      <c r="DN29" s="274"/>
      <c r="DO29" s="274"/>
      <c r="DP29" s="274"/>
      <c r="DQ29" s="274"/>
      <c r="DR29" s="274"/>
      <c r="DS29" s="274"/>
      <c r="DT29" s="274"/>
      <c r="DU29" s="274"/>
      <c r="DV29" s="274"/>
      <c r="DW29" s="274"/>
      <c r="DX29" s="274"/>
      <c r="DY29" s="274"/>
      <c r="DZ29" s="274"/>
      <c r="EA29" s="274"/>
      <c r="EB29" s="274"/>
      <c r="EC29" s="274"/>
      <c r="ED29" s="274"/>
      <c r="EE29" s="274"/>
      <c r="EF29" s="274"/>
      <c r="EG29" s="274"/>
      <c r="EH29" s="274"/>
      <c r="EI29" s="274"/>
      <c r="EJ29" s="274"/>
      <c r="EK29" s="274"/>
      <c r="EL29" s="274"/>
      <c r="EM29" s="274"/>
      <c r="EN29" s="274"/>
      <c r="EO29" s="274"/>
      <c r="EP29" s="274"/>
      <c r="EQ29" s="274"/>
      <c r="ER29" s="274"/>
      <c r="ES29" s="274"/>
      <c r="ET29" s="274"/>
      <c r="EU29" s="274"/>
      <c r="EV29" s="274"/>
      <c r="EW29" s="274"/>
      <c r="EX29" s="274"/>
      <c r="EY29" s="274"/>
      <c r="EZ29" s="274"/>
      <c r="FA29" s="274"/>
      <c r="FB29" s="274"/>
      <c r="FC29" s="274"/>
      <c r="FD29" s="274"/>
      <c r="FE29" s="274"/>
      <c r="FF29" s="274"/>
      <c r="FG29" s="274"/>
      <c r="FH29" s="274"/>
      <c r="FI29" s="274"/>
      <c r="FJ29" s="274"/>
      <c r="FK29" s="274"/>
      <c r="FL29" s="274"/>
      <c r="FM29" s="274"/>
      <c r="FN29" s="274"/>
      <c r="FO29" s="274"/>
      <c r="FP29" s="274"/>
      <c r="FQ29" s="274"/>
      <c r="FR29" s="274"/>
      <c r="FS29" s="274"/>
      <c r="FT29" s="274"/>
      <c r="FU29" s="274"/>
      <c r="FV29" s="274"/>
      <c r="FW29" s="274"/>
      <c r="FX29" s="274"/>
      <c r="FY29" s="274"/>
      <c r="FZ29" s="274"/>
      <c r="GA29" s="274"/>
      <c r="GB29" s="274"/>
      <c r="GC29" s="274"/>
      <c r="GD29" s="274"/>
      <c r="GE29" s="274"/>
      <c r="GF29" s="274"/>
      <c r="GG29" s="274"/>
      <c r="GH29" s="274"/>
      <c r="GI29" s="274"/>
      <c r="GJ29" s="274"/>
      <c r="GK29" s="274"/>
      <c r="GL29" s="274"/>
      <c r="GM29" s="274"/>
      <c r="GN29" s="274"/>
      <c r="GO29" s="274"/>
      <c r="GP29" s="274"/>
      <c r="GQ29" s="274"/>
      <c r="GR29" s="274"/>
      <c r="GS29" s="274"/>
      <c r="GT29" s="274"/>
      <c r="GU29" s="274"/>
      <c r="GV29" s="274"/>
      <c r="GW29" s="274"/>
      <c r="GX29" s="274"/>
      <c r="GY29" s="274"/>
      <c r="GZ29" s="274"/>
      <c r="HA29" s="274"/>
      <c r="HB29" s="274"/>
      <c r="HC29" s="274"/>
      <c r="HD29" s="274"/>
      <c r="HE29" s="274"/>
      <c r="HF29" s="274"/>
      <c r="HG29" s="274"/>
      <c r="HH29" s="274"/>
      <c r="HI29" s="274"/>
      <c r="HJ29" s="274"/>
      <c r="HK29" s="274"/>
      <c r="HL29" s="274"/>
      <c r="HM29" s="274"/>
      <c r="HN29" s="274"/>
      <c r="HO29" s="274"/>
      <c r="HP29" s="274"/>
      <c r="HQ29" s="274"/>
      <c r="HR29" s="274"/>
      <c r="HS29" s="274"/>
      <c r="HT29" s="274"/>
      <c r="HU29" s="274"/>
      <c r="HV29" s="274"/>
      <c r="HW29" s="274"/>
      <c r="HX29" s="274"/>
      <c r="HY29" s="274"/>
      <c r="HZ29" s="274"/>
      <c r="IA29" s="274"/>
      <c r="IB29" s="274"/>
      <c r="IC29" s="274"/>
      <c r="ID29" s="274"/>
      <c r="IE29" s="274"/>
      <c r="IF29" s="274"/>
      <c r="IG29" s="274"/>
      <c r="IH29" s="274"/>
      <c r="II29" s="274"/>
      <c r="IJ29" s="274"/>
      <c r="IK29" s="274"/>
      <c r="IL29" s="274"/>
      <c r="IM29" s="274"/>
      <c r="IN29" s="274"/>
      <c r="IO29" s="274"/>
      <c r="IP29" s="274"/>
      <c r="IQ29" s="274"/>
      <c r="IR29" s="274"/>
      <c r="IS29" s="274"/>
      <c r="IT29" s="274"/>
      <c r="IU29" s="274"/>
    </row>
    <row r="30" spans="1:255" s="912" customFormat="1" ht="22.5">
      <c r="A30" s="938" t="s">
        <v>1349</v>
      </c>
      <c r="B30" s="857" t="s">
        <v>1354</v>
      </c>
      <c r="C30" s="857"/>
      <c r="D30" s="939" t="s">
        <v>2104</v>
      </c>
      <c r="E30" s="940" t="s">
        <v>1308</v>
      </c>
      <c r="F30" s="946" t="s">
        <v>1308</v>
      </c>
      <c r="G30" s="946" t="s">
        <v>1308</v>
      </c>
      <c r="H30" s="2047"/>
      <c r="I30" s="1151" t="str">
        <f>IF(OR(ISTEXT(F30)=TRUE,ISTEXT(G30)=TRUE),Calculation1!$B$87,IF(F30+G30&gt;E30,Calculation1!$B$84,""))</f>
        <v>ERROR, text not valid!</v>
      </c>
      <c r="J30" s="1144"/>
      <c r="K30" s="1144"/>
      <c r="L30" s="1144"/>
      <c r="M30" s="1144"/>
      <c r="N30" s="1144"/>
      <c r="O30" s="1144"/>
      <c r="P30" s="1144"/>
      <c r="Q30" s="1144"/>
      <c r="R30" s="1144"/>
      <c r="S30" s="1144"/>
      <c r="T30" s="1144"/>
      <c r="U30" s="1144"/>
      <c r="V30" s="1144"/>
      <c r="W30" s="1144"/>
      <c r="X30" s="1144"/>
      <c r="Y30" s="1144"/>
      <c r="Z30" s="1144"/>
      <c r="AA30" s="1144"/>
      <c r="AB30" s="1144"/>
      <c r="AC30" s="1144"/>
      <c r="AD30" s="1144"/>
      <c r="AE30" s="1144"/>
      <c r="AF30" s="1144"/>
      <c r="AG30" s="1144"/>
      <c r="AH30" s="1144"/>
      <c r="AI30" s="1144"/>
      <c r="AJ30" s="1144"/>
      <c r="AK30" s="1144"/>
      <c r="AL30" s="1144"/>
      <c r="AM30" s="1144"/>
      <c r="AN30" s="1144"/>
      <c r="AO30" s="1144"/>
      <c r="AP30" s="1144"/>
      <c r="AQ30" s="1144"/>
      <c r="AR30" s="1144"/>
      <c r="AS30" s="1144"/>
      <c r="AT30" s="1144"/>
      <c r="AU30" s="1144"/>
      <c r="AV30" s="1144"/>
      <c r="AW30" s="1144"/>
      <c r="AX30" s="1144"/>
      <c r="AY30" s="1144"/>
      <c r="AZ30" s="1144"/>
      <c r="BA30" s="1144"/>
      <c r="BB30" s="1144"/>
      <c r="BC30" s="1144"/>
      <c r="BD30" s="1144"/>
      <c r="BE30" s="1144"/>
      <c r="BF30" s="274"/>
      <c r="BG30" s="274"/>
      <c r="BH30" s="274"/>
      <c r="BI30" s="274"/>
      <c r="BJ30" s="274"/>
      <c r="BK30" s="274"/>
      <c r="BL30" s="274"/>
      <c r="BM30" s="274"/>
      <c r="BN30" s="274"/>
      <c r="BO30" s="274"/>
      <c r="BP30" s="274"/>
      <c r="BQ30" s="274"/>
      <c r="BR30" s="274"/>
      <c r="BS30" s="274"/>
      <c r="BT30" s="274"/>
      <c r="BU30" s="274"/>
      <c r="BV30" s="274"/>
      <c r="BW30" s="274"/>
      <c r="BX30" s="274"/>
      <c r="BY30" s="274"/>
      <c r="BZ30" s="274"/>
      <c r="CA30" s="274"/>
      <c r="CB30" s="274"/>
      <c r="CC30" s="274"/>
      <c r="CD30" s="274"/>
      <c r="CE30" s="274"/>
      <c r="CF30" s="274"/>
      <c r="CG30" s="274"/>
      <c r="CH30" s="274"/>
      <c r="CI30" s="274"/>
      <c r="CJ30" s="274"/>
      <c r="CK30" s="274"/>
      <c r="CL30" s="274"/>
      <c r="CM30" s="274"/>
      <c r="CN30" s="274"/>
      <c r="CO30" s="274"/>
      <c r="CP30" s="274"/>
      <c r="CQ30" s="274"/>
      <c r="CR30" s="274"/>
      <c r="CS30" s="274"/>
      <c r="CT30" s="274"/>
      <c r="CU30" s="274"/>
      <c r="CV30" s="274"/>
      <c r="CW30" s="274"/>
      <c r="CX30" s="274"/>
      <c r="CY30" s="274"/>
      <c r="CZ30" s="274"/>
      <c r="DA30" s="274"/>
      <c r="DB30" s="274"/>
      <c r="DC30" s="274"/>
      <c r="DD30" s="274"/>
      <c r="DE30" s="274"/>
      <c r="DF30" s="274"/>
      <c r="DG30" s="274"/>
      <c r="DH30" s="274"/>
      <c r="DI30" s="274"/>
      <c r="DJ30" s="274"/>
      <c r="DK30" s="274"/>
      <c r="DL30" s="274"/>
      <c r="DM30" s="274"/>
      <c r="DN30" s="274"/>
      <c r="DO30" s="274"/>
      <c r="DP30" s="274"/>
      <c r="DQ30" s="274"/>
      <c r="DR30" s="274"/>
      <c r="DS30" s="274"/>
      <c r="DT30" s="274"/>
      <c r="DU30" s="274"/>
      <c r="DV30" s="274"/>
      <c r="DW30" s="274"/>
      <c r="DX30" s="274"/>
      <c r="DY30" s="274"/>
      <c r="DZ30" s="274"/>
      <c r="EA30" s="274"/>
      <c r="EB30" s="274"/>
      <c r="EC30" s="274"/>
      <c r="ED30" s="274"/>
      <c r="EE30" s="274"/>
      <c r="EF30" s="274"/>
      <c r="EG30" s="274"/>
      <c r="EH30" s="274"/>
      <c r="EI30" s="274"/>
      <c r="EJ30" s="274"/>
      <c r="EK30" s="274"/>
      <c r="EL30" s="274"/>
      <c r="EM30" s="274"/>
      <c r="EN30" s="274"/>
      <c r="EO30" s="274"/>
      <c r="EP30" s="274"/>
      <c r="EQ30" s="274"/>
      <c r="ER30" s="274"/>
      <c r="ES30" s="274"/>
      <c r="ET30" s="274"/>
      <c r="EU30" s="274"/>
      <c r="EV30" s="274"/>
      <c r="EW30" s="274"/>
      <c r="EX30" s="274"/>
      <c r="EY30" s="274"/>
      <c r="EZ30" s="274"/>
      <c r="FA30" s="274"/>
      <c r="FB30" s="274"/>
      <c r="FC30" s="274"/>
      <c r="FD30" s="274"/>
      <c r="FE30" s="274"/>
      <c r="FF30" s="274"/>
      <c r="FG30" s="274"/>
      <c r="FH30" s="274"/>
      <c r="FI30" s="274"/>
      <c r="FJ30" s="274"/>
      <c r="FK30" s="274"/>
      <c r="FL30" s="274"/>
      <c r="FM30" s="274"/>
      <c r="FN30" s="274"/>
      <c r="FO30" s="274"/>
      <c r="FP30" s="274"/>
      <c r="FQ30" s="274"/>
      <c r="FR30" s="274"/>
      <c r="FS30" s="274"/>
      <c r="FT30" s="274"/>
      <c r="FU30" s="274"/>
      <c r="FV30" s="274"/>
      <c r="FW30" s="274"/>
      <c r="FX30" s="274"/>
      <c r="FY30" s="274"/>
      <c r="FZ30" s="274"/>
      <c r="GA30" s="274"/>
      <c r="GB30" s="274"/>
      <c r="GC30" s="274"/>
      <c r="GD30" s="274"/>
      <c r="GE30" s="274"/>
      <c r="GF30" s="274"/>
      <c r="GG30" s="274"/>
      <c r="GH30" s="274"/>
      <c r="GI30" s="274"/>
      <c r="GJ30" s="274"/>
      <c r="GK30" s="274"/>
      <c r="GL30" s="274"/>
      <c r="GM30" s="274"/>
      <c r="GN30" s="274"/>
      <c r="GO30" s="274"/>
      <c r="GP30" s="274"/>
      <c r="GQ30" s="274"/>
      <c r="GR30" s="274"/>
      <c r="GS30" s="274"/>
      <c r="GT30" s="274"/>
      <c r="GU30" s="274"/>
      <c r="GV30" s="274"/>
      <c r="GW30" s="274"/>
      <c r="GX30" s="274"/>
      <c r="GY30" s="274"/>
      <c r="GZ30" s="274"/>
      <c r="HA30" s="274"/>
      <c r="HB30" s="274"/>
      <c r="HC30" s="274"/>
      <c r="HD30" s="274"/>
      <c r="HE30" s="274"/>
      <c r="HF30" s="274"/>
      <c r="HG30" s="274"/>
      <c r="HH30" s="274"/>
      <c r="HI30" s="274"/>
      <c r="HJ30" s="274"/>
      <c r="HK30" s="274"/>
      <c r="HL30" s="274"/>
      <c r="HM30" s="274"/>
      <c r="HN30" s="274"/>
      <c r="HO30" s="274"/>
      <c r="HP30" s="274"/>
      <c r="HQ30" s="274"/>
      <c r="HR30" s="274"/>
      <c r="HS30" s="274"/>
      <c r="HT30" s="274"/>
      <c r="HU30" s="274"/>
      <c r="HV30" s="274"/>
      <c r="HW30" s="274"/>
      <c r="HX30" s="274"/>
      <c r="HY30" s="274"/>
      <c r="HZ30" s="274"/>
      <c r="IA30" s="274"/>
      <c r="IB30" s="274"/>
      <c r="IC30" s="274"/>
      <c r="ID30" s="274"/>
      <c r="IE30" s="274"/>
      <c r="IF30" s="274"/>
      <c r="IG30" s="274"/>
      <c r="IH30" s="274"/>
      <c r="II30" s="274"/>
      <c r="IJ30" s="274"/>
      <c r="IK30" s="274"/>
      <c r="IL30" s="274"/>
      <c r="IM30" s="274"/>
      <c r="IN30" s="274"/>
      <c r="IO30" s="274"/>
      <c r="IP30" s="274"/>
      <c r="IQ30" s="274"/>
      <c r="IR30" s="274"/>
      <c r="IS30" s="274"/>
      <c r="IT30" s="274"/>
      <c r="IU30" s="274"/>
    </row>
    <row r="31" spans="1:255" ht="282.75" customHeight="1">
      <c r="A31" s="908" t="s">
        <v>1341</v>
      </c>
      <c r="B31" s="860" t="s">
        <v>1221</v>
      </c>
      <c r="C31" s="862" t="s">
        <v>1229</v>
      </c>
      <c r="D31" s="854" t="s">
        <v>2142</v>
      </c>
      <c r="E31" s="861">
        <f>IF(F31="na",0,1)</f>
        <v>1</v>
      </c>
      <c r="F31" s="2067"/>
      <c r="G31" s="2067"/>
      <c r="H31" s="852"/>
      <c r="I31" s="1151"/>
    </row>
    <row r="32" spans="1:255" ht="18.75" thickBot="1">
      <c r="A32" s="1338"/>
      <c r="B32" s="1339"/>
      <c r="C32" s="1339"/>
      <c r="D32" s="1340" t="s">
        <v>1035</v>
      </c>
      <c r="E32" s="1341">
        <f>SUM(E5:E31)</f>
        <v>23</v>
      </c>
      <c r="F32" s="1341">
        <f>SUM(F5:F31)</f>
        <v>0</v>
      </c>
      <c r="G32" s="1341">
        <f>SUM(G5:G31)</f>
        <v>0</v>
      </c>
      <c r="H32" s="1342"/>
      <c r="I32" s="1151"/>
    </row>
    <row r="33" spans="1:1" ht="12.75" customHeight="1"/>
    <row r="34" spans="1:1" ht="12.75" customHeight="1"/>
    <row r="35" spans="1:1" ht="12.75" customHeight="1"/>
    <row r="36" spans="1:1" ht="12.75" customHeight="1">
      <c r="A36" s="595" t="str">
        <f>Calculation1!$B$93</f>
        <v>Project Teams are to refer to the Green Star SA Public Building PILOT Technical Manual for explicit credit criteria and documentation requirements.</v>
      </c>
    </row>
    <row r="37" spans="1:1" ht="12.75" customHeight="1">
      <c r="A37" s="595" t="str">
        <f>Calculation1!$B$94</f>
        <v>The Green Star Technical Clarifications (TC) and Credit Interpretation Request (CIR) rulings provide an essential source of information to all</v>
      </c>
    </row>
    <row r="38" spans="1:1" ht="12.75" customHeight="1">
      <c r="A38" s="595" t="str">
        <f>Calculation1!$B$95</f>
        <v>projects undertaking Green Star assessment. They are available on the GBCSA website http://www.gbcsa.org.za . Technical Clarifications</v>
      </c>
    </row>
    <row r="39" spans="1:1" ht="12.75" customHeight="1">
      <c r="A39" s="595" t="str">
        <f>Calculation1!$B$96</f>
        <v xml:space="preserve">often represent the GBCSA answers to technical queries and complement Green Star SA Technical Manuals. They do not amend but clarify </v>
      </c>
    </row>
    <row r="40" spans="1:1" ht="12.75" customHeight="1">
      <c r="A40" s="595" t="str">
        <f>Calculation1!$B$97</f>
        <v xml:space="preserve">Credit Criteria or Compliance Requirements. They are an extension of the Technical Manual; it is the responsibility of the project teams to stay </v>
      </c>
    </row>
    <row r="41" spans="1:1" ht="12.75" customHeight="1">
      <c r="A41" s="595" t="str">
        <f>Calculation1!$B$98</f>
        <v xml:space="preserve">up-to-date with this section of the GBCSA website. The CIR rulings offer alternative compliance options whenever those have been deemed </v>
      </c>
    </row>
    <row r="42" spans="1:1" ht="12.75" customHeight="1">
      <c r="A42" s="595" t="str">
        <f>Calculation1!$B$99</f>
        <v>equivalent in meeting the Aim of Credit.</v>
      </c>
    </row>
    <row r="43" spans="1:1" ht="12.75" customHeight="1">
      <c r="A43" s="595"/>
    </row>
    <row r="44" spans="1:1" ht="12.75" customHeight="1"/>
    <row r="45" spans="1:1" ht="12.75" customHeight="1"/>
    <row r="46" spans="1:1" ht="12.75" customHeight="1"/>
    <row r="47" spans="1:1" ht="12.75" customHeight="1"/>
  </sheetData>
  <sheetProtection password="AD9B" sheet="1" objects="1" scenarios="1"/>
  <mergeCells count="8">
    <mergeCell ref="E13:E14"/>
    <mergeCell ref="F13:F14"/>
    <mergeCell ref="G13:G14"/>
    <mergeCell ref="H13:H14"/>
    <mergeCell ref="A19:A21"/>
    <mergeCell ref="B19:B21"/>
    <mergeCell ref="C19:C21"/>
    <mergeCell ref="D13:D14"/>
  </mergeCells>
  <phoneticPr fontId="0"/>
  <printOptions horizontalCentered="1"/>
  <pageMargins left="0.59055118110236227" right="0.59055118110236227" top="0.47244094488188981" bottom="0.47244094488188981" header="0.23622047244094491" footer="0.35433070866141736"/>
  <pageSetup paperSize="8" scale="65" fitToHeight="5" orientation="portrait" blackAndWhite="1" r:id="rId1"/>
  <headerFooter alignWithMargins="0">
    <oddHeader>&amp;LGreen Building Council of South Africa&amp;R&amp;T   &amp;D</oddHeader>
    <oddFooter>&amp;L&amp;F&amp;CPage &amp;P of &amp;N&amp;RCategory: IEQ</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34" r:id="rId4" name="Button 6">
              <controlPr defaultSize="0" print="0" autoFill="0" autoPict="0" macro="[0]!GoToCreditSummary">
                <anchor moveWithCells="1" sizeWithCells="1">
                  <from>
                    <xdr:col>4</xdr:col>
                    <xdr:colOff>590550</xdr:colOff>
                    <xdr:row>32</xdr:row>
                    <xdr:rowOff>142875</xdr:rowOff>
                  </from>
                  <to>
                    <xdr:col>7</xdr:col>
                    <xdr:colOff>9525</xdr:colOff>
                    <xdr:row>35</xdr:row>
                    <xdr:rowOff>47625</xdr:rowOff>
                  </to>
                </anchor>
              </controlPr>
            </control>
          </mc:Choice>
        </mc:AlternateContent>
        <mc:AlternateContent xmlns:mc="http://schemas.openxmlformats.org/markup-compatibility/2006">
          <mc:Choice Requires="x14">
            <control shapeId="48137" r:id="rId5" name="Button 9">
              <controlPr defaultSize="0" print="0" autoFill="0" autoPict="0" macro="[0]!BackToTop">
                <anchor moveWithCells="1" sizeWithCells="1">
                  <from>
                    <xdr:col>7</xdr:col>
                    <xdr:colOff>600075</xdr:colOff>
                    <xdr:row>33</xdr:row>
                    <xdr:rowOff>28575</xdr:rowOff>
                  </from>
                  <to>
                    <xdr:col>7</xdr:col>
                    <xdr:colOff>1876425</xdr:colOff>
                    <xdr:row>35</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U40"/>
  <sheetViews>
    <sheetView zoomScale="80" zoomScaleNormal="80" zoomScaleSheetLayoutView="85" workbookViewId="0">
      <pane xSplit="2" ySplit="4" topLeftCell="C5" activePane="bottomRight" state="frozen"/>
      <selection pane="topRight"/>
      <selection pane="bottomLeft"/>
      <selection pane="bottomRight"/>
    </sheetView>
  </sheetViews>
  <sheetFormatPr defaultColWidth="7.875" defaultRowHeight="15"/>
  <cols>
    <col min="1" max="1" width="7.25" style="319" customWidth="1"/>
    <col min="2" max="2" width="15.125" style="319" customWidth="1"/>
    <col min="3" max="3" width="25.625" style="319" customWidth="1"/>
    <col min="4" max="4" width="64.875" style="319" customWidth="1"/>
    <col min="5" max="7" width="12.625" style="323" customWidth="1"/>
    <col min="8" max="8" width="31" style="324" customWidth="1"/>
    <col min="9" max="9" width="10.875" style="464" hidden="1" customWidth="1"/>
    <col min="10" max="11" width="8.875" style="319" customWidth="1"/>
    <col min="12" max="52" width="7.875" style="319" customWidth="1"/>
    <col min="53" max="16384" width="7.875" style="319"/>
  </cols>
  <sheetData>
    <row r="1" spans="1:255" s="468" customFormat="1" ht="24" customHeight="1" thickBot="1">
      <c r="A1" s="441" t="str">
        <f>'Building Input'!B1</f>
        <v>Green Star SA - Public &amp; Education Building v1</v>
      </c>
      <c r="D1" s="1150"/>
      <c r="E1" s="275"/>
      <c r="F1" s="2064" t="s">
        <v>134</v>
      </c>
      <c r="G1" s="445">
        <f>'Credit Summary'!J45</f>
        <v>0.25</v>
      </c>
      <c r="H1" s="443" t="s">
        <v>136</v>
      </c>
      <c r="I1" s="452"/>
    </row>
    <row r="2" spans="1:255" s="450" customFormat="1" ht="30" customHeight="1" thickBot="1">
      <c r="A2" s="272" t="s">
        <v>316</v>
      </c>
      <c r="D2" s="442" t="s">
        <v>135</v>
      </c>
      <c r="E2" s="1190">
        <f>E20</f>
        <v>30</v>
      </c>
      <c r="F2" s="1191">
        <f>F20</f>
        <v>0</v>
      </c>
      <c r="G2" s="1190">
        <f>G20</f>
        <v>0</v>
      </c>
      <c r="H2" s="1192">
        <f>'Credit Summary'!K45</f>
        <v>0</v>
      </c>
      <c r="I2" s="452"/>
    </row>
    <row r="3" spans="1:255" s="462" customFormat="1" ht="19.5" customHeight="1" thickBot="1">
      <c r="A3" s="458" t="s">
        <v>1037</v>
      </c>
      <c r="B3" s="459"/>
      <c r="C3" s="458" t="str">
        <f>IF('Building Input'!$C$5=0,"",'Building Input'!$C$5)</f>
        <v/>
      </c>
      <c r="D3" s="460"/>
      <c r="E3" s="275"/>
      <c r="F3" s="598" t="str">
        <f>IF(OR((I3=Calculation1!$B$84),(I3=Calculation1!$B$85),((F2+G2)&gt;E2)),Calculation1!$B$86,"")</f>
        <v/>
      </c>
      <c r="G3" s="275"/>
      <c r="H3" s="460"/>
      <c r="I3" s="467" t="str">
        <f>T(I6:I14)</f>
        <v>ERROR, text not valid!</v>
      </c>
    </row>
    <row r="4" spans="1:255" ht="33" customHeight="1" thickBot="1">
      <c r="A4" s="1207" t="s">
        <v>1039</v>
      </c>
      <c r="B4" s="1208" t="s">
        <v>1040</v>
      </c>
      <c r="C4" s="1208" t="s">
        <v>1041</v>
      </c>
      <c r="D4" s="1208" t="s">
        <v>1168</v>
      </c>
      <c r="E4" s="1209" t="s">
        <v>1169</v>
      </c>
      <c r="F4" s="1209" t="s">
        <v>451</v>
      </c>
      <c r="G4" s="1209" t="s">
        <v>452</v>
      </c>
      <c r="H4" s="1210" t="s">
        <v>453</v>
      </c>
    </row>
    <row r="5" spans="1:255" ht="324.75" customHeight="1">
      <c r="A5" s="1985" t="s">
        <v>89</v>
      </c>
      <c r="B5" s="1994" t="s">
        <v>755</v>
      </c>
      <c r="C5" s="1994" t="s">
        <v>2041</v>
      </c>
      <c r="D5" s="469" t="s">
        <v>2064</v>
      </c>
      <c r="E5" s="929" t="s">
        <v>713</v>
      </c>
      <c r="F5" s="2249" t="str">
        <f>'Energy Calculator'!I5</f>
        <v>Not Achieved</v>
      </c>
      <c r="G5" s="2250"/>
      <c r="H5" s="815" t="str">
        <f>IF('Energy Calculator'!I5:I7="Achieved",'Energy Calculator'!E194,IF('Energy Calculator'!F22&gt;='Energy Calculator'!E109,'Energy Calculator'!E196,'Energy Calculator'!E195))</f>
        <v>Compliance is determined from information entered into the Energy Calculator.  The project team acknowledges that the design does NOT meet the minimum energy efficiency requirements as stipulated in the Green Star SA Public &amp; Education Building v1 Technical Manual. This Green Star SA project is therefore NOT eligible for formal certification by the GBCSA. Please refer to the Technical Manual for further information.</v>
      </c>
      <c r="I5" s="466"/>
      <c r="J5" s="321"/>
      <c r="K5" s="322"/>
      <c r="L5" s="470"/>
    </row>
    <row r="6" spans="1:255" ht="198.75" customHeight="1">
      <c r="A6" s="1984" t="s">
        <v>90</v>
      </c>
      <c r="B6" s="1989" t="s">
        <v>400</v>
      </c>
      <c r="C6" s="1989" t="s">
        <v>587</v>
      </c>
      <c r="D6" s="1159" t="s">
        <v>2065</v>
      </c>
      <c r="E6" s="2251">
        <v>20</v>
      </c>
      <c r="F6" s="2253" t="str">
        <f>IF('Energy Calculator'!I2="Error",0,'Energy Calculator'!I2)</f>
        <v>-</v>
      </c>
      <c r="G6" s="2255"/>
      <c r="H6" s="2257"/>
      <c r="I6" s="1151" t="str">
        <f>IF(OR(ISTEXT(F6)=TRUE,ISTEXT(G6)=TRUE),Calculation1!$B$87,IF(F6+G6&gt;E6,Calculation1!$B$84,""))</f>
        <v>ERROR, text not valid!</v>
      </c>
    </row>
    <row r="7" spans="1:255" ht="315.75" customHeight="1">
      <c r="A7" s="1985"/>
      <c r="B7" s="1994"/>
      <c r="C7" s="1994"/>
      <c r="D7" s="1160" t="s">
        <v>2066</v>
      </c>
      <c r="E7" s="2252"/>
      <c r="F7" s="2254"/>
      <c r="G7" s="2256"/>
      <c r="H7" s="2258"/>
      <c r="I7" s="1151"/>
    </row>
    <row r="8" spans="1:255" ht="112.5" customHeight="1">
      <c r="A8" s="1984" t="s">
        <v>91</v>
      </c>
      <c r="B8" s="1989" t="s">
        <v>2042</v>
      </c>
      <c r="C8" s="1989" t="s">
        <v>2043</v>
      </c>
      <c r="D8" s="854" t="s">
        <v>2044</v>
      </c>
      <c r="E8" s="1146">
        <v>1</v>
      </c>
      <c r="F8" s="2050"/>
      <c r="G8" s="2050"/>
      <c r="H8" s="2056"/>
      <c r="I8" s="1151" t="str">
        <f>IF(OR(ISTEXT(F8)=TRUE,ISTEXT(G8)=TRUE),Calculation1!$B$87,IF(F8+G8&gt;E8,Calculation1!$B$84,""))</f>
        <v/>
      </c>
      <c r="J8" s="321"/>
      <c r="K8" s="322"/>
      <c r="L8" s="470"/>
    </row>
    <row r="9" spans="1:255" ht="150.75" customHeight="1">
      <c r="A9" s="1109"/>
      <c r="B9" s="1993"/>
      <c r="C9" s="1993"/>
      <c r="D9" s="854" t="s">
        <v>2061</v>
      </c>
      <c r="E9" s="1146">
        <f>IF(F9="na",0,1)</f>
        <v>1</v>
      </c>
      <c r="F9" s="2050"/>
      <c r="G9" s="2050"/>
      <c r="H9" s="2056"/>
      <c r="I9" s="1151"/>
      <c r="J9" s="321"/>
      <c r="K9" s="322"/>
      <c r="L9" s="470"/>
    </row>
    <row r="10" spans="1:255" ht="111.75" customHeight="1">
      <c r="A10" s="1110"/>
      <c r="B10" s="1994"/>
      <c r="C10" s="1994"/>
      <c r="D10" s="854" t="s">
        <v>2063</v>
      </c>
      <c r="E10" s="1146">
        <v>1</v>
      </c>
      <c r="F10" s="2050"/>
      <c r="G10" s="2050"/>
      <c r="H10" s="2056"/>
      <c r="I10" s="1151"/>
      <c r="J10" s="321"/>
      <c r="K10" s="322"/>
      <c r="L10" s="470"/>
    </row>
    <row r="11" spans="1:255" s="912" customFormat="1" ht="25.5">
      <c r="A11" s="938" t="s">
        <v>1355</v>
      </c>
      <c r="B11" s="857" t="s">
        <v>1356</v>
      </c>
      <c r="C11" s="857"/>
      <c r="D11" s="939" t="s">
        <v>2104</v>
      </c>
      <c r="E11" s="940" t="s">
        <v>1308</v>
      </c>
      <c r="F11" s="946" t="s">
        <v>1308</v>
      </c>
      <c r="G11" s="946" t="s">
        <v>1308</v>
      </c>
      <c r="H11" s="2047"/>
      <c r="I11" s="1151" t="str">
        <f>IF(OR(ISTEXT(F11)=TRUE,ISTEXT(G11)=TRUE),Calculation1!$B$87,IF(F11+G11&gt;E11,Calculation1!$B$84,""))</f>
        <v>ERROR, text not valid!</v>
      </c>
      <c r="J11" s="1144"/>
      <c r="K11" s="1144"/>
      <c r="L11" s="1144"/>
      <c r="M11" s="1144"/>
      <c r="N11" s="1144"/>
      <c r="O11" s="1144"/>
      <c r="P11" s="1144"/>
      <c r="Q11" s="1144"/>
      <c r="R11" s="1144"/>
      <c r="S11" s="1144"/>
      <c r="T11" s="1144"/>
      <c r="U11" s="1144"/>
      <c r="V11" s="1144"/>
      <c r="W11" s="1144"/>
      <c r="X11" s="1144"/>
      <c r="Y11" s="1144"/>
      <c r="Z11" s="1144"/>
      <c r="AA11" s="1144"/>
      <c r="AB11" s="1144"/>
      <c r="AC11" s="1144"/>
      <c r="AD11" s="1144"/>
      <c r="AE11" s="1144"/>
      <c r="AF11" s="1144"/>
      <c r="AG11" s="1144"/>
      <c r="AH11" s="1144"/>
      <c r="AI11" s="1144"/>
      <c r="AJ11" s="1144"/>
      <c r="AK11" s="1144"/>
      <c r="AL11" s="1144"/>
      <c r="AM11" s="1144"/>
      <c r="AN11" s="1144"/>
      <c r="AO11" s="1144"/>
      <c r="AP11" s="1144"/>
      <c r="AQ11" s="1144"/>
      <c r="AR11" s="1144"/>
      <c r="AS11" s="1144"/>
      <c r="AT11" s="1144"/>
      <c r="AU11" s="1144"/>
      <c r="AV11" s="1144"/>
      <c r="AW11" s="1144"/>
      <c r="AX11" s="1144"/>
      <c r="AY11" s="1144"/>
      <c r="AZ11" s="1144"/>
      <c r="BA11" s="1144"/>
      <c r="BB11" s="1144"/>
      <c r="BC11" s="1144"/>
      <c r="BD11" s="1144"/>
      <c r="BE11" s="1144"/>
      <c r="BF11" s="274"/>
      <c r="BG11" s="274"/>
      <c r="BH11" s="274"/>
      <c r="BI11" s="274"/>
      <c r="BJ11" s="274"/>
      <c r="BK11" s="274"/>
      <c r="BL11" s="274"/>
      <c r="BM11" s="274"/>
      <c r="BN11" s="274"/>
      <c r="BO11" s="274"/>
      <c r="BP11" s="274"/>
      <c r="BQ11" s="274"/>
      <c r="BR11" s="274"/>
      <c r="BS11" s="274"/>
      <c r="BT11" s="274"/>
      <c r="BU11" s="274"/>
      <c r="BV11" s="274"/>
      <c r="BW11" s="274"/>
      <c r="BX11" s="274"/>
      <c r="BY11" s="274"/>
      <c r="BZ11" s="274"/>
      <c r="CA11" s="274"/>
      <c r="CB11" s="274"/>
      <c r="CC11" s="274"/>
      <c r="CD11" s="274"/>
      <c r="CE11" s="274"/>
      <c r="CF11" s="274"/>
      <c r="CG11" s="274"/>
      <c r="CH11" s="274"/>
      <c r="CI11" s="274"/>
      <c r="CJ11" s="274"/>
      <c r="CK11" s="274"/>
      <c r="CL11" s="274"/>
      <c r="CM11" s="274"/>
      <c r="CN11" s="274"/>
      <c r="CO11" s="274"/>
      <c r="CP11" s="274"/>
      <c r="CQ11" s="274"/>
      <c r="CR11" s="274"/>
      <c r="CS11" s="274"/>
      <c r="CT11" s="274"/>
      <c r="CU11" s="274"/>
      <c r="CV11" s="274"/>
      <c r="CW11" s="274"/>
      <c r="CX11" s="274"/>
      <c r="CY11" s="274"/>
      <c r="CZ11" s="274"/>
      <c r="DA11" s="274"/>
      <c r="DB11" s="274"/>
      <c r="DC11" s="274"/>
      <c r="DD11" s="274"/>
      <c r="DE11" s="274"/>
      <c r="DF11" s="274"/>
      <c r="DG11" s="274"/>
      <c r="DH11" s="274"/>
      <c r="DI11" s="274"/>
      <c r="DJ11" s="274"/>
      <c r="DK11" s="274"/>
      <c r="DL11" s="274"/>
      <c r="DM11" s="274"/>
      <c r="DN11" s="274"/>
      <c r="DO11" s="274"/>
      <c r="DP11" s="274"/>
      <c r="DQ11" s="274"/>
      <c r="DR11" s="274"/>
      <c r="DS11" s="274"/>
      <c r="DT11" s="274"/>
      <c r="DU11" s="274"/>
      <c r="DV11" s="274"/>
      <c r="DW11" s="274"/>
      <c r="DX11" s="274"/>
      <c r="DY11" s="274"/>
      <c r="DZ11" s="274"/>
      <c r="EA11" s="274"/>
      <c r="EB11" s="274"/>
      <c r="EC11" s="274"/>
      <c r="ED11" s="274"/>
      <c r="EE11" s="274"/>
      <c r="EF11" s="274"/>
      <c r="EG11" s="274"/>
      <c r="EH11" s="274"/>
      <c r="EI11" s="274"/>
      <c r="EJ11" s="274"/>
      <c r="EK11" s="274"/>
      <c r="EL11" s="274"/>
      <c r="EM11" s="274"/>
      <c r="EN11" s="274"/>
      <c r="EO11" s="274"/>
      <c r="EP11" s="274"/>
      <c r="EQ11" s="274"/>
      <c r="ER11" s="274"/>
      <c r="ES11" s="274"/>
      <c r="ET11" s="274"/>
      <c r="EU11" s="274"/>
      <c r="EV11" s="274"/>
      <c r="EW11" s="274"/>
      <c r="EX11" s="274"/>
      <c r="EY11" s="274"/>
      <c r="EZ11" s="274"/>
      <c r="FA11" s="274"/>
      <c r="FB11" s="274"/>
      <c r="FC11" s="274"/>
      <c r="FD11" s="274"/>
      <c r="FE11" s="274"/>
      <c r="FF11" s="274"/>
      <c r="FG11" s="274"/>
      <c r="FH11" s="274"/>
      <c r="FI11" s="274"/>
      <c r="FJ11" s="274"/>
      <c r="FK11" s="274"/>
      <c r="FL11" s="274"/>
      <c r="FM11" s="274"/>
      <c r="FN11" s="274"/>
      <c r="FO11" s="274"/>
      <c r="FP11" s="274"/>
      <c r="FQ11" s="274"/>
      <c r="FR11" s="274"/>
      <c r="FS11" s="274"/>
      <c r="FT11" s="274"/>
      <c r="FU11" s="274"/>
      <c r="FV11" s="274"/>
      <c r="FW11" s="274"/>
      <c r="FX11" s="274"/>
      <c r="FY11" s="274"/>
      <c r="FZ11" s="274"/>
      <c r="GA11" s="274"/>
      <c r="GB11" s="274"/>
      <c r="GC11" s="274"/>
      <c r="GD11" s="274"/>
      <c r="GE11" s="274"/>
      <c r="GF11" s="274"/>
      <c r="GG11" s="274"/>
      <c r="GH11" s="274"/>
      <c r="GI11" s="274"/>
      <c r="GJ11" s="274"/>
      <c r="GK11" s="274"/>
      <c r="GL11" s="274"/>
      <c r="GM11" s="274"/>
      <c r="GN11" s="274"/>
      <c r="GO11" s="274"/>
      <c r="GP11" s="274"/>
      <c r="GQ11" s="274"/>
      <c r="GR11" s="274"/>
      <c r="GS11" s="274"/>
      <c r="GT11" s="274"/>
      <c r="GU11" s="274"/>
      <c r="GV11" s="274"/>
      <c r="GW11" s="274"/>
      <c r="GX11" s="274"/>
      <c r="GY11" s="274"/>
      <c r="GZ11" s="274"/>
      <c r="HA11" s="274"/>
      <c r="HB11" s="274"/>
      <c r="HC11" s="274"/>
      <c r="HD11" s="274"/>
      <c r="HE11" s="274"/>
      <c r="HF11" s="274"/>
      <c r="HG11" s="274"/>
      <c r="HH11" s="274"/>
      <c r="HI11" s="274"/>
      <c r="HJ11" s="274"/>
      <c r="HK11" s="274"/>
      <c r="HL11" s="274"/>
      <c r="HM11" s="274"/>
      <c r="HN11" s="274"/>
      <c r="HO11" s="274"/>
      <c r="HP11" s="274"/>
      <c r="HQ11" s="274"/>
      <c r="HR11" s="274"/>
      <c r="HS11" s="274"/>
      <c r="HT11" s="274"/>
      <c r="HU11" s="274"/>
      <c r="HV11" s="274"/>
      <c r="HW11" s="274"/>
      <c r="HX11" s="274"/>
      <c r="HY11" s="274"/>
      <c r="HZ11" s="274"/>
      <c r="IA11" s="274"/>
      <c r="IB11" s="274"/>
      <c r="IC11" s="274"/>
      <c r="ID11" s="274"/>
      <c r="IE11" s="274"/>
      <c r="IF11" s="274"/>
      <c r="IG11" s="274"/>
      <c r="IH11" s="274"/>
      <c r="II11" s="274"/>
      <c r="IJ11" s="274"/>
      <c r="IK11" s="274"/>
      <c r="IL11" s="274"/>
      <c r="IM11" s="274"/>
      <c r="IN11" s="274"/>
      <c r="IO11" s="274"/>
      <c r="IP11" s="274"/>
      <c r="IQ11" s="274"/>
      <c r="IR11" s="274"/>
      <c r="IS11" s="274"/>
      <c r="IT11" s="274"/>
      <c r="IU11" s="274"/>
    </row>
    <row r="12" spans="1:255" ht="228.75" customHeight="1">
      <c r="A12" s="1982" t="s">
        <v>92</v>
      </c>
      <c r="B12" s="1992" t="s">
        <v>1081</v>
      </c>
      <c r="C12" s="471" t="s">
        <v>1223</v>
      </c>
      <c r="D12" s="854" t="s">
        <v>2045</v>
      </c>
      <c r="E12" s="1146">
        <v>2</v>
      </c>
      <c r="F12" s="2050"/>
      <c r="G12" s="2050"/>
      <c r="H12" s="2056"/>
      <c r="I12" s="1151" t="str">
        <f>IF(OR(ISTEXT(F12)=TRUE,ISTEXT(G12)=TRUE),Calculation1!$B$87,IF(F12+G12&gt;E12,Calculation1!$B$84,""))</f>
        <v/>
      </c>
      <c r="J12" s="321"/>
      <c r="K12" s="322"/>
      <c r="L12" s="470"/>
    </row>
    <row r="13" spans="1:255" ht="239.25" customHeight="1">
      <c r="A13" s="838" t="s">
        <v>93</v>
      </c>
      <c r="B13" s="1990" t="s">
        <v>336</v>
      </c>
      <c r="C13" s="1993" t="s">
        <v>2046</v>
      </c>
      <c r="D13" s="854" t="s">
        <v>2047</v>
      </c>
      <c r="E13" s="1991">
        <v>3</v>
      </c>
      <c r="F13" s="2139"/>
      <c r="G13" s="2139"/>
      <c r="H13" s="2140"/>
      <c r="I13" s="1151" t="str">
        <f>IF(OR(ISTEXT(F13)=TRUE,ISTEXT(G13)=TRUE),Calculation1!$B$87,IF(F13+G13&gt;E13,Calculation1!$B$84,""))</f>
        <v/>
      </c>
      <c r="J13" s="351"/>
      <c r="K13" s="322"/>
      <c r="L13" s="470"/>
    </row>
    <row r="14" spans="1:255" ht="30" customHeight="1">
      <c r="A14" s="938" t="s">
        <v>94</v>
      </c>
      <c r="B14" s="857" t="s">
        <v>768</v>
      </c>
      <c r="C14" s="857"/>
      <c r="D14" s="939" t="s">
        <v>2104</v>
      </c>
      <c r="E14" s="940" t="s">
        <v>1308</v>
      </c>
      <c r="F14" s="946" t="s">
        <v>1308</v>
      </c>
      <c r="G14" s="946" t="s">
        <v>1308</v>
      </c>
      <c r="H14" s="2047"/>
      <c r="I14" s="1151" t="str">
        <f>IF(ISBLANK(F14),IF(G14&gt;E14,Calculation1!$B$84,""),IF(F14="na","",IF(OR(F14="na",ISNUMBER(F14)),IF(F14+G14&gt;E14,Calculation1!$B$84,""),Calculation1!$B$85)))</f>
        <v>ERROR, Value entered in 'No. of points achieved' must be a number or 'na'</v>
      </c>
      <c r="J14" s="321"/>
      <c r="K14" s="322"/>
      <c r="L14" s="470"/>
    </row>
    <row r="15" spans="1:255" s="912" customFormat="1" ht="25.5">
      <c r="A15" s="938" t="s">
        <v>1357</v>
      </c>
      <c r="B15" s="857" t="s">
        <v>1361</v>
      </c>
      <c r="C15" s="857"/>
      <c r="D15" s="939" t="s">
        <v>2104</v>
      </c>
      <c r="E15" s="940" t="s">
        <v>1308</v>
      </c>
      <c r="F15" s="946" t="s">
        <v>1308</v>
      </c>
      <c r="G15" s="946" t="s">
        <v>1308</v>
      </c>
      <c r="H15" s="2047"/>
      <c r="I15" s="1151" t="str">
        <f>IF(OR(ISTEXT(F15)=TRUE,ISTEXT(G15)=TRUE),Calculation1!$B$87,IF(F15+G15&gt;E15,Calculation1!$B$84,""))</f>
        <v>ERROR, text not valid!</v>
      </c>
      <c r="J15" s="1144"/>
      <c r="K15" s="1144"/>
      <c r="L15" s="1144"/>
      <c r="M15" s="1144"/>
      <c r="N15" s="1144"/>
      <c r="O15" s="1144"/>
      <c r="P15" s="1144"/>
      <c r="Q15" s="1144"/>
      <c r="R15" s="1144"/>
      <c r="S15" s="1144"/>
      <c r="T15" s="1144"/>
      <c r="U15" s="1144"/>
      <c r="V15" s="1144"/>
      <c r="W15" s="1144"/>
      <c r="X15" s="1144"/>
      <c r="Y15" s="1144"/>
      <c r="Z15" s="1144"/>
      <c r="AA15" s="1144"/>
      <c r="AB15" s="1144"/>
      <c r="AC15" s="1144"/>
      <c r="AD15" s="1144"/>
      <c r="AE15" s="1144"/>
      <c r="AF15" s="1144"/>
      <c r="AG15" s="1144"/>
      <c r="AH15" s="1144"/>
      <c r="AI15" s="1144"/>
      <c r="AJ15" s="1144"/>
      <c r="AK15" s="1144"/>
      <c r="AL15" s="1144"/>
      <c r="AM15" s="1144"/>
      <c r="AN15" s="1144"/>
      <c r="AO15" s="1144"/>
      <c r="AP15" s="1144"/>
      <c r="AQ15" s="1144"/>
      <c r="AR15" s="1144"/>
      <c r="AS15" s="1144"/>
      <c r="AT15" s="1144"/>
      <c r="AU15" s="1144"/>
      <c r="AV15" s="1144"/>
      <c r="AW15" s="1144"/>
      <c r="AX15" s="1144"/>
      <c r="AY15" s="1144"/>
      <c r="AZ15" s="1144"/>
      <c r="BA15" s="1144"/>
      <c r="BB15" s="1144"/>
      <c r="BC15" s="1144"/>
      <c r="BD15" s="1144"/>
      <c r="BE15" s="1144"/>
      <c r="BF15" s="274"/>
      <c r="BG15" s="274"/>
      <c r="BH15" s="274"/>
      <c r="BI15" s="274"/>
      <c r="BJ15" s="274"/>
      <c r="BK15" s="274"/>
      <c r="BL15" s="274"/>
      <c r="BM15" s="274"/>
      <c r="BN15" s="274"/>
      <c r="BO15" s="274"/>
      <c r="BP15" s="274"/>
      <c r="BQ15" s="274"/>
      <c r="BR15" s="274"/>
      <c r="BS15" s="274"/>
      <c r="BT15" s="274"/>
      <c r="BU15" s="274"/>
      <c r="BV15" s="274"/>
      <c r="BW15" s="274"/>
      <c r="BX15" s="274"/>
      <c r="BY15" s="274"/>
      <c r="BZ15" s="274"/>
      <c r="CA15" s="274"/>
      <c r="CB15" s="274"/>
      <c r="CC15" s="274"/>
      <c r="CD15" s="274"/>
      <c r="CE15" s="274"/>
      <c r="CF15" s="274"/>
      <c r="CG15" s="274"/>
      <c r="CH15" s="274"/>
      <c r="CI15" s="274"/>
      <c r="CJ15" s="274"/>
      <c r="CK15" s="274"/>
      <c r="CL15" s="274"/>
      <c r="CM15" s="274"/>
      <c r="CN15" s="274"/>
      <c r="CO15" s="274"/>
      <c r="CP15" s="274"/>
      <c r="CQ15" s="274"/>
      <c r="CR15" s="274"/>
      <c r="CS15" s="274"/>
      <c r="CT15" s="274"/>
      <c r="CU15" s="274"/>
      <c r="CV15" s="274"/>
      <c r="CW15" s="274"/>
      <c r="CX15" s="274"/>
      <c r="CY15" s="274"/>
      <c r="CZ15" s="274"/>
      <c r="DA15" s="274"/>
      <c r="DB15" s="274"/>
      <c r="DC15" s="274"/>
      <c r="DD15" s="274"/>
      <c r="DE15" s="274"/>
      <c r="DF15" s="274"/>
      <c r="DG15" s="274"/>
      <c r="DH15" s="274"/>
      <c r="DI15" s="274"/>
      <c r="DJ15" s="274"/>
      <c r="DK15" s="274"/>
      <c r="DL15" s="274"/>
      <c r="DM15" s="274"/>
      <c r="DN15" s="274"/>
      <c r="DO15" s="274"/>
      <c r="DP15" s="274"/>
      <c r="DQ15" s="274"/>
      <c r="DR15" s="274"/>
      <c r="DS15" s="274"/>
      <c r="DT15" s="274"/>
      <c r="DU15" s="274"/>
      <c r="DV15" s="274"/>
      <c r="DW15" s="274"/>
      <c r="DX15" s="274"/>
      <c r="DY15" s="274"/>
      <c r="DZ15" s="274"/>
      <c r="EA15" s="274"/>
      <c r="EB15" s="274"/>
      <c r="EC15" s="274"/>
      <c r="ED15" s="274"/>
      <c r="EE15" s="274"/>
      <c r="EF15" s="274"/>
      <c r="EG15" s="274"/>
      <c r="EH15" s="274"/>
      <c r="EI15" s="274"/>
      <c r="EJ15" s="274"/>
      <c r="EK15" s="274"/>
      <c r="EL15" s="274"/>
      <c r="EM15" s="274"/>
      <c r="EN15" s="274"/>
      <c r="EO15" s="274"/>
      <c r="EP15" s="274"/>
      <c r="EQ15" s="274"/>
      <c r="ER15" s="274"/>
      <c r="ES15" s="274"/>
      <c r="ET15" s="274"/>
      <c r="EU15" s="274"/>
      <c r="EV15" s="274"/>
      <c r="EW15" s="274"/>
      <c r="EX15" s="274"/>
      <c r="EY15" s="274"/>
      <c r="EZ15" s="274"/>
      <c r="FA15" s="274"/>
      <c r="FB15" s="274"/>
      <c r="FC15" s="274"/>
      <c r="FD15" s="274"/>
      <c r="FE15" s="274"/>
      <c r="FF15" s="274"/>
      <c r="FG15" s="274"/>
      <c r="FH15" s="274"/>
      <c r="FI15" s="274"/>
      <c r="FJ15" s="274"/>
      <c r="FK15" s="274"/>
      <c r="FL15" s="274"/>
      <c r="FM15" s="274"/>
      <c r="FN15" s="274"/>
      <c r="FO15" s="274"/>
      <c r="FP15" s="274"/>
      <c r="FQ15" s="274"/>
      <c r="FR15" s="274"/>
      <c r="FS15" s="274"/>
      <c r="FT15" s="274"/>
      <c r="FU15" s="274"/>
      <c r="FV15" s="274"/>
      <c r="FW15" s="274"/>
      <c r="FX15" s="274"/>
      <c r="FY15" s="274"/>
      <c r="FZ15" s="274"/>
      <c r="GA15" s="274"/>
      <c r="GB15" s="274"/>
      <c r="GC15" s="274"/>
      <c r="GD15" s="274"/>
      <c r="GE15" s="274"/>
      <c r="GF15" s="274"/>
      <c r="GG15" s="274"/>
      <c r="GH15" s="274"/>
      <c r="GI15" s="274"/>
      <c r="GJ15" s="274"/>
      <c r="GK15" s="274"/>
      <c r="GL15" s="274"/>
      <c r="GM15" s="274"/>
      <c r="GN15" s="274"/>
      <c r="GO15" s="274"/>
      <c r="GP15" s="274"/>
      <c r="GQ15" s="274"/>
      <c r="GR15" s="274"/>
      <c r="GS15" s="274"/>
      <c r="GT15" s="274"/>
      <c r="GU15" s="274"/>
      <c r="GV15" s="274"/>
      <c r="GW15" s="274"/>
      <c r="GX15" s="274"/>
      <c r="GY15" s="274"/>
      <c r="GZ15" s="274"/>
      <c r="HA15" s="274"/>
      <c r="HB15" s="274"/>
      <c r="HC15" s="274"/>
      <c r="HD15" s="274"/>
      <c r="HE15" s="274"/>
      <c r="HF15" s="274"/>
      <c r="HG15" s="274"/>
      <c r="HH15" s="274"/>
      <c r="HI15" s="274"/>
      <c r="HJ15" s="274"/>
      <c r="HK15" s="274"/>
      <c r="HL15" s="274"/>
      <c r="HM15" s="274"/>
      <c r="HN15" s="274"/>
      <c r="HO15" s="274"/>
      <c r="HP15" s="274"/>
      <c r="HQ15" s="274"/>
      <c r="HR15" s="274"/>
      <c r="HS15" s="274"/>
      <c r="HT15" s="274"/>
      <c r="HU15" s="274"/>
      <c r="HV15" s="274"/>
      <c r="HW15" s="274"/>
      <c r="HX15" s="274"/>
      <c r="HY15" s="274"/>
      <c r="HZ15" s="274"/>
      <c r="IA15" s="274"/>
      <c r="IB15" s="274"/>
      <c r="IC15" s="274"/>
      <c r="ID15" s="274"/>
      <c r="IE15" s="274"/>
      <c r="IF15" s="274"/>
      <c r="IG15" s="274"/>
      <c r="IH15" s="274"/>
      <c r="II15" s="274"/>
      <c r="IJ15" s="274"/>
      <c r="IK15" s="274"/>
      <c r="IL15" s="274"/>
      <c r="IM15" s="274"/>
      <c r="IN15" s="274"/>
      <c r="IO15" s="274"/>
      <c r="IP15" s="274"/>
      <c r="IQ15" s="274"/>
      <c r="IR15" s="274"/>
      <c r="IS15" s="274"/>
      <c r="IT15" s="274"/>
      <c r="IU15" s="274"/>
    </row>
    <row r="16" spans="1:255" s="912" customFormat="1" ht="38.25">
      <c r="A16" s="938" t="s">
        <v>1358</v>
      </c>
      <c r="B16" s="857" t="s">
        <v>1362</v>
      </c>
      <c r="C16" s="857"/>
      <c r="D16" s="939" t="s">
        <v>2104</v>
      </c>
      <c r="E16" s="940" t="s">
        <v>1308</v>
      </c>
      <c r="F16" s="946" t="s">
        <v>1308</v>
      </c>
      <c r="G16" s="946" t="s">
        <v>1308</v>
      </c>
      <c r="H16" s="2047"/>
      <c r="I16" s="1151" t="str">
        <f>IF(OR(ISTEXT(F16)=TRUE,ISTEXT(G16)=TRUE),Calculation1!$B$87,IF(F16+G16&gt;E16,Calculation1!$B$84,""))</f>
        <v>ERROR, text not valid!</v>
      </c>
      <c r="J16" s="1144"/>
      <c r="K16" s="1144"/>
      <c r="L16" s="1144"/>
      <c r="M16" s="1144"/>
      <c r="N16" s="1144"/>
      <c r="O16" s="1144"/>
      <c r="P16" s="1144"/>
      <c r="Q16" s="1144"/>
      <c r="R16" s="1144"/>
      <c r="S16" s="1144"/>
      <c r="T16" s="1144"/>
      <c r="U16" s="1144"/>
      <c r="V16" s="1144"/>
      <c r="W16" s="1144"/>
      <c r="X16" s="1144"/>
      <c r="Y16" s="1144"/>
      <c r="Z16" s="1144"/>
      <c r="AA16" s="1144"/>
      <c r="AB16" s="1144"/>
      <c r="AC16" s="1144"/>
      <c r="AD16" s="1144"/>
      <c r="AE16" s="1144"/>
      <c r="AF16" s="1144"/>
      <c r="AG16" s="1144"/>
      <c r="AH16" s="1144"/>
      <c r="AI16" s="1144"/>
      <c r="AJ16" s="1144"/>
      <c r="AK16" s="1144"/>
      <c r="AL16" s="1144"/>
      <c r="AM16" s="1144"/>
      <c r="AN16" s="1144"/>
      <c r="AO16" s="1144"/>
      <c r="AP16" s="1144"/>
      <c r="AQ16" s="1144"/>
      <c r="AR16" s="1144"/>
      <c r="AS16" s="1144"/>
      <c r="AT16" s="1144"/>
      <c r="AU16" s="1144"/>
      <c r="AV16" s="1144"/>
      <c r="AW16" s="1144"/>
      <c r="AX16" s="1144"/>
      <c r="AY16" s="1144"/>
      <c r="AZ16" s="1144"/>
      <c r="BA16" s="1144"/>
      <c r="BB16" s="1144"/>
      <c r="BC16" s="1144"/>
      <c r="BD16" s="1144"/>
      <c r="BE16" s="1144"/>
      <c r="BF16" s="274"/>
      <c r="BG16" s="274"/>
      <c r="BH16" s="274"/>
      <c r="BI16" s="274"/>
      <c r="BJ16" s="274"/>
      <c r="BK16" s="274"/>
      <c r="BL16" s="274"/>
      <c r="BM16" s="274"/>
      <c r="BN16" s="274"/>
      <c r="BO16" s="274"/>
      <c r="BP16" s="274"/>
      <c r="BQ16" s="274"/>
      <c r="BR16" s="274"/>
      <c r="BS16" s="274"/>
      <c r="BT16" s="274"/>
      <c r="BU16" s="274"/>
      <c r="BV16" s="274"/>
      <c r="BW16" s="274"/>
      <c r="BX16" s="274"/>
      <c r="BY16" s="274"/>
      <c r="BZ16" s="274"/>
      <c r="CA16" s="274"/>
      <c r="CB16" s="274"/>
      <c r="CC16" s="274"/>
      <c r="CD16" s="274"/>
      <c r="CE16" s="274"/>
      <c r="CF16" s="274"/>
      <c r="CG16" s="274"/>
      <c r="CH16" s="274"/>
      <c r="CI16" s="274"/>
      <c r="CJ16" s="274"/>
      <c r="CK16" s="274"/>
      <c r="CL16" s="274"/>
      <c r="CM16" s="274"/>
      <c r="CN16" s="274"/>
      <c r="CO16" s="274"/>
      <c r="CP16" s="274"/>
      <c r="CQ16" s="274"/>
      <c r="CR16" s="274"/>
      <c r="CS16" s="274"/>
      <c r="CT16" s="274"/>
      <c r="CU16" s="274"/>
      <c r="CV16" s="274"/>
      <c r="CW16" s="274"/>
      <c r="CX16" s="274"/>
      <c r="CY16" s="274"/>
      <c r="CZ16" s="274"/>
      <c r="DA16" s="274"/>
      <c r="DB16" s="274"/>
      <c r="DC16" s="274"/>
      <c r="DD16" s="274"/>
      <c r="DE16" s="274"/>
      <c r="DF16" s="274"/>
      <c r="DG16" s="274"/>
      <c r="DH16" s="274"/>
      <c r="DI16" s="274"/>
      <c r="DJ16" s="274"/>
      <c r="DK16" s="274"/>
      <c r="DL16" s="274"/>
      <c r="DM16" s="274"/>
      <c r="DN16" s="274"/>
      <c r="DO16" s="274"/>
      <c r="DP16" s="274"/>
      <c r="DQ16" s="274"/>
      <c r="DR16" s="274"/>
      <c r="DS16" s="274"/>
      <c r="DT16" s="274"/>
      <c r="DU16" s="274"/>
      <c r="DV16" s="274"/>
      <c r="DW16" s="274"/>
      <c r="DX16" s="274"/>
      <c r="DY16" s="274"/>
      <c r="DZ16" s="274"/>
      <c r="EA16" s="274"/>
      <c r="EB16" s="274"/>
      <c r="EC16" s="274"/>
      <c r="ED16" s="274"/>
      <c r="EE16" s="274"/>
      <c r="EF16" s="274"/>
      <c r="EG16" s="274"/>
      <c r="EH16" s="274"/>
      <c r="EI16" s="274"/>
      <c r="EJ16" s="274"/>
      <c r="EK16" s="274"/>
      <c r="EL16" s="274"/>
      <c r="EM16" s="274"/>
      <c r="EN16" s="274"/>
      <c r="EO16" s="274"/>
      <c r="EP16" s="274"/>
      <c r="EQ16" s="274"/>
      <c r="ER16" s="274"/>
      <c r="ES16" s="274"/>
      <c r="ET16" s="274"/>
      <c r="EU16" s="274"/>
      <c r="EV16" s="274"/>
      <c r="EW16" s="274"/>
      <c r="EX16" s="274"/>
      <c r="EY16" s="274"/>
      <c r="EZ16" s="274"/>
      <c r="FA16" s="274"/>
      <c r="FB16" s="274"/>
      <c r="FC16" s="274"/>
      <c r="FD16" s="274"/>
      <c r="FE16" s="274"/>
      <c r="FF16" s="274"/>
      <c r="FG16" s="274"/>
      <c r="FH16" s="274"/>
      <c r="FI16" s="274"/>
      <c r="FJ16" s="274"/>
      <c r="FK16" s="274"/>
      <c r="FL16" s="274"/>
      <c r="FM16" s="274"/>
      <c r="FN16" s="274"/>
      <c r="FO16" s="274"/>
      <c r="FP16" s="274"/>
      <c r="FQ16" s="274"/>
      <c r="FR16" s="274"/>
      <c r="FS16" s="274"/>
      <c r="FT16" s="274"/>
      <c r="FU16" s="274"/>
      <c r="FV16" s="274"/>
      <c r="FW16" s="274"/>
      <c r="FX16" s="274"/>
      <c r="FY16" s="274"/>
      <c r="FZ16" s="274"/>
      <c r="GA16" s="274"/>
      <c r="GB16" s="274"/>
      <c r="GC16" s="274"/>
      <c r="GD16" s="274"/>
      <c r="GE16" s="274"/>
      <c r="GF16" s="274"/>
      <c r="GG16" s="274"/>
      <c r="GH16" s="274"/>
      <c r="GI16" s="274"/>
      <c r="GJ16" s="274"/>
      <c r="GK16" s="274"/>
      <c r="GL16" s="274"/>
      <c r="GM16" s="274"/>
      <c r="GN16" s="274"/>
      <c r="GO16" s="274"/>
      <c r="GP16" s="274"/>
      <c r="GQ16" s="274"/>
      <c r="GR16" s="274"/>
      <c r="GS16" s="274"/>
      <c r="GT16" s="274"/>
      <c r="GU16" s="274"/>
      <c r="GV16" s="274"/>
      <c r="GW16" s="274"/>
      <c r="GX16" s="274"/>
      <c r="GY16" s="274"/>
      <c r="GZ16" s="274"/>
      <c r="HA16" s="274"/>
      <c r="HB16" s="274"/>
      <c r="HC16" s="274"/>
      <c r="HD16" s="274"/>
      <c r="HE16" s="274"/>
      <c r="HF16" s="274"/>
      <c r="HG16" s="274"/>
      <c r="HH16" s="274"/>
      <c r="HI16" s="274"/>
      <c r="HJ16" s="274"/>
      <c r="HK16" s="274"/>
      <c r="HL16" s="274"/>
      <c r="HM16" s="274"/>
      <c r="HN16" s="274"/>
      <c r="HO16" s="274"/>
      <c r="HP16" s="274"/>
      <c r="HQ16" s="274"/>
      <c r="HR16" s="274"/>
      <c r="HS16" s="274"/>
      <c r="HT16" s="274"/>
      <c r="HU16" s="274"/>
      <c r="HV16" s="274"/>
      <c r="HW16" s="274"/>
      <c r="HX16" s="274"/>
      <c r="HY16" s="274"/>
      <c r="HZ16" s="274"/>
      <c r="IA16" s="274"/>
      <c r="IB16" s="274"/>
      <c r="IC16" s="274"/>
      <c r="ID16" s="274"/>
      <c r="IE16" s="274"/>
      <c r="IF16" s="274"/>
      <c r="IG16" s="274"/>
      <c r="IH16" s="274"/>
      <c r="II16" s="274"/>
      <c r="IJ16" s="274"/>
      <c r="IK16" s="274"/>
      <c r="IL16" s="274"/>
      <c r="IM16" s="274"/>
      <c r="IN16" s="274"/>
      <c r="IO16" s="274"/>
      <c r="IP16" s="274"/>
      <c r="IQ16" s="274"/>
      <c r="IR16" s="274"/>
      <c r="IS16" s="274"/>
      <c r="IT16" s="274"/>
      <c r="IU16" s="274"/>
    </row>
    <row r="17" spans="1:255" s="912" customFormat="1" ht="25.5">
      <c r="A17" s="938" t="s">
        <v>1359</v>
      </c>
      <c r="B17" s="857" t="s">
        <v>1363</v>
      </c>
      <c r="C17" s="857"/>
      <c r="D17" s="939" t="s">
        <v>2104</v>
      </c>
      <c r="E17" s="940" t="s">
        <v>1308</v>
      </c>
      <c r="F17" s="946" t="s">
        <v>1308</v>
      </c>
      <c r="G17" s="946" t="s">
        <v>1308</v>
      </c>
      <c r="H17" s="2047"/>
      <c r="I17" s="1151" t="str">
        <f>IF(OR(ISTEXT(F17)=TRUE,ISTEXT(G17)=TRUE),Calculation1!$B$87,IF(F17+G17&gt;E17,Calculation1!$B$84,""))</f>
        <v>ERROR, text not valid!</v>
      </c>
      <c r="J17" s="1144"/>
      <c r="K17" s="1144"/>
      <c r="L17" s="1144"/>
      <c r="M17" s="1144"/>
      <c r="N17" s="1144"/>
      <c r="O17" s="1144"/>
      <c r="P17" s="1144"/>
      <c r="Q17" s="1144"/>
      <c r="R17" s="1144"/>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1144"/>
      <c r="AS17" s="1144"/>
      <c r="AT17" s="1144"/>
      <c r="AU17" s="1144"/>
      <c r="AV17" s="1144"/>
      <c r="AW17" s="1144"/>
      <c r="AX17" s="1144"/>
      <c r="AY17" s="1144"/>
      <c r="AZ17" s="1144"/>
      <c r="BA17" s="1144"/>
      <c r="BB17" s="1144"/>
      <c r="BC17" s="1144"/>
      <c r="BD17" s="1144"/>
      <c r="BE17" s="1144"/>
      <c r="BF17" s="274"/>
      <c r="BG17" s="274"/>
      <c r="BH17" s="274"/>
      <c r="BI17" s="274"/>
      <c r="BJ17" s="274"/>
      <c r="BK17" s="274"/>
      <c r="BL17" s="274"/>
      <c r="BM17" s="274"/>
      <c r="BN17" s="274"/>
      <c r="BO17" s="274"/>
      <c r="BP17" s="274"/>
      <c r="BQ17" s="274"/>
      <c r="BR17" s="274"/>
      <c r="BS17" s="274"/>
      <c r="BT17" s="274"/>
      <c r="BU17" s="274"/>
      <c r="BV17" s="274"/>
      <c r="BW17" s="274"/>
      <c r="BX17" s="274"/>
      <c r="BY17" s="274"/>
      <c r="BZ17" s="274"/>
      <c r="CA17" s="274"/>
      <c r="CB17" s="274"/>
      <c r="CC17" s="274"/>
      <c r="CD17" s="274"/>
      <c r="CE17" s="274"/>
      <c r="CF17" s="274"/>
      <c r="CG17" s="274"/>
      <c r="CH17" s="274"/>
      <c r="CI17" s="274"/>
      <c r="CJ17" s="274"/>
      <c r="CK17" s="274"/>
      <c r="CL17" s="274"/>
      <c r="CM17" s="274"/>
      <c r="CN17" s="274"/>
      <c r="CO17" s="274"/>
      <c r="CP17" s="274"/>
      <c r="CQ17" s="274"/>
      <c r="CR17" s="274"/>
      <c r="CS17" s="274"/>
      <c r="CT17" s="274"/>
      <c r="CU17" s="274"/>
      <c r="CV17" s="274"/>
      <c r="CW17" s="274"/>
      <c r="CX17" s="274"/>
      <c r="CY17" s="274"/>
      <c r="CZ17" s="274"/>
      <c r="DA17" s="274"/>
      <c r="DB17" s="274"/>
      <c r="DC17" s="274"/>
      <c r="DD17" s="274"/>
      <c r="DE17" s="274"/>
      <c r="DF17" s="274"/>
      <c r="DG17" s="274"/>
      <c r="DH17" s="274"/>
      <c r="DI17" s="274"/>
      <c r="DJ17" s="274"/>
      <c r="DK17" s="274"/>
      <c r="DL17" s="274"/>
      <c r="DM17" s="274"/>
      <c r="DN17" s="274"/>
      <c r="DO17" s="274"/>
      <c r="DP17" s="274"/>
      <c r="DQ17" s="274"/>
      <c r="DR17" s="274"/>
      <c r="DS17" s="274"/>
      <c r="DT17" s="274"/>
      <c r="DU17" s="274"/>
      <c r="DV17" s="274"/>
      <c r="DW17" s="274"/>
      <c r="DX17" s="274"/>
      <c r="DY17" s="274"/>
      <c r="DZ17" s="274"/>
      <c r="EA17" s="274"/>
      <c r="EB17" s="274"/>
      <c r="EC17" s="274"/>
      <c r="ED17" s="274"/>
      <c r="EE17" s="274"/>
      <c r="EF17" s="274"/>
      <c r="EG17" s="274"/>
      <c r="EH17" s="274"/>
      <c r="EI17" s="274"/>
      <c r="EJ17" s="274"/>
      <c r="EK17" s="274"/>
      <c r="EL17" s="274"/>
      <c r="EM17" s="274"/>
      <c r="EN17" s="274"/>
      <c r="EO17" s="274"/>
      <c r="EP17" s="274"/>
      <c r="EQ17" s="274"/>
      <c r="ER17" s="274"/>
      <c r="ES17" s="274"/>
      <c r="ET17" s="274"/>
      <c r="EU17" s="274"/>
      <c r="EV17" s="274"/>
      <c r="EW17" s="274"/>
      <c r="EX17" s="274"/>
      <c r="EY17" s="274"/>
      <c r="EZ17" s="274"/>
      <c r="FA17" s="274"/>
      <c r="FB17" s="274"/>
      <c r="FC17" s="274"/>
      <c r="FD17" s="274"/>
      <c r="FE17" s="274"/>
      <c r="FF17" s="274"/>
      <c r="FG17" s="274"/>
      <c r="FH17" s="274"/>
      <c r="FI17" s="274"/>
      <c r="FJ17" s="274"/>
      <c r="FK17" s="274"/>
      <c r="FL17" s="274"/>
      <c r="FM17" s="274"/>
      <c r="FN17" s="274"/>
      <c r="FO17" s="274"/>
      <c r="FP17" s="274"/>
      <c r="FQ17" s="274"/>
      <c r="FR17" s="274"/>
      <c r="FS17" s="274"/>
      <c r="FT17" s="274"/>
      <c r="FU17" s="274"/>
      <c r="FV17" s="274"/>
      <c r="FW17" s="274"/>
      <c r="FX17" s="274"/>
      <c r="FY17" s="274"/>
      <c r="FZ17" s="274"/>
      <c r="GA17" s="274"/>
      <c r="GB17" s="274"/>
      <c r="GC17" s="274"/>
      <c r="GD17" s="274"/>
      <c r="GE17" s="274"/>
      <c r="GF17" s="274"/>
      <c r="GG17" s="274"/>
      <c r="GH17" s="274"/>
      <c r="GI17" s="274"/>
      <c r="GJ17" s="274"/>
      <c r="GK17" s="274"/>
      <c r="GL17" s="274"/>
      <c r="GM17" s="274"/>
      <c r="GN17" s="274"/>
      <c r="GO17" s="274"/>
      <c r="GP17" s="274"/>
      <c r="GQ17" s="274"/>
      <c r="GR17" s="274"/>
      <c r="GS17" s="274"/>
      <c r="GT17" s="274"/>
      <c r="GU17" s="274"/>
      <c r="GV17" s="274"/>
      <c r="GW17" s="274"/>
      <c r="GX17" s="274"/>
      <c r="GY17" s="274"/>
      <c r="GZ17" s="274"/>
      <c r="HA17" s="274"/>
      <c r="HB17" s="274"/>
      <c r="HC17" s="274"/>
      <c r="HD17" s="274"/>
      <c r="HE17" s="274"/>
      <c r="HF17" s="274"/>
      <c r="HG17" s="274"/>
      <c r="HH17" s="274"/>
      <c r="HI17" s="274"/>
      <c r="HJ17" s="274"/>
      <c r="HK17" s="274"/>
      <c r="HL17" s="274"/>
      <c r="HM17" s="274"/>
      <c r="HN17" s="274"/>
      <c r="HO17" s="274"/>
      <c r="HP17" s="274"/>
      <c r="HQ17" s="274"/>
      <c r="HR17" s="274"/>
      <c r="HS17" s="274"/>
      <c r="HT17" s="274"/>
      <c r="HU17" s="274"/>
      <c r="HV17" s="274"/>
      <c r="HW17" s="274"/>
      <c r="HX17" s="274"/>
      <c r="HY17" s="274"/>
      <c r="HZ17" s="274"/>
      <c r="IA17" s="274"/>
      <c r="IB17" s="274"/>
      <c r="IC17" s="274"/>
      <c r="ID17" s="274"/>
      <c r="IE17" s="274"/>
      <c r="IF17" s="274"/>
      <c r="IG17" s="274"/>
      <c r="IH17" s="274"/>
      <c r="II17" s="274"/>
      <c r="IJ17" s="274"/>
      <c r="IK17" s="274"/>
      <c r="IL17" s="274"/>
      <c r="IM17" s="274"/>
      <c r="IN17" s="274"/>
      <c r="IO17" s="274"/>
      <c r="IP17" s="274"/>
      <c r="IQ17" s="274"/>
      <c r="IR17" s="274"/>
      <c r="IS17" s="274"/>
      <c r="IT17" s="274"/>
      <c r="IU17" s="274"/>
    </row>
    <row r="18" spans="1:255" s="912" customFormat="1" ht="25.5">
      <c r="A18" s="938" t="s">
        <v>1360</v>
      </c>
      <c r="B18" s="857" t="s">
        <v>1364</v>
      </c>
      <c r="C18" s="857"/>
      <c r="D18" s="939" t="s">
        <v>2104</v>
      </c>
      <c r="E18" s="940" t="s">
        <v>1308</v>
      </c>
      <c r="F18" s="946" t="s">
        <v>1308</v>
      </c>
      <c r="G18" s="946" t="s">
        <v>1308</v>
      </c>
      <c r="H18" s="2047"/>
      <c r="I18" s="1151" t="str">
        <f>IF(OR(ISTEXT(F18)=TRUE,ISTEXT(G18)=TRUE),Calculation1!$B$87,IF(F18+G18&gt;E18,Calculation1!$B$84,""))</f>
        <v>ERROR, text not valid!</v>
      </c>
      <c r="J18" s="1144"/>
      <c r="K18" s="1144"/>
      <c r="L18" s="1144"/>
      <c r="M18" s="1144"/>
      <c r="N18" s="1144"/>
      <c r="O18" s="1144"/>
      <c r="P18" s="1144"/>
      <c r="Q18" s="1144"/>
      <c r="R18" s="1144"/>
      <c r="S18" s="1144"/>
      <c r="T18" s="1144"/>
      <c r="U18" s="1144"/>
      <c r="V18" s="1144"/>
      <c r="W18" s="1144"/>
      <c r="X18" s="1144"/>
      <c r="Y18" s="1144"/>
      <c r="Z18" s="1144"/>
      <c r="AA18" s="1144"/>
      <c r="AB18" s="1144"/>
      <c r="AC18" s="1144"/>
      <c r="AD18" s="1144"/>
      <c r="AE18" s="1144"/>
      <c r="AF18" s="1144"/>
      <c r="AG18" s="1144"/>
      <c r="AH18" s="1144"/>
      <c r="AI18" s="1144"/>
      <c r="AJ18" s="1144"/>
      <c r="AK18" s="1144"/>
      <c r="AL18" s="1144"/>
      <c r="AM18" s="1144"/>
      <c r="AN18" s="1144"/>
      <c r="AO18" s="1144"/>
      <c r="AP18" s="1144"/>
      <c r="AQ18" s="1144"/>
      <c r="AR18" s="1144"/>
      <c r="AS18" s="1144"/>
      <c r="AT18" s="1144"/>
      <c r="AU18" s="1144"/>
      <c r="AV18" s="1144"/>
      <c r="AW18" s="1144"/>
      <c r="AX18" s="1144"/>
      <c r="AY18" s="1144"/>
      <c r="AZ18" s="1144"/>
      <c r="BA18" s="1144"/>
      <c r="BB18" s="1144"/>
      <c r="BC18" s="1144"/>
      <c r="BD18" s="1144"/>
      <c r="BE18" s="1144"/>
      <c r="BF18" s="274"/>
      <c r="BG18" s="274"/>
      <c r="BH18" s="274"/>
      <c r="BI18" s="274"/>
      <c r="BJ18" s="274"/>
      <c r="BK18" s="274"/>
      <c r="BL18" s="274"/>
      <c r="BM18" s="274"/>
      <c r="BN18" s="274"/>
      <c r="BO18" s="274"/>
      <c r="BP18" s="274"/>
      <c r="BQ18" s="274"/>
      <c r="BR18" s="274"/>
      <c r="BS18" s="274"/>
      <c r="BT18" s="274"/>
      <c r="BU18" s="274"/>
      <c r="BV18" s="274"/>
      <c r="BW18" s="274"/>
      <c r="BX18" s="274"/>
      <c r="BY18" s="274"/>
      <c r="BZ18" s="274"/>
      <c r="CA18" s="274"/>
      <c r="CB18" s="274"/>
      <c r="CC18" s="274"/>
      <c r="CD18" s="274"/>
      <c r="CE18" s="274"/>
      <c r="CF18" s="274"/>
      <c r="CG18" s="274"/>
      <c r="CH18" s="274"/>
      <c r="CI18" s="274"/>
      <c r="CJ18" s="274"/>
      <c r="CK18" s="274"/>
      <c r="CL18" s="274"/>
      <c r="CM18" s="274"/>
      <c r="CN18" s="274"/>
      <c r="CO18" s="274"/>
      <c r="CP18" s="274"/>
      <c r="CQ18" s="274"/>
      <c r="CR18" s="274"/>
      <c r="CS18" s="274"/>
      <c r="CT18" s="274"/>
      <c r="CU18" s="274"/>
      <c r="CV18" s="274"/>
      <c r="CW18" s="274"/>
      <c r="CX18" s="274"/>
      <c r="CY18" s="274"/>
      <c r="CZ18" s="274"/>
      <c r="DA18" s="274"/>
      <c r="DB18" s="274"/>
      <c r="DC18" s="274"/>
      <c r="DD18" s="274"/>
      <c r="DE18" s="274"/>
      <c r="DF18" s="274"/>
      <c r="DG18" s="274"/>
      <c r="DH18" s="274"/>
      <c r="DI18" s="274"/>
      <c r="DJ18" s="274"/>
      <c r="DK18" s="274"/>
      <c r="DL18" s="274"/>
      <c r="DM18" s="274"/>
      <c r="DN18" s="274"/>
      <c r="DO18" s="274"/>
      <c r="DP18" s="274"/>
      <c r="DQ18" s="274"/>
      <c r="DR18" s="274"/>
      <c r="DS18" s="274"/>
      <c r="DT18" s="274"/>
      <c r="DU18" s="274"/>
      <c r="DV18" s="274"/>
      <c r="DW18" s="274"/>
      <c r="DX18" s="274"/>
      <c r="DY18" s="274"/>
      <c r="DZ18" s="274"/>
      <c r="EA18" s="274"/>
      <c r="EB18" s="274"/>
      <c r="EC18" s="274"/>
      <c r="ED18" s="274"/>
      <c r="EE18" s="274"/>
      <c r="EF18" s="274"/>
      <c r="EG18" s="274"/>
      <c r="EH18" s="274"/>
      <c r="EI18" s="274"/>
      <c r="EJ18" s="274"/>
      <c r="EK18" s="274"/>
      <c r="EL18" s="274"/>
      <c r="EM18" s="274"/>
      <c r="EN18" s="274"/>
      <c r="EO18" s="274"/>
      <c r="EP18" s="274"/>
      <c r="EQ18" s="274"/>
      <c r="ER18" s="274"/>
      <c r="ES18" s="274"/>
      <c r="ET18" s="274"/>
      <c r="EU18" s="274"/>
      <c r="EV18" s="274"/>
      <c r="EW18" s="274"/>
      <c r="EX18" s="274"/>
      <c r="EY18" s="274"/>
      <c r="EZ18" s="274"/>
      <c r="FA18" s="274"/>
      <c r="FB18" s="274"/>
      <c r="FC18" s="274"/>
      <c r="FD18" s="274"/>
      <c r="FE18" s="274"/>
      <c r="FF18" s="274"/>
      <c r="FG18" s="274"/>
      <c r="FH18" s="274"/>
      <c r="FI18" s="274"/>
      <c r="FJ18" s="274"/>
      <c r="FK18" s="274"/>
      <c r="FL18" s="274"/>
      <c r="FM18" s="274"/>
      <c r="FN18" s="274"/>
      <c r="FO18" s="274"/>
      <c r="FP18" s="274"/>
      <c r="FQ18" s="274"/>
      <c r="FR18" s="274"/>
      <c r="FS18" s="274"/>
      <c r="FT18" s="274"/>
      <c r="FU18" s="274"/>
      <c r="FV18" s="274"/>
      <c r="FW18" s="274"/>
      <c r="FX18" s="274"/>
      <c r="FY18" s="274"/>
      <c r="FZ18" s="274"/>
      <c r="GA18" s="274"/>
      <c r="GB18" s="274"/>
      <c r="GC18" s="274"/>
      <c r="GD18" s="274"/>
      <c r="GE18" s="274"/>
      <c r="GF18" s="274"/>
      <c r="GG18" s="274"/>
      <c r="GH18" s="274"/>
      <c r="GI18" s="274"/>
      <c r="GJ18" s="274"/>
      <c r="GK18" s="274"/>
      <c r="GL18" s="274"/>
      <c r="GM18" s="274"/>
      <c r="GN18" s="274"/>
      <c r="GO18" s="274"/>
      <c r="GP18" s="274"/>
      <c r="GQ18" s="274"/>
      <c r="GR18" s="274"/>
      <c r="GS18" s="274"/>
      <c r="GT18" s="274"/>
      <c r="GU18" s="274"/>
      <c r="GV18" s="274"/>
      <c r="GW18" s="274"/>
      <c r="GX18" s="274"/>
      <c r="GY18" s="274"/>
      <c r="GZ18" s="274"/>
      <c r="HA18" s="274"/>
      <c r="HB18" s="274"/>
      <c r="HC18" s="274"/>
      <c r="HD18" s="274"/>
      <c r="HE18" s="274"/>
      <c r="HF18" s="274"/>
      <c r="HG18" s="274"/>
      <c r="HH18" s="274"/>
      <c r="HI18" s="274"/>
      <c r="HJ18" s="274"/>
      <c r="HK18" s="274"/>
      <c r="HL18" s="274"/>
      <c r="HM18" s="274"/>
      <c r="HN18" s="274"/>
      <c r="HO18" s="274"/>
      <c r="HP18" s="274"/>
      <c r="HQ18" s="274"/>
      <c r="HR18" s="274"/>
      <c r="HS18" s="274"/>
      <c r="HT18" s="274"/>
      <c r="HU18" s="274"/>
      <c r="HV18" s="274"/>
      <c r="HW18" s="274"/>
      <c r="HX18" s="274"/>
      <c r="HY18" s="274"/>
      <c r="HZ18" s="274"/>
      <c r="IA18" s="274"/>
      <c r="IB18" s="274"/>
      <c r="IC18" s="274"/>
      <c r="ID18" s="274"/>
      <c r="IE18" s="274"/>
      <c r="IF18" s="274"/>
      <c r="IG18" s="274"/>
      <c r="IH18" s="274"/>
      <c r="II18" s="274"/>
      <c r="IJ18" s="274"/>
      <c r="IK18" s="274"/>
      <c r="IL18" s="274"/>
      <c r="IM18" s="274"/>
      <c r="IN18" s="274"/>
      <c r="IO18" s="274"/>
      <c r="IP18" s="274"/>
      <c r="IQ18" s="274"/>
      <c r="IR18" s="274"/>
      <c r="IS18" s="274"/>
      <c r="IT18" s="274"/>
      <c r="IU18" s="274"/>
    </row>
    <row r="19" spans="1:255" ht="270" customHeight="1" thickBot="1">
      <c r="A19" s="1982" t="s">
        <v>1220</v>
      </c>
      <c r="B19" s="471" t="s">
        <v>1222</v>
      </c>
      <c r="C19" s="471" t="s">
        <v>1995</v>
      </c>
      <c r="D19" s="857" t="s">
        <v>2048</v>
      </c>
      <c r="E19" s="457">
        <v>2</v>
      </c>
      <c r="F19" s="2050"/>
      <c r="G19" s="2050"/>
      <c r="H19" s="907"/>
      <c r="I19" s="1151" t="str">
        <f>IF(OR(ISTEXT(F19)=TRUE,ISTEXT(G19)=TRUE),Calculation1!$B$87,IF(F19+G19&gt;E19,Calculation1!$B$84,""))</f>
        <v/>
      </c>
      <c r="J19" s="321"/>
      <c r="K19" s="322"/>
      <c r="L19" s="470"/>
    </row>
    <row r="20" spans="1:255" ht="18.75" thickBot="1">
      <c r="A20" s="1335"/>
      <c r="B20" s="1336"/>
      <c r="C20" s="1336"/>
      <c r="D20" s="1199" t="s">
        <v>1035</v>
      </c>
      <c r="E20" s="1200">
        <f>SUM(E6:E19)</f>
        <v>30</v>
      </c>
      <c r="F20" s="1200">
        <f>SUM(F5:F19)</f>
        <v>0</v>
      </c>
      <c r="G20" s="1200">
        <f>SUM(G6:G19)</f>
        <v>0</v>
      </c>
      <c r="H20" s="1337"/>
      <c r="I20" s="466"/>
    </row>
    <row r="21" spans="1:255" ht="12.75" customHeight="1">
      <c r="A21" s="1150"/>
      <c r="H21" s="317"/>
    </row>
    <row r="22" spans="1:255" ht="12.75" customHeight="1">
      <c r="A22" s="1150"/>
      <c r="H22" s="317"/>
    </row>
    <row r="23" spans="1:255" ht="12.75" customHeight="1">
      <c r="A23" s="1150"/>
      <c r="H23" s="317"/>
    </row>
    <row r="24" spans="1:255" ht="12.75" customHeight="1">
      <c r="A24" s="595" t="str">
        <f>Calculation1!$B$93</f>
        <v>Project Teams are to refer to the Green Star SA Public Building PILOT Technical Manual for explicit credit criteria and documentation requirements.</v>
      </c>
      <c r="H24" s="317"/>
    </row>
    <row r="25" spans="1:255" ht="12.75" customHeight="1">
      <c r="A25" s="595" t="str">
        <f>Calculation1!$B$94</f>
        <v>The Green Star Technical Clarifications (TC) and Credit Interpretation Request (CIR) rulings provide an essential source of information to all</v>
      </c>
    </row>
    <row r="26" spans="1:255" ht="12.75" customHeight="1">
      <c r="A26" s="595" t="str">
        <f>Calculation1!$B$95</f>
        <v>projects undertaking Green Star assessment. They are available on the GBCSA website http://www.gbcsa.org.za . Technical Clarifications</v>
      </c>
    </row>
    <row r="27" spans="1:255" ht="12.75" customHeight="1">
      <c r="A27" s="595" t="str">
        <f>Calculation1!$B$96</f>
        <v xml:space="preserve">often represent the GBCSA answers to technical queries and complement Green Star SA Technical Manuals. They do not amend but clarify </v>
      </c>
    </row>
    <row r="28" spans="1:255" ht="12.75" customHeight="1">
      <c r="A28" s="595" t="str">
        <f>Calculation1!$B$97</f>
        <v xml:space="preserve">Credit Criteria or Compliance Requirements. They are an extension of the Technical Manual; it is the responsibility of the project teams to stay </v>
      </c>
    </row>
    <row r="29" spans="1:255" ht="12.75" customHeight="1">
      <c r="A29" s="595" t="str">
        <f>Calculation1!$B$98</f>
        <v xml:space="preserve">up-to-date with this section of the GBCSA website. The CIR rulings offer alternative compliance options whenever those have been deemed </v>
      </c>
    </row>
    <row r="30" spans="1:255" ht="12.75" customHeight="1">
      <c r="A30" s="595" t="str">
        <f>Calculation1!$B$99</f>
        <v>equivalent in meeting the Aim of Credit.</v>
      </c>
    </row>
    <row r="31" spans="1:255" ht="12.75" customHeight="1">
      <c r="A31" s="595"/>
    </row>
    <row r="32" spans="1:255">
      <c r="A32" s="451"/>
    </row>
    <row r="33" spans="1:2">
      <c r="A33" s="472"/>
    </row>
    <row r="34" spans="1:2">
      <c r="A34" s="350"/>
    </row>
    <row r="35" spans="1:2">
      <c r="A35" s="350"/>
    </row>
    <row r="39" spans="1:2">
      <c r="B39" s="468"/>
    </row>
    <row r="40" spans="1:2">
      <c r="B40" s="468"/>
    </row>
  </sheetData>
  <sheetProtection password="AD9B" sheet="1" objects="1" scenarios="1"/>
  <mergeCells count="5">
    <mergeCell ref="F5:G5"/>
    <mergeCell ref="E6:E7"/>
    <mergeCell ref="F6:F7"/>
    <mergeCell ref="G6:G7"/>
    <mergeCell ref="H6:H7"/>
  </mergeCells>
  <phoneticPr fontId="0"/>
  <conditionalFormatting sqref="H5">
    <cfRule type="cellIs" dxfId="55" priority="1" stopIfTrue="1" operator="equal">
      <formula>#REF!</formula>
    </cfRule>
  </conditionalFormatting>
  <conditionalFormatting sqref="F5:G5">
    <cfRule type="cellIs" dxfId="54" priority="2" stopIfTrue="1" operator="equal">
      <formula>"NO; Ene- Conditional Requirement NOT achieved"</formula>
    </cfRule>
  </conditionalFormatting>
  <printOptions horizontalCentered="1"/>
  <pageMargins left="0.59055118110236227" right="0.59055118110236227" top="0.4" bottom="0.47244094488188981" header="0.23622047244094491" footer="0.35433070866141736"/>
  <pageSetup paperSize="8" scale="65" fitToHeight="2" orientation="portrait" blackAndWhite="1" r:id="rId1"/>
  <headerFooter alignWithMargins="0">
    <oddHeader>&amp;LGreen Building Council of South Africa&amp;R&amp;T   &amp;D</oddHeader>
    <oddFooter>&amp;L&amp;F&amp;CPage &amp;P of &amp;N&amp;RCategory: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106" r:id="rId4" name="Button 2">
              <controlPr defaultSize="0" print="0" autoFill="0" autoPict="0" macro="[0]!GoToEnergyCalc">
                <anchor moveWithCells="1" sizeWithCells="1">
                  <from>
                    <xdr:col>3</xdr:col>
                    <xdr:colOff>885825</xdr:colOff>
                    <xdr:row>6</xdr:row>
                    <xdr:rowOff>3552825</xdr:rowOff>
                  </from>
                  <to>
                    <xdr:col>3</xdr:col>
                    <xdr:colOff>3876675</xdr:colOff>
                    <xdr:row>6</xdr:row>
                    <xdr:rowOff>3819525</xdr:rowOff>
                  </to>
                </anchor>
              </controlPr>
            </control>
          </mc:Choice>
        </mc:AlternateContent>
        <mc:AlternateContent xmlns:mc="http://schemas.openxmlformats.org/markup-compatibility/2006">
          <mc:Choice Requires="x14">
            <control shapeId="47107" r:id="rId5" name="Button 3">
              <controlPr defaultSize="0" print="0" autoFill="0" autoPict="0" macro="[0]!GoToCreditSummary">
                <anchor moveWithCells="1" sizeWithCells="1">
                  <from>
                    <xdr:col>4</xdr:col>
                    <xdr:colOff>571500</xdr:colOff>
                    <xdr:row>20</xdr:row>
                    <xdr:rowOff>142875</xdr:rowOff>
                  </from>
                  <to>
                    <xdr:col>6</xdr:col>
                    <xdr:colOff>952500</xdr:colOff>
                    <xdr:row>23</xdr:row>
                    <xdr:rowOff>47625</xdr:rowOff>
                  </to>
                </anchor>
              </controlPr>
            </control>
          </mc:Choice>
        </mc:AlternateContent>
        <mc:AlternateContent xmlns:mc="http://schemas.openxmlformats.org/markup-compatibility/2006">
          <mc:Choice Requires="x14">
            <control shapeId="47128" r:id="rId6" name="Button 24">
              <controlPr defaultSize="0" print="0" autoFill="0" autoPict="0" macro="[0]!BackToTop">
                <anchor moveWithCells="1" sizeWithCells="1">
                  <from>
                    <xdr:col>7</xdr:col>
                    <xdr:colOff>695325</xdr:colOff>
                    <xdr:row>21</xdr:row>
                    <xdr:rowOff>38100</xdr:rowOff>
                  </from>
                  <to>
                    <xdr:col>7</xdr:col>
                    <xdr:colOff>1971675</xdr:colOff>
                    <xdr:row>23</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pageSetUpPr fitToPage="1"/>
  </sheetPr>
  <dimension ref="A1:M299"/>
  <sheetViews>
    <sheetView zoomScaleNormal="80" zoomScaleSheetLayoutView="100" workbookViewId="0">
      <pane ySplit="3" topLeftCell="A4" activePane="bottomLeft" state="frozen"/>
      <selection pane="bottomLeft" activeCell="F10" sqref="F10:G12"/>
    </sheetView>
  </sheetViews>
  <sheetFormatPr defaultColWidth="8" defaultRowHeight="12.75"/>
  <cols>
    <col min="1" max="1" width="1.875" style="476" customWidth="1"/>
    <col min="2" max="2" width="8.25" style="476" customWidth="1"/>
    <col min="3" max="3" width="8.5" style="476" customWidth="1"/>
    <col min="4" max="4" width="41" style="476" customWidth="1"/>
    <col min="5" max="8" width="13.75" style="476" customWidth="1"/>
    <col min="9" max="9" width="11.875" style="476" customWidth="1"/>
    <col min="10" max="10" width="4" style="476" customWidth="1"/>
    <col min="11" max="11" width="11.875" style="476" customWidth="1"/>
    <col min="12" max="12" width="17" style="476" customWidth="1"/>
    <col min="13" max="44" width="8" style="476" customWidth="1"/>
    <col min="45" max="16384" width="8" style="476"/>
  </cols>
  <sheetData>
    <row r="1" spans="1:12" ht="27" customHeight="1" thickBot="1">
      <c r="B1" s="531" t="str">
        <f>'Building Input'!B1</f>
        <v>Green Star SA - Public &amp; Education Building v1</v>
      </c>
      <c r="C1" s="477"/>
      <c r="D1" s="477"/>
      <c r="E1" s="477"/>
      <c r="F1" s="478"/>
      <c r="G1" s="478"/>
      <c r="H1" s="478"/>
      <c r="I1" s="478"/>
      <c r="J1" s="478"/>
      <c r="K1" s="478"/>
      <c r="L1" s="478"/>
    </row>
    <row r="2" spans="1:12" s="482" customFormat="1" ht="27" customHeight="1" thickBot="1">
      <c r="B2" s="313" t="s">
        <v>979</v>
      </c>
      <c r="C2" s="314"/>
      <c r="D2" s="276"/>
      <c r="E2" s="276"/>
      <c r="G2" s="1269"/>
      <c r="H2" s="1270" t="s">
        <v>980</v>
      </c>
      <c r="I2" s="820" t="str">
        <f>I62</f>
        <v>-</v>
      </c>
      <c r="J2" s="483"/>
      <c r="K2" s="484"/>
      <c r="L2" s="484"/>
    </row>
    <row r="3" spans="1:12" ht="6" customHeight="1">
      <c r="A3" s="478"/>
      <c r="B3" s="2265"/>
      <c r="C3" s="2266"/>
      <c r="D3" s="2266"/>
      <c r="E3" s="2266"/>
      <c r="F3" s="2266"/>
      <c r="G3" s="2266"/>
      <c r="H3" s="2267"/>
      <c r="I3" s="478"/>
      <c r="J3" s="478"/>
      <c r="K3" s="478"/>
      <c r="L3" s="478"/>
    </row>
    <row r="4" spans="1:12" ht="16.5" thickBot="1">
      <c r="A4" s="478"/>
      <c r="B4" s="532" t="s">
        <v>507</v>
      </c>
      <c r="C4" s="477"/>
      <c r="D4" s="477"/>
      <c r="E4" s="477"/>
      <c r="F4" s="478"/>
      <c r="G4" s="487"/>
      <c r="H4" s="478"/>
      <c r="I4" s="478"/>
      <c r="J4" s="478"/>
      <c r="L4" s="488"/>
    </row>
    <row r="5" spans="1:12" ht="15">
      <c r="A5" s="478"/>
      <c r="B5" s="541" t="s">
        <v>729</v>
      </c>
      <c r="C5" s="477"/>
      <c r="D5" s="477"/>
      <c r="E5" s="477"/>
      <c r="F5" s="478"/>
      <c r="G5" s="2314" t="s">
        <v>1062</v>
      </c>
      <c r="H5" s="2315"/>
      <c r="I5" s="2299" t="str">
        <f>IF(AND(F10=B91,F18="Not Available"),"Not Achieved",IF(F10=B93,"Not Achieved",IF(AND(F18="Yes",OR(F14="Yes",F14="N/A")),"Achieved",IF(AND(H59&lt;H58,OR(F14="Yes",F14="N/A"),SUM(E33:E37)&gt;0,SUM(F33:F37)&gt;0),"Achieved","Not Achieved"))))</f>
        <v>Not Achieved</v>
      </c>
      <c r="J5" s="478"/>
      <c r="L5" s="488"/>
    </row>
    <row r="6" spans="1:12" s="832" customFormat="1" ht="15">
      <c r="A6" s="485"/>
      <c r="B6" s="541" t="s">
        <v>1463</v>
      </c>
      <c r="C6" s="831"/>
      <c r="D6" s="831"/>
      <c r="E6" s="831"/>
      <c r="F6" s="485"/>
      <c r="G6" s="2316"/>
      <c r="H6" s="2317"/>
      <c r="I6" s="2300"/>
      <c r="J6" s="485"/>
      <c r="L6" s="833"/>
    </row>
    <row r="7" spans="1:12" s="832" customFormat="1" ht="15.75" thickBot="1">
      <c r="A7" s="485"/>
      <c r="B7" s="541" t="s">
        <v>1295</v>
      </c>
      <c r="C7" s="831"/>
      <c r="D7" s="831"/>
      <c r="E7" s="831"/>
      <c r="F7" s="485"/>
      <c r="G7" s="2318"/>
      <c r="H7" s="2319"/>
      <c r="I7" s="2301"/>
      <c r="J7" s="485"/>
      <c r="L7" s="833"/>
    </row>
    <row r="8" spans="1:12" ht="10.5" customHeight="1">
      <c r="B8" s="2271"/>
      <c r="C8" s="2272"/>
      <c r="D8" s="2272"/>
      <c r="E8" s="2272"/>
      <c r="F8" s="2272"/>
      <c r="G8" s="2272"/>
      <c r="H8" s="2272"/>
      <c r="I8" s="2272"/>
      <c r="K8" s="490"/>
      <c r="L8" s="491"/>
    </row>
    <row r="9" spans="1:12" ht="13.5" thickBot="1">
      <c r="B9" s="492"/>
      <c r="H9" s="480"/>
      <c r="I9" s="480"/>
    </row>
    <row r="10" spans="1:12" ht="12.75" customHeight="1">
      <c r="B10" s="2283" t="s">
        <v>712</v>
      </c>
      <c r="C10" s="2284"/>
      <c r="D10" s="2284"/>
      <c r="E10" s="2285"/>
      <c r="F10" s="2308" t="s">
        <v>644</v>
      </c>
      <c r="G10" s="2309"/>
      <c r="I10" s="530"/>
      <c r="J10" s="491"/>
      <c r="K10" s="491"/>
    </row>
    <row r="11" spans="1:12" ht="12.75" customHeight="1">
      <c r="B11" s="2286"/>
      <c r="C11" s="2287"/>
      <c r="D11" s="2287"/>
      <c r="E11" s="2288"/>
      <c r="F11" s="2310"/>
      <c r="G11" s="2311"/>
      <c r="H11" s="2273" t="str">
        <f>IF(F14="no","All naturally ventilated spaces that do not meet the comfort criteria must be entered as conditioned spaces on the building input sheet and treated as conditioned spaces in the modelling (refer Energy Calculator Guide for more information).","")</f>
        <v/>
      </c>
      <c r="I11" s="2274"/>
      <c r="J11" s="2274"/>
    </row>
    <row r="12" spans="1:12" ht="24.75" customHeight="1" thickBot="1">
      <c r="B12" s="2289"/>
      <c r="C12" s="2290"/>
      <c r="D12" s="2290"/>
      <c r="E12" s="2291"/>
      <c r="F12" s="2312"/>
      <c r="G12" s="2313"/>
      <c r="H12" s="2274"/>
      <c r="I12" s="2274"/>
      <c r="J12" s="2274"/>
    </row>
    <row r="13" spans="1:12" ht="13.5" thickBot="1">
      <c r="H13" s="2274"/>
      <c r="I13" s="2274"/>
      <c r="J13" s="2274"/>
    </row>
    <row r="14" spans="1:12" ht="12.75" customHeight="1">
      <c r="B14" s="2339" t="s">
        <v>1440</v>
      </c>
      <c r="C14" s="2340"/>
      <c r="D14" s="2340"/>
      <c r="E14" s="2341"/>
      <c r="F14" s="2302" t="s">
        <v>509</v>
      </c>
      <c r="G14" s="2303"/>
      <c r="H14" s="2274"/>
      <c r="I14" s="2274"/>
      <c r="J14" s="2274"/>
    </row>
    <row r="15" spans="1:12" ht="12.75" customHeight="1">
      <c r="B15" s="2342"/>
      <c r="C15" s="2343"/>
      <c r="D15" s="2343"/>
      <c r="E15" s="2344"/>
      <c r="F15" s="2304"/>
      <c r="G15" s="2305"/>
      <c r="H15" s="2274"/>
      <c r="I15" s="2274"/>
      <c r="J15" s="2274"/>
    </row>
    <row r="16" spans="1:12" ht="31.5" customHeight="1" thickBot="1">
      <c r="B16" s="2345"/>
      <c r="C16" s="2346"/>
      <c r="D16" s="2346"/>
      <c r="E16" s="2347"/>
      <c r="F16" s="2306"/>
      <c r="G16" s="2307"/>
      <c r="H16" s="2274"/>
      <c r="I16" s="2274"/>
      <c r="J16" s="2274"/>
    </row>
    <row r="17" spans="1:12" ht="16.5" customHeight="1" thickBot="1">
      <c r="B17" s="492"/>
      <c r="H17" s="493"/>
      <c r="J17" s="481"/>
      <c r="K17" s="481"/>
    </row>
    <row r="18" spans="1:12" ht="15" customHeight="1">
      <c r="B18" s="2339" t="s">
        <v>1439</v>
      </c>
      <c r="C18" s="2340"/>
      <c r="D18" s="2340"/>
      <c r="E18" s="2341"/>
      <c r="F18" s="2348" t="str">
        <f>IF(F22&gt;=E109,"Not Available",IF(F10=B90,"No (Route 1 used)",IF(F10=B91,"Yes",IF(F10=B92,"No (Route 3 used)",IF(F10=B93,"No","")))))</f>
        <v>No</v>
      </c>
      <c r="G18" s="2349"/>
      <c r="H18" s="493"/>
      <c r="I18" s="494"/>
      <c r="J18" s="481"/>
      <c r="K18" s="481"/>
    </row>
    <row r="19" spans="1:12" ht="37.5" customHeight="1">
      <c r="A19" s="492" t="s">
        <v>275</v>
      </c>
      <c r="B19" s="2342"/>
      <c r="C19" s="2343"/>
      <c r="D19" s="2343"/>
      <c r="E19" s="2344"/>
      <c r="F19" s="2350"/>
      <c r="G19" s="2351"/>
      <c r="H19" s="495" t="str">
        <f>IF(F22&gt;=E109," (Public &amp; Education Building GFA limit exceeded)","")</f>
        <v/>
      </c>
      <c r="I19" s="481"/>
      <c r="J19" s="481"/>
      <c r="K19" s="481"/>
    </row>
    <row r="20" spans="1:12" ht="7.5" customHeight="1" thickBot="1">
      <c r="B20" s="2345"/>
      <c r="C20" s="2346"/>
      <c r="D20" s="2346"/>
      <c r="E20" s="2347"/>
      <c r="F20" s="2352"/>
      <c r="G20" s="2353"/>
      <c r="H20" s="493"/>
      <c r="I20" s="493"/>
      <c r="J20" s="491"/>
      <c r="K20" s="491"/>
    </row>
    <row r="21" spans="1:12" ht="17.100000000000001" customHeight="1" thickBot="1">
      <c r="B21" s="492"/>
      <c r="H21" s="493"/>
      <c r="I21" s="493"/>
      <c r="J21" s="491"/>
      <c r="K21" s="491"/>
    </row>
    <row r="22" spans="1:12">
      <c r="B22" s="1271" t="s">
        <v>1334</v>
      </c>
      <c r="C22" s="1272"/>
      <c r="D22" s="1272"/>
      <c r="E22" s="1272"/>
      <c r="F22" s="496">
        <f>'Building Input'!C33</f>
        <v>0</v>
      </c>
      <c r="G22" s="497" t="s">
        <v>982</v>
      </c>
      <c r="H22" s="498" t="str">
        <f>IF(F22=0,"",IF(F22&lt;2200,"Compliance Route 2 permitted (GFA requirement satisfied)",""))</f>
        <v/>
      </c>
      <c r="I22" s="493"/>
      <c r="J22" s="491"/>
      <c r="K22" s="491"/>
    </row>
    <row r="23" spans="1:12">
      <c r="B23" s="1273" t="s">
        <v>1258</v>
      </c>
      <c r="C23" s="1274"/>
      <c r="D23" s="1274"/>
      <c r="E23" s="1274"/>
      <c r="F23" s="499">
        <f>SUM('Building Input'!C79:E79)</f>
        <v>0</v>
      </c>
      <c r="G23" s="500" t="s">
        <v>982</v>
      </c>
      <c r="H23" s="493"/>
      <c r="I23" s="493"/>
      <c r="J23" s="491"/>
      <c r="K23" s="491"/>
    </row>
    <row r="24" spans="1:12">
      <c r="B24" s="1273" t="s">
        <v>517</v>
      </c>
      <c r="C24" s="1274"/>
      <c r="D24" s="1274"/>
      <c r="E24" s="1274"/>
      <c r="F24" s="499">
        <f>SUM('Building Input'!C55:E56)</f>
        <v>0</v>
      </c>
      <c r="G24" s="500" t="s">
        <v>982</v>
      </c>
      <c r="H24" s="493"/>
      <c r="I24" s="493"/>
      <c r="J24" s="491"/>
      <c r="K24" s="491"/>
    </row>
    <row r="25" spans="1:12" ht="13.5" thickBot="1">
      <c r="B25" s="1275" t="s">
        <v>728</v>
      </c>
      <c r="C25" s="1276"/>
      <c r="D25" s="1276"/>
      <c r="E25" s="1276"/>
      <c r="F25" s="501">
        <f>SUM('Building Input'!C57:E57)</f>
        <v>0</v>
      </c>
      <c r="G25" s="502" t="s">
        <v>982</v>
      </c>
      <c r="H25" s="493"/>
      <c r="I25" s="493"/>
      <c r="J25" s="491"/>
      <c r="K25" s="491"/>
    </row>
    <row r="26" spans="1:12" ht="17.100000000000001" customHeight="1" thickBot="1">
      <c r="A26" s="478"/>
      <c r="B26" s="486"/>
      <c r="C26" s="477"/>
      <c r="D26" s="477"/>
      <c r="E26" s="477"/>
      <c r="F26" s="478"/>
      <c r="G26" s="487"/>
      <c r="H26" s="493"/>
      <c r="I26" s="493"/>
      <c r="J26" s="478"/>
      <c r="L26" s="488"/>
    </row>
    <row r="27" spans="1:12" s="482" customFormat="1" ht="20.100000000000001" customHeight="1" thickBot="1">
      <c r="A27" s="483"/>
      <c r="B27" s="2277" t="s">
        <v>120</v>
      </c>
      <c r="C27" s="2278"/>
      <c r="D27" s="2278"/>
      <c r="E27" s="1277"/>
      <c r="F27" s="2279"/>
      <c r="G27" s="2280"/>
      <c r="H27" s="504"/>
      <c r="I27" s="504"/>
      <c r="J27" s="505"/>
      <c r="K27" s="506"/>
      <c r="L27" s="507"/>
    </row>
    <row r="28" spans="1:12" ht="28.5" customHeight="1">
      <c r="A28" s="478"/>
      <c r="B28" s="2268"/>
      <c r="C28" s="2269"/>
      <c r="D28" s="2269"/>
      <c r="E28" s="1278" t="s">
        <v>337</v>
      </c>
      <c r="F28" s="2281" t="s">
        <v>121</v>
      </c>
      <c r="G28" s="2282"/>
      <c r="H28" s="509"/>
      <c r="I28" s="509"/>
      <c r="J28" s="510"/>
      <c r="K28" s="511"/>
      <c r="L28" s="512"/>
    </row>
    <row r="29" spans="1:12" ht="7.5" customHeight="1">
      <c r="A29" s="478"/>
      <c r="B29" s="2292"/>
      <c r="C29" s="2293"/>
      <c r="D29" s="2293"/>
      <c r="E29" s="2275" t="s">
        <v>519</v>
      </c>
      <c r="F29" s="2297" t="s">
        <v>519</v>
      </c>
      <c r="G29" s="2295" t="s">
        <v>596</v>
      </c>
      <c r="H29" s="2270"/>
      <c r="I29" s="2270"/>
      <c r="J29" s="510"/>
      <c r="K29" s="511"/>
      <c r="L29" s="512"/>
    </row>
    <row r="30" spans="1:12" ht="7.5" customHeight="1">
      <c r="A30" s="478"/>
      <c r="B30" s="2294"/>
      <c r="C30" s="2293"/>
      <c r="D30" s="2293"/>
      <c r="E30" s="2276"/>
      <c r="F30" s="2298"/>
      <c r="G30" s="2296"/>
      <c r="H30" s="2270"/>
      <c r="I30" s="2270"/>
      <c r="J30" s="503"/>
      <c r="K30" s="513"/>
      <c r="L30" s="512"/>
    </row>
    <row r="31" spans="1:12" ht="7.5" customHeight="1">
      <c r="A31" s="478"/>
      <c r="B31" s="2294"/>
      <c r="C31" s="2293"/>
      <c r="D31" s="2293"/>
      <c r="E31" s="2276"/>
      <c r="F31" s="2298"/>
      <c r="G31" s="2296"/>
      <c r="H31" s="2270"/>
      <c r="I31" s="2270"/>
      <c r="J31" s="514"/>
      <c r="K31" s="513"/>
      <c r="L31" s="513"/>
    </row>
    <row r="32" spans="1:12" ht="15" customHeight="1">
      <c r="A32" s="478"/>
      <c r="B32" s="1279"/>
      <c r="C32" s="1280"/>
      <c r="D32" s="1281" t="s">
        <v>338</v>
      </c>
      <c r="E32" s="1282">
        <f>E187</f>
        <v>1.2</v>
      </c>
      <c r="F32" s="1283">
        <f>E187</f>
        <v>1.2</v>
      </c>
      <c r="G32" s="1284">
        <f>E188</f>
        <v>0.20200000000000001</v>
      </c>
      <c r="H32" s="513"/>
      <c r="I32" s="513"/>
      <c r="J32" s="514"/>
      <c r="K32" s="513"/>
      <c r="L32" s="513"/>
    </row>
    <row r="33" spans="1:12" ht="15" customHeight="1">
      <c r="A33" s="478"/>
      <c r="B33" s="2363" t="s">
        <v>20</v>
      </c>
      <c r="C33" s="2364"/>
      <c r="D33" s="2365"/>
      <c r="E33" s="593"/>
      <c r="F33" s="533"/>
      <c r="G33" s="534"/>
      <c r="H33" s="515" t="s">
        <v>983</v>
      </c>
      <c r="I33" s="516"/>
      <c r="J33" s="514"/>
      <c r="K33" s="511"/>
      <c r="L33" s="513"/>
    </row>
    <row r="34" spans="1:12" ht="15" customHeight="1">
      <c r="A34" s="478"/>
      <c r="B34" s="2260" t="s">
        <v>21</v>
      </c>
      <c r="C34" s="2261"/>
      <c r="D34" s="2262"/>
      <c r="E34" s="593"/>
      <c r="F34" s="533"/>
      <c r="G34" s="534"/>
      <c r="H34" s="515" t="s">
        <v>983</v>
      </c>
      <c r="I34" s="517"/>
      <c r="J34" s="514"/>
      <c r="K34" s="513"/>
      <c r="L34" s="513"/>
    </row>
    <row r="35" spans="1:12" ht="15" customHeight="1">
      <c r="A35" s="478"/>
      <c r="B35" s="2260" t="s">
        <v>22</v>
      </c>
      <c r="C35" s="2261"/>
      <c r="D35" s="2262"/>
      <c r="E35" s="593"/>
      <c r="F35" s="533"/>
      <c r="G35" s="1285"/>
      <c r="H35" s="515" t="s">
        <v>983</v>
      </c>
      <c r="I35" s="517"/>
      <c r="J35" s="514"/>
      <c r="K35" s="518"/>
      <c r="L35" s="518"/>
    </row>
    <row r="36" spans="1:12" ht="15" customHeight="1">
      <c r="A36" s="478"/>
      <c r="B36" s="2260" t="s">
        <v>23</v>
      </c>
      <c r="C36" s="2261"/>
      <c r="D36" s="2262"/>
      <c r="E36" s="593"/>
      <c r="F36" s="533"/>
      <c r="G36" s="1285"/>
      <c r="H36" s="515" t="s">
        <v>983</v>
      </c>
      <c r="I36" s="517"/>
      <c r="J36" s="514"/>
      <c r="K36" s="511"/>
      <c r="L36" s="513"/>
    </row>
    <row r="37" spans="1:12" ht="15" customHeight="1">
      <c r="A37" s="478"/>
      <c r="B37" s="2263" t="s">
        <v>24</v>
      </c>
      <c r="C37" s="2264"/>
      <c r="D37" s="2264"/>
      <c r="E37" s="593"/>
      <c r="F37" s="533"/>
      <c r="G37" s="1285"/>
      <c r="H37" s="515" t="s">
        <v>983</v>
      </c>
      <c r="I37" s="517"/>
      <c r="J37" s="514"/>
      <c r="K37" s="511"/>
      <c r="L37" s="513"/>
    </row>
    <row r="38" spans="1:12" ht="15" customHeight="1">
      <c r="A38" s="478"/>
      <c r="B38" s="1257" t="s">
        <v>1261</v>
      </c>
      <c r="C38" s="1258"/>
      <c r="D38" s="1258"/>
      <c r="E38" s="1286">
        <f>IF(F10=B90,SUM(E33:E37),IF(OR(F10=B91,F10=B92),VLOOKUP('Building Input'!C32,B112:H126,5,FALSE)*('Building Input'!C182+'Building Input'!C184)+VLOOKUP('Building Input'!C32,B112:H126,7,FALSE)*'Building Input'!C183,0))</f>
        <v>0</v>
      </c>
      <c r="F38" s="1287">
        <f>IF(F10=B90,SUM(F33:F37),IF(F10=B91,VLOOKUP('Building Input'!C32,B112:H126,5,FALSE)*'Building Input'!C182*(1-E134)+VLOOKUP('Building Input'!C32,B112:H126,7,FALSE)*'Building Input'!C183*(1-E135),IF(F10=B92,VLOOKUP('Building Input'!C32,B112:H126,5,FALSE)*('Building Input'!C182+'Building Input'!C184)+VLOOKUP('Building Input'!C32,B112:H126,7,FALSE)*'Building Input'!C183,0)))</f>
        <v>0</v>
      </c>
      <c r="G38" s="1285">
        <f>IF(F10=B90,SUM(G33:G37),0)</f>
        <v>0</v>
      </c>
      <c r="H38" s="515"/>
      <c r="I38" s="517"/>
      <c r="J38" s="514"/>
      <c r="K38" s="511"/>
      <c r="L38" s="513"/>
    </row>
    <row r="39" spans="1:12" ht="15" customHeight="1">
      <c r="A39" s="478"/>
      <c r="B39" s="2260" t="s">
        <v>1251</v>
      </c>
      <c r="C39" s="2261"/>
      <c r="D39" s="2262"/>
      <c r="E39" s="1288" t="e">
        <f>SUM('Lighting Energy Calculator'!F21:F60)</f>
        <v>#N/A</v>
      </c>
      <c r="F39" s="1289">
        <f>SUM('Lighting Energy Calculator'!K21:K60)</f>
        <v>0</v>
      </c>
      <c r="G39" s="1285"/>
      <c r="H39" s="515" t="s">
        <v>569</v>
      </c>
      <c r="I39" s="517"/>
      <c r="J39" s="514"/>
      <c r="K39" s="511"/>
      <c r="L39" s="513"/>
    </row>
    <row r="40" spans="1:12" ht="15" customHeight="1">
      <c r="A40" s="478"/>
      <c r="B40" s="2260" t="s">
        <v>421</v>
      </c>
      <c r="C40" s="2334"/>
      <c r="D40" s="2335"/>
      <c r="E40" s="594"/>
      <c r="F40" s="535"/>
      <c r="G40" s="1285"/>
      <c r="H40" s="876" t="s">
        <v>1464</v>
      </c>
      <c r="J40" s="514"/>
    </row>
    <row r="41" spans="1:12" ht="15" customHeight="1" thickBot="1">
      <c r="A41" s="478"/>
      <c r="B41" s="2336" t="s">
        <v>597</v>
      </c>
      <c r="C41" s="2337"/>
      <c r="D41" s="2338"/>
      <c r="E41" s="1290">
        <f>F239</f>
        <v>0</v>
      </c>
      <c r="F41" s="536"/>
      <c r="G41" s="537"/>
      <c r="H41" s="876" t="s">
        <v>1464</v>
      </c>
      <c r="I41" s="517"/>
      <c r="J41" s="514"/>
    </row>
    <row r="42" spans="1:12" ht="15" customHeight="1">
      <c r="A42" s="478"/>
      <c r="B42" s="2354" t="s">
        <v>1294</v>
      </c>
      <c r="C42" s="2355"/>
      <c r="D42" s="2356"/>
      <c r="E42" s="1286" t="e">
        <f>SUM(E38:E41)</f>
        <v>#N/A</v>
      </c>
      <c r="F42" s="1291">
        <f>SUM(F38:F41)</f>
        <v>0</v>
      </c>
      <c r="G42" s="1292">
        <f>SUM(G38:G41)</f>
        <v>0</v>
      </c>
      <c r="H42" s="519"/>
      <c r="I42" s="520"/>
      <c r="J42" s="514"/>
      <c r="K42" s="521"/>
      <c r="L42" s="289"/>
    </row>
    <row r="43" spans="1:12" ht="15" customHeight="1">
      <c r="A43" s="478"/>
      <c r="B43" s="487"/>
      <c r="C43" s="522"/>
      <c r="D43" s="522"/>
      <c r="E43" s="522"/>
      <c r="F43" s="522"/>
      <c r="G43" s="522"/>
      <c r="H43" s="520"/>
      <c r="I43" s="520"/>
      <c r="J43" s="514"/>
      <c r="K43" s="521"/>
      <c r="L43" s="289"/>
    </row>
    <row r="44" spans="1:12" ht="17.100000000000001" customHeight="1" thickBot="1">
      <c r="A44" s="487"/>
      <c r="B44" s="487"/>
      <c r="C44" s="522"/>
      <c r="D44" s="522"/>
      <c r="E44" s="522"/>
      <c r="F44" s="522"/>
      <c r="G44" s="522"/>
      <c r="H44" s="523"/>
      <c r="I44" s="514"/>
      <c r="J44" s="478"/>
      <c r="K44" s="521"/>
      <c r="L44" s="289"/>
    </row>
    <row r="45" spans="1:12" s="482" customFormat="1" ht="20.100000000000001" customHeight="1" thickBot="1">
      <c r="A45" s="508"/>
      <c r="B45" s="1252" t="s">
        <v>339</v>
      </c>
      <c r="C45" s="1293"/>
      <c r="D45" s="1293"/>
      <c r="E45" s="1293"/>
      <c r="F45" s="1293"/>
      <c r="G45" s="1294"/>
      <c r="H45" s="1293"/>
      <c r="I45" s="1295"/>
      <c r="J45" s="483"/>
      <c r="K45" s="521"/>
      <c r="L45" s="289"/>
    </row>
    <row r="46" spans="1:12" ht="24" customHeight="1">
      <c r="A46" s="487"/>
      <c r="B46" s="1296"/>
      <c r="C46" s="1297"/>
      <c r="D46" s="1297"/>
      <c r="E46" s="1298"/>
      <c r="F46" s="1299" t="s">
        <v>598</v>
      </c>
      <c r="G46" s="1300" t="s">
        <v>340</v>
      </c>
      <c r="H46" s="1301" t="s">
        <v>341</v>
      </c>
      <c r="I46" s="1302" t="s">
        <v>342</v>
      </c>
      <c r="J46" s="478"/>
      <c r="K46" s="521"/>
      <c r="L46" s="289"/>
    </row>
    <row r="47" spans="1:12" ht="24.75" customHeight="1" thickBot="1">
      <c r="A47" s="487"/>
      <c r="B47" s="2357" t="s">
        <v>1071</v>
      </c>
      <c r="C47" s="2358"/>
      <c r="D47" s="2358"/>
      <c r="E47" s="2358"/>
      <c r="F47" s="538"/>
      <c r="G47" s="1303">
        <v>0</v>
      </c>
      <c r="H47" s="1304">
        <f>F47*F32-F47*G47</f>
        <v>0</v>
      </c>
      <c r="I47" s="1305" t="e">
        <f>H47/$F$23</f>
        <v>#DIV/0!</v>
      </c>
      <c r="J47" s="478"/>
      <c r="K47" s="521"/>
      <c r="L47" s="289"/>
    </row>
    <row r="48" spans="1:12" ht="17.100000000000001" customHeight="1" thickBot="1">
      <c r="A48" s="487"/>
      <c r="J48" s="478"/>
      <c r="K48" s="521"/>
      <c r="L48" s="289"/>
    </row>
    <row r="49" spans="1:12" s="482" customFormat="1" ht="20.100000000000001" customHeight="1" thickBot="1">
      <c r="A49" s="508"/>
      <c r="B49" s="1252" t="s">
        <v>343</v>
      </c>
      <c r="C49" s="1293"/>
      <c r="D49" s="1293"/>
      <c r="E49" s="1293"/>
      <c r="F49" s="1293"/>
      <c r="G49" s="1293"/>
      <c r="H49" s="1306"/>
      <c r="I49" s="1307"/>
      <c r="J49" s="483"/>
      <c r="K49" s="521"/>
      <c r="L49" s="289"/>
    </row>
    <row r="50" spans="1:12" ht="21.75" customHeight="1">
      <c r="A50" s="487"/>
      <c r="B50" s="1296"/>
      <c r="C50" s="1297"/>
      <c r="D50" s="1297"/>
      <c r="E50" s="1298"/>
      <c r="F50" s="1299" t="s">
        <v>598</v>
      </c>
      <c r="G50" s="1300" t="s">
        <v>340</v>
      </c>
      <c r="H50" s="1301" t="s">
        <v>341</v>
      </c>
      <c r="I50" s="1302" t="s">
        <v>342</v>
      </c>
      <c r="J50" s="478"/>
      <c r="K50" s="521"/>
      <c r="L50" s="289"/>
    </row>
    <row r="51" spans="1:12" ht="24.75" customHeight="1">
      <c r="A51" s="487"/>
      <c r="B51" s="2359" t="s">
        <v>1083</v>
      </c>
      <c r="C51" s="2360"/>
      <c r="D51" s="2360"/>
      <c r="E51" s="2360"/>
      <c r="F51" s="539"/>
      <c r="G51" s="1308"/>
      <c r="H51" s="1309"/>
      <c r="I51" s="1310"/>
      <c r="J51" s="478"/>
      <c r="K51" s="521"/>
      <c r="L51" s="289"/>
    </row>
    <row r="52" spans="1:12" ht="15" customHeight="1">
      <c r="A52" s="487"/>
      <c r="B52" s="2361" t="s">
        <v>1084</v>
      </c>
      <c r="C52" s="2362"/>
      <c r="D52" s="2362"/>
      <c r="E52" s="2362"/>
      <c r="F52" s="540"/>
      <c r="G52" s="1311" t="e">
        <f>VLOOKUP(F52,B183:E189,4,FALSE)</f>
        <v>#N/A</v>
      </c>
      <c r="H52" s="1312"/>
      <c r="I52" s="1313"/>
      <c r="J52" s="478"/>
      <c r="K52" s="521"/>
      <c r="L52" s="289"/>
    </row>
    <row r="53" spans="1:12" ht="14.25" customHeight="1" thickBot="1">
      <c r="A53" s="487"/>
      <c r="B53" s="2323" t="s">
        <v>1085</v>
      </c>
      <c r="C53" s="2324"/>
      <c r="D53" s="2324"/>
      <c r="E53" s="2324"/>
      <c r="F53" s="538"/>
      <c r="G53" s="1314"/>
      <c r="H53" s="1315">
        <f>IF(F52="",0,F51*F32-F53*G52)</f>
        <v>0</v>
      </c>
      <c r="I53" s="1316" t="e">
        <f>H53/$F$23</f>
        <v>#DIV/0!</v>
      </c>
      <c r="J53" s="478"/>
      <c r="K53" s="521"/>
      <c r="L53" s="289"/>
    </row>
    <row r="54" spans="1:12" ht="17.100000000000001" customHeight="1" thickBot="1">
      <c r="A54" s="487"/>
      <c r="J54" s="478"/>
      <c r="K54" s="521"/>
      <c r="L54" s="289"/>
    </row>
    <row r="55" spans="1:12" s="482" customFormat="1" ht="20.100000000000001" customHeight="1" thickBot="1">
      <c r="A55" s="508"/>
      <c r="B55" s="1252" t="s">
        <v>1086</v>
      </c>
      <c r="C55" s="1253"/>
      <c r="D55" s="1253"/>
      <c r="E55" s="1253"/>
      <c r="F55" s="1253"/>
      <c r="G55" s="1253"/>
      <c r="H55" s="1253"/>
      <c r="I55" s="1317"/>
      <c r="J55" s="483"/>
      <c r="K55" s="521"/>
      <c r="L55" s="289"/>
    </row>
    <row r="56" spans="1:12" ht="15.75">
      <c r="A56" s="487"/>
      <c r="B56" s="1318"/>
      <c r="C56" s="1319" t="s">
        <v>1290</v>
      </c>
      <c r="D56" s="1319"/>
      <c r="E56" s="1319"/>
      <c r="F56" s="1319"/>
      <c r="G56" s="1320"/>
      <c r="H56" s="1321">
        <f>IF(F23=0,0,E42/$F$23)</f>
        <v>0</v>
      </c>
      <c r="I56" s="1322" t="s">
        <v>344</v>
      </c>
      <c r="J56" s="478"/>
      <c r="K56" s="521"/>
      <c r="L56" s="289"/>
    </row>
    <row r="57" spans="1:12" ht="15.75">
      <c r="A57" s="487"/>
      <c r="B57" s="1323"/>
      <c r="C57" s="1324" t="s">
        <v>1291</v>
      </c>
      <c r="D57" s="1324"/>
      <c r="E57" s="1324"/>
      <c r="F57" s="1324"/>
      <c r="G57" s="1325"/>
      <c r="H57" s="1326">
        <f>IF(F23=0,0,(F42+G42-F47)/F23)</f>
        <v>0</v>
      </c>
      <c r="I57" s="1327" t="s">
        <v>1087</v>
      </c>
      <c r="J57" s="478"/>
      <c r="K57" s="521"/>
      <c r="L57" s="289"/>
    </row>
    <row r="58" spans="1:12" ht="16.5">
      <c r="A58" s="487"/>
      <c r="B58" s="1323"/>
      <c r="C58" s="1328" t="s">
        <v>1088</v>
      </c>
      <c r="D58" s="1328"/>
      <c r="E58" s="1328"/>
      <c r="F58" s="1328"/>
      <c r="G58" s="1329"/>
      <c r="H58" s="1326">
        <f>IF(F23=0,0,(E42*E32)/$F$23)</f>
        <v>0</v>
      </c>
      <c r="I58" s="1327" t="s">
        <v>345</v>
      </c>
      <c r="J58" s="478"/>
      <c r="K58" s="521"/>
      <c r="L58" s="289"/>
    </row>
    <row r="59" spans="1:12" ht="16.5">
      <c r="A59" s="487"/>
      <c r="B59" s="1323"/>
      <c r="C59" s="1328" t="s">
        <v>1089</v>
      </c>
      <c r="D59" s="1328"/>
      <c r="E59" s="1328"/>
      <c r="F59" s="1328"/>
      <c r="G59" s="1329"/>
      <c r="H59" s="1326">
        <f>IF(F23=0,0,((F42*F32)+(G42*G32)-H47-H53)/$F$23)</f>
        <v>0</v>
      </c>
      <c r="I59" s="1327" t="s">
        <v>345</v>
      </c>
      <c r="J59" s="478"/>
    </row>
    <row r="60" spans="1:12" s="482" customFormat="1" ht="15.75" customHeight="1" thickBot="1">
      <c r="A60" s="508"/>
      <c r="B60" s="1330" t="s">
        <v>1090</v>
      </c>
      <c r="C60" s="1331"/>
      <c r="D60" s="1331"/>
      <c r="E60" s="1331"/>
      <c r="F60" s="1331"/>
      <c r="G60" s="1332"/>
      <c r="H60" s="1333">
        <f>IF(H58=0,0,((H58-H59)/H58))</f>
        <v>0</v>
      </c>
      <c r="I60" s="1334"/>
      <c r="J60" s="478"/>
      <c r="K60" s="521"/>
      <c r="L60" s="289"/>
    </row>
    <row r="61" spans="1:12" ht="17.100000000000001" customHeight="1" thickBot="1">
      <c r="A61" s="487"/>
      <c r="B61" s="478"/>
      <c r="C61" s="478"/>
      <c r="D61" s="478"/>
      <c r="E61" s="478"/>
      <c r="F61" s="478"/>
      <c r="G61" s="478"/>
      <c r="H61" s="478"/>
      <c r="I61" s="478"/>
      <c r="J61" s="478"/>
      <c r="K61" s="521"/>
      <c r="L61" s="289"/>
    </row>
    <row r="62" spans="1:12" ht="12.75" customHeight="1">
      <c r="A62" s="478"/>
      <c r="B62" s="2325" t="s">
        <v>1292</v>
      </c>
      <c r="C62" s="2326"/>
      <c r="D62" s="2326"/>
      <c r="E62" s="2326"/>
      <c r="F62" s="2326"/>
      <c r="G62" s="2326"/>
      <c r="H62" s="2327"/>
      <c r="I62" s="2320" t="str">
        <f>IF(F14="No",0,IF(AND(F10=B91,F18="Not Available"),0,IF(OR(F10=B90,F10=B91,F10=B92),IF(AND(E42&gt;0,F42&gt;0),B245,"-"),"-")))</f>
        <v>-</v>
      </c>
      <c r="J62" s="489"/>
      <c r="K62" s="305"/>
      <c r="L62" s="305"/>
    </row>
    <row r="63" spans="1:12" ht="12.75" customHeight="1">
      <c r="A63" s="478"/>
      <c r="B63" s="2328"/>
      <c r="C63" s="2329"/>
      <c r="D63" s="2329"/>
      <c r="E63" s="2329"/>
      <c r="F63" s="2329"/>
      <c r="G63" s="2329"/>
      <c r="H63" s="2330"/>
      <c r="I63" s="2321"/>
      <c r="J63" s="478"/>
      <c r="K63" s="487"/>
      <c r="L63" s="487"/>
    </row>
    <row r="64" spans="1:12" ht="13.5" customHeight="1" thickBot="1">
      <c r="A64" s="478"/>
      <c r="B64" s="2331"/>
      <c r="C64" s="2332"/>
      <c r="D64" s="2332"/>
      <c r="E64" s="2332"/>
      <c r="F64" s="2332"/>
      <c r="G64" s="2332"/>
      <c r="H64" s="2333"/>
      <c r="I64" s="2322"/>
      <c r="J64" s="478"/>
      <c r="K64" s="487"/>
      <c r="L64" s="487"/>
    </row>
    <row r="65" spans="1:13">
      <c r="A65" s="478"/>
      <c r="B65" s="526"/>
      <c r="J65" s="478"/>
      <c r="L65" s="478"/>
    </row>
    <row r="66" spans="1:13">
      <c r="A66" s="478"/>
      <c r="J66" s="478"/>
      <c r="L66" s="478"/>
    </row>
    <row r="67" spans="1:13">
      <c r="A67" s="478"/>
      <c r="B67" s="527"/>
      <c r="C67" s="478"/>
      <c r="D67" s="478"/>
      <c r="E67" s="478"/>
      <c r="F67" s="478"/>
      <c r="G67" s="478"/>
      <c r="H67" s="478"/>
      <c r="I67" s="478"/>
      <c r="J67" s="478"/>
      <c r="L67" s="478"/>
    </row>
    <row r="68" spans="1:13" ht="15" customHeight="1">
      <c r="A68" s="478"/>
      <c r="B68" s="527"/>
      <c r="C68" s="478"/>
      <c r="D68" s="478"/>
      <c r="E68" s="478"/>
      <c r="F68" s="478"/>
      <c r="G68" s="478"/>
      <c r="H68" s="478"/>
      <c r="I68" s="528"/>
      <c r="J68" s="478"/>
      <c r="L68" s="478"/>
    </row>
    <row r="69" spans="1:13" ht="12" customHeight="1">
      <c r="B69" s="478"/>
      <c r="C69" s="478"/>
      <c r="D69" s="529"/>
      <c r="E69" s="478"/>
    </row>
    <row r="71" spans="1:13">
      <c r="C71" s="522"/>
      <c r="D71" s="522"/>
      <c r="E71" s="522"/>
      <c r="F71" s="522"/>
      <c r="G71" s="522"/>
      <c r="H71" s="522"/>
      <c r="I71" s="522"/>
      <c r="J71" s="522"/>
      <c r="K71" s="522"/>
    </row>
    <row r="72" spans="1:13">
      <c r="M72" s="818"/>
    </row>
    <row r="73" spans="1:13">
      <c r="M73" s="818"/>
    </row>
    <row r="74" spans="1:13">
      <c r="M74" s="818"/>
    </row>
    <row r="75" spans="1:13">
      <c r="M75" s="818"/>
    </row>
    <row r="76" spans="1:13">
      <c r="M76" s="818"/>
    </row>
    <row r="77" spans="1:13">
      <c r="M77" s="818"/>
    </row>
    <row r="78" spans="1:13">
      <c r="M78" s="818"/>
    </row>
    <row r="79" spans="1:13">
      <c r="M79" s="818"/>
    </row>
    <row r="80" spans="1:13">
      <c r="M80" s="818"/>
    </row>
    <row r="81" spans="1:13">
      <c r="M81" s="818"/>
    </row>
    <row r="85" spans="1:13" ht="12" customHeight="1"/>
    <row r="87" spans="1:13" s="870" customFormat="1" ht="18" hidden="1">
      <c r="B87" s="871" t="s">
        <v>1254</v>
      </c>
    </row>
    <row r="88" spans="1:13" hidden="1"/>
    <row r="89" spans="1:13" hidden="1">
      <c r="A89" s="868">
        <v>1</v>
      </c>
      <c r="B89" s="869" t="s">
        <v>1255</v>
      </c>
    </row>
    <row r="90" spans="1:13" hidden="1">
      <c r="A90" s="868"/>
      <c r="B90" s="868" t="s">
        <v>643</v>
      </c>
    </row>
    <row r="91" spans="1:13" hidden="1">
      <c r="A91" s="868"/>
      <c r="B91" s="868" t="s">
        <v>645</v>
      </c>
    </row>
    <row r="92" spans="1:13" hidden="1">
      <c r="A92" s="868"/>
      <c r="B92" s="868" t="s">
        <v>1256</v>
      </c>
    </row>
    <row r="93" spans="1:13" hidden="1">
      <c r="A93" s="868"/>
      <c r="B93" s="868" t="s">
        <v>644</v>
      </c>
    </row>
    <row r="94" spans="1:13" hidden="1"/>
    <row r="95" spans="1:13" hidden="1">
      <c r="A95" s="868">
        <v>2</v>
      </c>
      <c r="B95" s="873" t="s">
        <v>1257</v>
      </c>
    </row>
    <row r="96" spans="1:13" hidden="1">
      <c r="A96" s="868"/>
      <c r="B96" s="868" t="s">
        <v>588</v>
      </c>
    </row>
    <row r="97" spans="1:9" hidden="1">
      <c r="A97" s="868"/>
      <c r="B97" s="868" t="s">
        <v>368</v>
      </c>
    </row>
    <row r="98" spans="1:9" hidden="1">
      <c r="A98" s="868"/>
      <c r="B98" s="868" t="s">
        <v>509</v>
      </c>
    </row>
    <row r="99" spans="1:9" hidden="1">
      <c r="A99" s="868"/>
      <c r="B99" s="868"/>
    </row>
    <row r="100" spans="1:9" hidden="1">
      <c r="A100" s="868"/>
      <c r="B100" s="868"/>
    </row>
    <row r="101" spans="1:9" hidden="1">
      <c r="A101" s="868"/>
      <c r="B101" s="868"/>
    </row>
    <row r="102" spans="1:9" hidden="1">
      <c r="A102" s="868"/>
      <c r="B102" s="868"/>
    </row>
    <row r="103" spans="1:9" hidden="1">
      <c r="A103" s="868"/>
      <c r="B103" s="868"/>
    </row>
    <row r="104" spans="1:9" hidden="1">
      <c r="A104" s="868"/>
      <c r="B104" s="868"/>
    </row>
    <row r="105" spans="1:9" hidden="1">
      <c r="A105" s="868"/>
      <c r="B105" s="868"/>
    </row>
    <row r="106" spans="1:9" hidden="1">
      <c r="A106" s="868"/>
      <c r="B106" s="868"/>
    </row>
    <row r="107" spans="1:9" s="870" customFormat="1" ht="18" hidden="1">
      <c r="A107" s="872"/>
      <c r="B107" s="871" t="s">
        <v>1264</v>
      </c>
    </row>
    <row r="108" spans="1:9" hidden="1">
      <c r="A108" s="868"/>
      <c r="B108" s="868"/>
    </row>
    <row r="109" spans="1:9" hidden="1">
      <c r="A109" s="868">
        <v>1</v>
      </c>
      <c r="B109" s="868" t="s">
        <v>1259</v>
      </c>
      <c r="E109" s="884">
        <v>10000000</v>
      </c>
      <c r="F109" s="868" t="s">
        <v>982</v>
      </c>
    </row>
    <row r="110" spans="1:9" hidden="1">
      <c r="A110" s="868"/>
      <c r="B110" s="868"/>
    </row>
    <row r="111" spans="1:9" ht="25.5" hidden="1">
      <c r="A111" s="868">
        <v>2</v>
      </c>
      <c r="B111" s="869" t="s">
        <v>1262</v>
      </c>
      <c r="E111" s="886" t="s">
        <v>1296</v>
      </c>
      <c r="F111" s="2259" t="s">
        <v>1268</v>
      </c>
      <c r="G111" s="2259"/>
      <c r="H111" s="2259" t="s">
        <v>1266</v>
      </c>
      <c r="I111" s="2259"/>
    </row>
    <row r="112" spans="1:9" hidden="1">
      <c r="A112" s="868"/>
      <c r="B112" s="868" t="str">
        <f>'Building Input'!B113</f>
        <v>A1: Casino</v>
      </c>
      <c r="E112" s="887">
        <f>24*365</f>
        <v>8760</v>
      </c>
      <c r="F112" s="888">
        <f>E112/(12*5*52)*80</f>
        <v>224.61538461538458</v>
      </c>
      <c r="G112" s="868" t="s">
        <v>1263</v>
      </c>
      <c r="H112" s="888">
        <f>E112/(12*5*52)*27.5</f>
        <v>77.211538461538453</v>
      </c>
      <c r="I112" s="868" t="s">
        <v>1263</v>
      </c>
    </row>
    <row r="113" spans="1:9" hidden="1">
      <c r="A113" s="868"/>
      <c r="B113" s="868" t="str">
        <f>'Building Input'!B114</f>
        <v>A1: Community/ day centre</v>
      </c>
      <c r="E113" s="887">
        <f>16*365</f>
        <v>5840</v>
      </c>
      <c r="F113" s="888">
        <f t="shared" ref="F113:F126" si="0">E113/(12*5*52)*80</f>
        <v>149.74358974358975</v>
      </c>
      <c r="G113" s="868" t="s">
        <v>1263</v>
      </c>
      <c r="H113" s="888">
        <f t="shared" ref="H113:H126" si="1">E113/(12*5*52)*27.5</f>
        <v>51.474358974358978</v>
      </c>
      <c r="I113" s="868" t="s">
        <v>1263</v>
      </c>
    </row>
    <row r="114" spans="1:9" hidden="1">
      <c r="A114" s="868"/>
      <c r="B114" s="868" t="str">
        <f>'Building Input'!B115</f>
        <v>A1: Restaurant/ public house</v>
      </c>
      <c r="E114" s="887">
        <f>16*365</f>
        <v>5840</v>
      </c>
      <c r="F114" s="888">
        <f t="shared" si="0"/>
        <v>149.74358974358975</v>
      </c>
      <c r="G114" s="868" t="s">
        <v>1263</v>
      </c>
      <c r="H114" s="888">
        <f t="shared" si="1"/>
        <v>51.474358974358978</v>
      </c>
      <c r="I114" s="868" t="s">
        <v>1263</v>
      </c>
    </row>
    <row r="115" spans="1:9" hidden="1">
      <c r="A115" s="868"/>
      <c r="B115" s="868" t="str">
        <f>'Building Input'!B116</f>
        <v>A2: Sports centre/ leisure centre</v>
      </c>
      <c r="E115" s="887">
        <f>16*365</f>
        <v>5840</v>
      </c>
      <c r="F115" s="888">
        <f t="shared" si="0"/>
        <v>149.74358974358975</v>
      </c>
      <c r="G115" s="868" t="s">
        <v>1263</v>
      </c>
      <c r="H115" s="888">
        <f t="shared" si="1"/>
        <v>51.474358974358978</v>
      </c>
      <c r="I115" s="868" t="s">
        <v>1263</v>
      </c>
    </row>
    <row r="116" spans="1:9" hidden="1">
      <c r="A116" s="868"/>
      <c r="B116" s="868" t="str">
        <f>'Building Input'!B117</f>
        <v>A2: Theatres/ cinemas/ and music halls</v>
      </c>
      <c r="E116" s="887">
        <f>16*365</f>
        <v>5840</v>
      </c>
      <c r="F116" s="888">
        <f t="shared" si="0"/>
        <v>149.74358974358975</v>
      </c>
      <c r="G116" s="868" t="s">
        <v>1263</v>
      </c>
      <c r="H116" s="888">
        <f t="shared" si="1"/>
        <v>51.474358974358978</v>
      </c>
      <c r="I116" s="868" t="s">
        <v>1263</v>
      </c>
    </row>
    <row r="117" spans="1:9" hidden="1">
      <c r="A117" s="868"/>
      <c r="B117" s="868" t="str">
        <f>'Building Input'!B118</f>
        <v>A3: Primary school</v>
      </c>
      <c r="E117" s="887">
        <f>12*5*50</f>
        <v>3000</v>
      </c>
      <c r="F117" s="888">
        <f t="shared" si="0"/>
        <v>76.92307692307692</v>
      </c>
      <c r="G117" s="868" t="s">
        <v>1263</v>
      </c>
      <c r="H117" s="888">
        <f t="shared" si="1"/>
        <v>26.442307692307693</v>
      </c>
      <c r="I117" s="868" t="s">
        <v>1263</v>
      </c>
    </row>
    <row r="118" spans="1:9" hidden="1">
      <c r="A118" s="868"/>
      <c r="B118" s="868" t="str">
        <f>'Building Input'!B119</f>
        <v>A3: Secondary school</v>
      </c>
      <c r="E118" s="887">
        <f>12*5*50</f>
        <v>3000</v>
      </c>
      <c r="F118" s="888">
        <f t="shared" si="0"/>
        <v>76.92307692307692</v>
      </c>
      <c r="G118" s="868" t="s">
        <v>1263</v>
      </c>
      <c r="H118" s="888">
        <f t="shared" si="1"/>
        <v>26.442307692307693</v>
      </c>
      <c r="I118" s="868" t="s">
        <v>1263</v>
      </c>
    </row>
    <row r="119" spans="1:9" hidden="1">
      <c r="A119" s="868"/>
      <c r="B119" s="868" t="str">
        <f>'Building Input'!B120</f>
        <v>A3: Higher Education</v>
      </c>
      <c r="E119" s="887">
        <f>12*5*52</f>
        <v>3120</v>
      </c>
      <c r="F119" s="888">
        <f t="shared" si="0"/>
        <v>80</v>
      </c>
      <c r="G119" s="868" t="s">
        <v>1263</v>
      </c>
      <c r="H119" s="888">
        <f t="shared" si="1"/>
        <v>27.5</v>
      </c>
      <c r="I119" s="868" t="s">
        <v>1263</v>
      </c>
    </row>
    <row r="120" spans="1:9" hidden="1">
      <c r="A120" s="868"/>
      <c r="B120" s="868" t="str">
        <f>'Building Input'!B121</f>
        <v>A4: Worship</v>
      </c>
      <c r="E120" s="887">
        <f>12*365</f>
        <v>4380</v>
      </c>
      <c r="F120" s="888">
        <f t="shared" si="0"/>
        <v>112.30769230769229</v>
      </c>
      <c r="G120" s="868" t="s">
        <v>1263</v>
      </c>
      <c r="H120" s="888">
        <f t="shared" si="1"/>
        <v>38.605769230769226</v>
      </c>
      <c r="I120" s="868" t="s">
        <v>1263</v>
      </c>
    </row>
    <row r="121" spans="1:9" hidden="1">
      <c r="A121" s="868"/>
      <c r="B121" s="868" t="str">
        <f>'Building Input'!B122</f>
        <v>C1: Convention Centre and Exhibition Hall</v>
      </c>
      <c r="E121" s="887">
        <f>16*365</f>
        <v>5840</v>
      </c>
      <c r="F121" s="888">
        <f t="shared" si="0"/>
        <v>149.74358974358975</v>
      </c>
      <c r="G121" s="868" t="s">
        <v>1263</v>
      </c>
      <c r="H121" s="888">
        <f t="shared" si="1"/>
        <v>51.474358974358978</v>
      </c>
      <c r="I121" s="868" t="s">
        <v>1263</v>
      </c>
    </row>
    <row r="122" spans="1:9" hidden="1">
      <c r="A122" s="868"/>
      <c r="B122" s="868" t="str">
        <f>'Building Input'!B123</f>
        <v>C2: Libraries/ museums/ and galleries</v>
      </c>
      <c r="E122" s="887">
        <f>16*365</f>
        <v>5840</v>
      </c>
      <c r="F122" s="888">
        <f t="shared" si="0"/>
        <v>149.74358974358975</v>
      </c>
      <c r="G122" s="868" t="s">
        <v>1263</v>
      </c>
      <c r="H122" s="888">
        <f t="shared" si="1"/>
        <v>51.474358974358978</v>
      </c>
      <c r="I122" s="868" t="s">
        <v>1263</v>
      </c>
    </row>
    <row r="123" spans="1:9" hidden="1">
      <c r="A123" s="868"/>
      <c r="B123" s="868" t="str">
        <f>'Building Input'!B124</f>
        <v>Airport terminals</v>
      </c>
      <c r="E123" s="887">
        <f>24*365</f>
        <v>8760</v>
      </c>
      <c r="F123" s="888">
        <f t="shared" si="0"/>
        <v>224.61538461538458</v>
      </c>
      <c r="G123" s="868" t="s">
        <v>1263</v>
      </c>
      <c r="H123" s="888">
        <f t="shared" si="1"/>
        <v>77.211538461538453</v>
      </c>
      <c r="I123" s="868" t="s">
        <v>1263</v>
      </c>
    </row>
    <row r="124" spans="1:9" hidden="1">
      <c r="A124" s="868"/>
      <c r="B124" s="868" t="str">
        <f>'Building Input'!B125</f>
        <v>Public transport terminals</v>
      </c>
      <c r="E124" s="887">
        <f>24*365</f>
        <v>8760</v>
      </c>
      <c r="F124" s="888">
        <f t="shared" si="0"/>
        <v>224.61538461538458</v>
      </c>
      <c r="G124" s="868" t="s">
        <v>1263</v>
      </c>
      <c r="H124" s="888">
        <f t="shared" si="1"/>
        <v>77.211538461538453</v>
      </c>
      <c r="I124" s="868" t="s">
        <v>1263</v>
      </c>
    </row>
    <row r="125" spans="1:9" hidden="1">
      <c r="A125" s="868"/>
      <c r="B125" s="868" t="str">
        <f>'Building Input'!B126</f>
        <v>Courts</v>
      </c>
      <c r="E125" s="887">
        <f>12*5*52</f>
        <v>3120</v>
      </c>
      <c r="F125" s="888">
        <f t="shared" si="0"/>
        <v>80</v>
      </c>
      <c r="G125" s="868" t="s">
        <v>1263</v>
      </c>
      <c r="H125" s="888">
        <f t="shared" si="1"/>
        <v>27.5</v>
      </c>
      <c r="I125" s="868" t="s">
        <v>1263</v>
      </c>
    </row>
    <row r="126" spans="1:9" hidden="1">
      <c r="A126" s="868"/>
      <c r="B126" s="868" t="str">
        <f>'Building Input'!B127</f>
        <v xml:space="preserve">Fire station/Police station </v>
      </c>
      <c r="E126" s="887">
        <f>16*365</f>
        <v>5840</v>
      </c>
      <c r="F126" s="888">
        <f t="shared" si="0"/>
        <v>149.74358974358975</v>
      </c>
      <c r="G126" s="868" t="s">
        <v>1263</v>
      </c>
      <c r="H126" s="888">
        <f t="shared" si="1"/>
        <v>51.474358974358978</v>
      </c>
      <c r="I126" s="868" t="s">
        <v>1263</v>
      </c>
    </row>
    <row r="127" spans="1:9" hidden="1">
      <c r="A127" s="868"/>
      <c r="B127" s="868"/>
      <c r="E127" s="887"/>
      <c r="F127" s="888"/>
      <c r="G127" s="868"/>
      <c r="H127" s="868"/>
      <c r="I127" s="868"/>
    </row>
    <row r="128" spans="1:9" hidden="1">
      <c r="A128" s="868"/>
      <c r="B128" s="868" t="s">
        <v>1297</v>
      </c>
      <c r="E128" s="887"/>
      <c r="F128" s="888"/>
      <c r="G128" s="868"/>
      <c r="H128" s="868"/>
      <c r="I128" s="868"/>
    </row>
    <row r="129" spans="1:9" hidden="1">
      <c r="A129" s="868"/>
      <c r="B129" s="868" t="s">
        <v>1299</v>
      </c>
      <c r="E129" s="887"/>
      <c r="F129" s="888"/>
      <c r="G129" s="868"/>
      <c r="H129" s="868"/>
      <c r="I129" s="868"/>
    </row>
    <row r="130" spans="1:9" hidden="1">
      <c r="A130" s="868"/>
      <c r="B130" s="868" t="s">
        <v>1298</v>
      </c>
      <c r="E130" s="887"/>
      <c r="F130" s="888"/>
      <c r="G130" s="868"/>
      <c r="H130" s="868"/>
      <c r="I130" s="868"/>
    </row>
    <row r="131" spans="1:9" hidden="1">
      <c r="A131" s="868"/>
      <c r="B131" s="868" t="s">
        <v>1300</v>
      </c>
      <c r="E131" s="887"/>
      <c r="F131" s="888"/>
      <c r="G131" s="868"/>
      <c r="H131" s="868"/>
      <c r="I131" s="868"/>
    </row>
    <row r="132" spans="1:9" hidden="1">
      <c r="A132" s="868"/>
      <c r="B132" s="868"/>
    </row>
    <row r="133" spans="1:9" hidden="1">
      <c r="A133" s="868">
        <v>3</v>
      </c>
      <c r="B133" s="869" t="s">
        <v>1273</v>
      </c>
    </row>
    <row r="134" spans="1:9" hidden="1">
      <c r="A134" s="868"/>
      <c r="B134" s="868" t="s">
        <v>1274</v>
      </c>
      <c r="E134" s="875">
        <v>0.2</v>
      </c>
      <c r="F134" s="868"/>
    </row>
    <row r="135" spans="1:9" hidden="1">
      <c r="A135" s="868"/>
      <c r="B135" s="868" t="s">
        <v>1275</v>
      </c>
      <c r="E135" s="875">
        <v>0</v>
      </c>
      <c r="F135" s="868"/>
    </row>
    <row r="136" spans="1:9" hidden="1">
      <c r="A136" s="868"/>
      <c r="B136" s="868"/>
      <c r="E136" s="875"/>
      <c r="F136" s="868"/>
    </row>
    <row r="137" spans="1:9" hidden="1">
      <c r="A137" s="868">
        <v>4</v>
      </c>
      <c r="B137" s="869" t="s">
        <v>1276</v>
      </c>
      <c r="E137" s="875"/>
      <c r="F137" s="868"/>
    </row>
    <row r="138" spans="1:9" hidden="1">
      <c r="A138" s="868"/>
      <c r="B138" s="863" t="str">
        <f>'Building Input'!B130</f>
        <v>Cellular office</v>
      </c>
      <c r="E138" s="878">
        <v>0.21</v>
      </c>
      <c r="F138" s="868" t="s">
        <v>1277</v>
      </c>
    </row>
    <row r="139" spans="1:9" hidden="1">
      <c r="A139" s="868"/>
      <c r="B139" s="863" t="str">
        <f>'Building Input'!B131</f>
        <v>Changing facilities</v>
      </c>
      <c r="E139" s="878">
        <v>30</v>
      </c>
      <c r="F139" s="868" t="s">
        <v>1277</v>
      </c>
    </row>
    <row r="140" spans="1:9" hidden="1">
      <c r="A140" s="868"/>
      <c r="B140" s="863" t="str">
        <f>'Building Input'!B132</f>
        <v>Circulation area (corridors and stairways) - non public</v>
      </c>
      <c r="E140" s="878">
        <v>0</v>
      </c>
      <c r="F140" s="868" t="s">
        <v>1277</v>
      </c>
    </row>
    <row r="141" spans="1:9" hidden="1">
      <c r="A141" s="868"/>
      <c r="B141" s="863" t="str">
        <f>'Building Input'!B133</f>
        <v>Common room/staff room/lounge</v>
      </c>
      <c r="E141" s="878">
        <v>0.3</v>
      </c>
      <c r="F141" s="868" t="s">
        <v>1277</v>
      </c>
    </row>
    <row r="142" spans="1:9" hidden="1">
      <c r="A142" s="868"/>
      <c r="B142" s="863" t="str">
        <f>'Building Input'!B134</f>
        <v>Eating/drinking</v>
      </c>
      <c r="E142" s="878">
        <v>6</v>
      </c>
      <c r="F142" s="868" t="s">
        <v>1277</v>
      </c>
    </row>
    <row r="143" spans="1:9" hidden="1">
      <c r="A143" s="868"/>
      <c r="B143" s="863" t="str">
        <f>'Building Input'!B135</f>
        <v>Food preparation</v>
      </c>
      <c r="E143" s="878">
        <v>0.33</v>
      </c>
      <c r="F143" s="868" t="s">
        <v>1277</v>
      </c>
    </row>
    <row r="144" spans="1:9" hidden="1">
      <c r="A144" s="868"/>
      <c r="B144" s="863" t="str">
        <f>'Building Input'!B136</f>
        <v>Hall/lecture theatre/assembly</v>
      </c>
      <c r="E144" s="878">
        <v>0.15</v>
      </c>
      <c r="F144" s="868" t="s">
        <v>1277</v>
      </c>
    </row>
    <row r="145" spans="1:6" hidden="1">
      <c r="A145" s="868"/>
      <c r="B145" s="863" t="str">
        <f>'Building Input'!B137</f>
        <v>High density IT work space</v>
      </c>
      <c r="E145" s="878">
        <v>0.15</v>
      </c>
      <c r="F145" s="868" t="s">
        <v>1277</v>
      </c>
    </row>
    <row r="146" spans="1:6" hidden="1">
      <c r="A146" s="868"/>
      <c r="B146" s="863" t="str">
        <f>'Building Input'!B138</f>
        <v>IT equipment</v>
      </c>
      <c r="E146" s="878">
        <v>0</v>
      </c>
      <c r="F146" s="868" t="s">
        <v>1277</v>
      </c>
    </row>
    <row r="147" spans="1:6" hidden="1">
      <c r="A147" s="868"/>
      <c r="B147" s="863" t="str">
        <f>'Building Input'!B139</f>
        <v>Meeting room</v>
      </c>
      <c r="E147" s="878">
        <v>0.06</v>
      </c>
      <c r="F147" s="868" t="s">
        <v>1277</v>
      </c>
    </row>
    <row r="148" spans="1:6" hidden="1">
      <c r="A148" s="868"/>
      <c r="B148" s="863" t="str">
        <f>'Building Input'!B140</f>
        <v>Open plan office</v>
      </c>
      <c r="E148" s="878">
        <v>0.33</v>
      </c>
      <c r="F148" s="868" t="s">
        <v>1277</v>
      </c>
    </row>
    <row r="149" spans="1:6" hidden="1">
      <c r="A149" s="868"/>
      <c r="B149" s="863" t="str">
        <f>'Building Input'!B141</f>
        <v>Plant room</v>
      </c>
      <c r="E149" s="878">
        <v>0</v>
      </c>
      <c r="F149" s="868" t="s">
        <v>1277</v>
      </c>
    </row>
    <row r="150" spans="1:6" hidden="1">
      <c r="A150" s="868"/>
      <c r="B150" s="863" t="str">
        <f>'Building Input'!B142</f>
        <v>Public circulation</v>
      </c>
      <c r="E150" s="878">
        <v>0.06</v>
      </c>
      <c r="F150" s="868" t="s">
        <v>1277</v>
      </c>
    </row>
    <row r="151" spans="1:6" hidden="1">
      <c r="A151" s="868"/>
      <c r="B151" s="863" t="str">
        <f>'Building Input'!B143</f>
        <v>Reception</v>
      </c>
      <c r="E151" s="878">
        <v>0.03</v>
      </c>
      <c r="F151" s="868" t="s">
        <v>1277</v>
      </c>
    </row>
    <row r="152" spans="1:6" hidden="1">
      <c r="A152" s="868"/>
      <c r="B152" s="863" t="str">
        <f>'Building Input'!B144</f>
        <v>Storage</v>
      </c>
      <c r="E152" s="878">
        <v>0</v>
      </c>
      <c r="F152" s="868" t="s">
        <v>1277</v>
      </c>
    </row>
    <row r="153" spans="1:6" hidden="1">
      <c r="A153" s="868"/>
      <c r="B153" s="863" t="str">
        <f>'Building Input'!B145</f>
        <v>Tea Kitchen</v>
      </c>
      <c r="E153" s="878">
        <v>0</v>
      </c>
      <c r="F153" s="868" t="s">
        <v>1277</v>
      </c>
    </row>
    <row r="154" spans="1:6" hidden="1">
      <c r="A154" s="868"/>
      <c r="B154" s="863" t="str">
        <f>'Building Input'!B146</f>
        <v>Toilet</v>
      </c>
      <c r="E154" s="878">
        <v>0</v>
      </c>
      <c r="F154" s="868" t="s">
        <v>1277</v>
      </c>
    </row>
    <row r="155" spans="1:6" hidden="1">
      <c r="A155" s="868"/>
      <c r="B155" s="863" t="str">
        <f>'Building Input'!B152</f>
        <v>Baggage Reclaim</v>
      </c>
      <c r="E155" s="878">
        <v>0.75</v>
      </c>
      <c r="F155" s="868" t="s">
        <v>1277</v>
      </c>
    </row>
    <row r="156" spans="1:6" hidden="1">
      <c r="A156" s="868"/>
      <c r="B156" s="863" t="str">
        <f>'Building Input'!B153</f>
        <v>Cell (police/prison)</v>
      </c>
      <c r="E156" s="878">
        <v>0</v>
      </c>
      <c r="F156" s="868" t="s">
        <v>1277</v>
      </c>
    </row>
    <row r="157" spans="1:6" hidden="1">
      <c r="A157" s="868"/>
      <c r="B157" s="863" t="str">
        <f>'Building Input'!B154</f>
        <v>Check in</v>
      </c>
      <c r="E157" s="878">
        <v>0.75</v>
      </c>
      <c r="F157" s="868" t="s">
        <v>1277</v>
      </c>
    </row>
    <row r="158" spans="1:6" hidden="1">
      <c r="A158" s="868"/>
      <c r="B158" s="863" t="str">
        <f>'Building Input'!B155</f>
        <v>Classroom</v>
      </c>
      <c r="E158" s="878">
        <v>1.5</v>
      </c>
      <c r="F158" s="868" t="s">
        <v>1277</v>
      </c>
    </row>
    <row r="159" spans="1:6" hidden="1">
      <c r="A159" s="868"/>
      <c r="B159" s="863" t="str">
        <f>'Building Input'!B156</f>
        <v>Consulting room</v>
      </c>
      <c r="E159" s="878">
        <v>0.21</v>
      </c>
      <c r="F159" s="868" t="s">
        <v>1277</v>
      </c>
    </row>
    <row r="160" spans="1:6" hidden="1">
      <c r="A160" s="868"/>
      <c r="B160" s="863" t="str">
        <f>'Building Input'!B157</f>
        <v>Display</v>
      </c>
      <c r="E160" s="878">
        <v>0</v>
      </c>
      <c r="F160" s="868" t="s">
        <v>1277</v>
      </c>
    </row>
    <row r="161" spans="1:6" hidden="1">
      <c r="A161" s="868"/>
      <c r="B161" s="863" t="str">
        <f>'Building Input'!B158</f>
        <v>Dry sports hall</v>
      </c>
      <c r="E161" s="878">
        <v>0</v>
      </c>
      <c r="F161" s="868" t="s">
        <v>1277</v>
      </c>
    </row>
    <row r="162" spans="1:6" hidden="1">
      <c r="A162" s="868"/>
      <c r="B162" s="863" t="str">
        <f>'Building Input'!B159</f>
        <v>Fitness Studio</v>
      </c>
      <c r="E162" s="878">
        <v>0</v>
      </c>
      <c r="F162" s="868" t="s">
        <v>1277</v>
      </c>
    </row>
    <row r="163" spans="1:6" hidden="1">
      <c r="A163" s="868"/>
      <c r="B163" s="863" t="str">
        <f>'Building Input'!B160</f>
        <v>Fitness suite/gym</v>
      </c>
      <c r="E163" s="878">
        <v>0</v>
      </c>
      <c r="F163" s="868" t="s">
        <v>1277</v>
      </c>
    </row>
    <row r="164" spans="1:6" hidden="1">
      <c r="A164" s="868"/>
      <c r="B164" s="863" t="str">
        <f>'Building Input'!B161</f>
        <v>Ice rink</v>
      </c>
      <c r="E164" s="878">
        <v>0.06</v>
      </c>
      <c r="F164" s="868" t="s">
        <v>1277</v>
      </c>
    </row>
    <row r="165" spans="1:6" hidden="1">
      <c r="A165" s="868"/>
      <c r="B165" s="863" t="str">
        <f>'Building Input'!B162</f>
        <v>Laboratory</v>
      </c>
      <c r="E165" s="878">
        <v>0.33</v>
      </c>
      <c r="F165" s="868" t="s">
        <v>1277</v>
      </c>
    </row>
    <row r="166" spans="1:6" hidden="1">
      <c r="A166" s="868"/>
      <c r="B166" s="863" t="str">
        <f>'Building Input'!B163</f>
        <v>Laundry</v>
      </c>
      <c r="E166" s="878">
        <v>40</v>
      </c>
      <c r="F166" s="868" t="s">
        <v>1277</v>
      </c>
    </row>
    <row r="167" spans="1:6" hidden="1">
      <c r="A167" s="868"/>
      <c r="B167" s="863" t="str">
        <f>'Building Input'!B164</f>
        <v>Performance area (stage)</v>
      </c>
      <c r="E167" s="878">
        <v>0</v>
      </c>
      <c r="F167" s="868" t="s">
        <v>1277</v>
      </c>
    </row>
    <row r="168" spans="1:6" hidden="1">
      <c r="A168" s="868"/>
      <c r="B168" s="863" t="str">
        <f>'Building Input'!B165</f>
        <v>Sales area - chilled</v>
      </c>
      <c r="E168" s="878">
        <v>0.04</v>
      </c>
      <c r="F168" s="868" t="s">
        <v>1277</v>
      </c>
    </row>
    <row r="169" spans="1:6" hidden="1">
      <c r="A169" s="868"/>
      <c r="B169" s="863" t="str">
        <f>'Building Input'!B166</f>
        <v>Sales area - general</v>
      </c>
      <c r="E169" s="878">
        <v>0.04</v>
      </c>
      <c r="F169" s="868" t="s">
        <v>1277</v>
      </c>
    </row>
    <row r="170" spans="1:6" hidden="1">
      <c r="A170" s="868"/>
      <c r="B170" s="863" t="str">
        <f>'Building Input'!B167</f>
        <v>Security check</v>
      </c>
      <c r="E170" s="878">
        <v>0.75</v>
      </c>
      <c r="F170" s="868" t="s">
        <v>1277</v>
      </c>
    </row>
    <row r="171" spans="1:6" hidden="1">
      <c r="A171" s="868"/>
      <c r="B171" s="863" t="str">
        <f>'Building Input'!B168</f>
        <v>Storage area - chilled</v>
      </c>
      <c r="E171" s="878">
        <v>0</v>
      </c>
      <c r="F171" s="868" t="s">
        <v>1277</v>
      </c>
    </row>
    <row r="172" spans="1:6" hidden="1">
      <c r="A172" s="868"/>
      <c r="B172" s="863" t="str">
        <f>'Building Input'!B169</f>
        <v>Storage area - cold room (&lt;0degC)</v>
      </c>
      <c r="E172" s="878">
        <v>0</v>
      </c>
      <c r="F172" s="868" t="s">
        <v>1277</v>
      </c>
    </row>
    <row r="173" spans="1:6" hidden="1">
      <c r="A173" s="868"/>
      <c r="B173" s="863" t="str">
        <f>'Building Input'!B170</f>
        <v>Swimming pool</v>
      </c>
      <c r="E173" s="878">
        <v>0</v>
      </c>
      <c r="F173" s="868" t="s">
        <v>1277</v>
      </c>
    </row>
    <row r="174" spans="1:6" hidden="1">
      <c r="A174" s="868"/>
      <c r="B174" s="863" t="str">
        <f>'Building Input'!B171</f>
        <v>Workshop - small scale</v>
      </c>
      <c r="E174" s="878">
        <v>0.21</v>
      </c>
      <c r="F174" s="868" t="s">
        <v>1277</v>
      </c>
    </row>
    <row r="175" spans="1:6" hidden="1">
      <c r="A175" s="868"/>
      <c r="B175" s="868"/>
      <c r="E175" s="878"/>
      <c r="F175" s="868"/>
    </row>
    <row r="176" spans="1:6" hidden="1">
      <c r="A176" s="868">
        <v>5</v>
      </c>
      <c r="B176" s="869" t="s">
        <v>1284</v>
      </c>
      <c r="E176" s="878"/>
      <c r="F176" s="868"/>
    </row>
    <row r="177" spans="1:6" hidden="1">
      <c r="A177" s="868"/>
      <c r="B177" s="868" t="s">
        <v>1281</v>
      </c>
      <c r="E177" s="878">
        <v>20</v>
      </c>
      <c r="F177" s="868" t="s">
        <v>1283</v>
      </c>
    </row>
    <row r="178" spans="1:6" hidden="1">
      <c r="A178" s="868"/>
      <c r="B178" s="868" t="s">
        <v>1282</v>
      </c>
      <c r="E178" s="878">
        <v>60</v>
      </c>
      <c r="F178" s="868" t="s">
        <v>1283</v>
      </c>
    </row>
    <row r="179" spans="1:6" hidden="1">
      <c r="A179" s="868"/>
      <c r="B179" s="868" t="s">
        <v>1285</v>
      </c>
      <c r="E179" s="875">
        <v>0.9</v>
      </c>
      <c r="F179" s="868"/>
    </row>
    <row r="180" spans="1:6" hidden="1">
      <c r="A180" s="868"/>
      <c r="B180" s="868" t="s">
        <v>1286</v>
      </c>
      <c r="E180" s="878">
        <v>4.18</v>
      </c>
      <c r="F180" s="868" t="s">
        <v>1287</v>
      </c>
    </row>
    <row r="181" spans="1:6" hidden="1">
      <c r="A181" s="868"/>
      <c r="B181" s="868"/>
      <c r="E181" s="875"/>
      <c r="F181" s="868"/>
    </row>
    <row r="182" spans="1:6" hidden="1">
      <c r="A182" s="868">
        <v>6</v>
      </c>
      <c r="B182" s="869" t="s">
        <v>1288</v>
      </c>
      <c r="E182" s="883" t="s">
        <v>1289</v>
      </c>
      <c r="F182" s="868"/>
    </row>
    <row r="183" spans="1:6" hidden="1">
      <c r="A183" s="868"/>
      <c r="B183" s="868" t="s">
        <v>1064</v>
      </c>
      <c r="E183" s="880">
        <v>2.5000000000000001E-2</v>
      </c>
      <c r="F183" s="868"/>
    </row>
    <row r="184" spans="1:6" hidden="1">
      <c r="A184" s="868"/>
      <c r="B184" s="868" t="s">
        <v>1065</v>
      </c>
      <c r="E184" s="880">
        <v>0.35399999999999998</v>
      </c>
      <c r="F184" s="868"/>
    </row>
    <row r="185" spans="1:6" hidden="1">
      <c r="A185" s="868"/>
      <c r="B185" s="868" t="s">
        <v>1066</v>
      </c>
      <c r="E185" s="880">
        <v>0.26700000000000002</v>
      </c>
      <c r="F185" s="868"/>
    </row>
    <row r="186" spans="1:6" hidden="1">
      <c r="A186" s="868"/>
      <c r="B186" s="868" t="s">
        <v>981</v>
      </c>
      <c r="E186" s="880">
        <v>0.22700000000000001</v>
      </c>
      <c r="F186" s="868"/>
    </row>
    <row r="187" spans="1:6" hidden="1">
      <c r="A187" s="868"/>
      <c r="B187" s="868" t="s">
        <v>1067</v>
      </c>
      <c r="E187" s="880">
        <v>1.2</v>
      </c>
      <c r="F187" s="868"/>
    </row>
    <row r="188" spans="1:6" hidden="1">
      <c r="A188" s="868"/>
      <c r="B188" s="868" t="s">
        <v>1068</v>
      </c>
      <c r="E188" s="880">
        <v>0.20200000000000001</v>
      </c>
      <c r="F188" s="868"/>
    </row>
    <row r="189" spans="1:6" hidden="1">
      <c r="A189" s="868"/>
      <c r="B189" s="868" t="s">
        <v>1069</v>
      </c>
      <c r="E189" s="880">
        <v>0.16</v>
      </c>
      <c r="F189" s="868"/>
    </row>
    <row r="190" spans="1:6" hidden="1">
      <c r="A190" s="868"/>
      <c r="B190" s="868"/>
      <c r="E190" s="875"/>
      <c r="F190" s="868"/>
    </row>
    <row r="191" spans="1:6" hidden="1">
      <c r="A191" s="868"/>
      <c r="B191" s="868"/>
      <c r="E191" s="875"/>
      <c r="F191" s="868"/>
    </row>
    <row r="192" spans="1:6" hidden="1">
      <c r="A192" s="868">
        <v>7</v>
      </c>
      <c r="B192" s="869" t="s">
        <v>1330</v>
      </c>
      <c r="E192" s="875"/>
      <c r="F192" s="868"/>
    </row>
    <row r="193" spans="1:7" hidden="1">
      <c r="A193" s="868"/>
      <c r="B193" s="868"/>
      <c r="E193" s="875"/>
      <c r="F193" s="868"/>
    </row>
    <row r="194" spans="1:7" hidden="1">
      <c r="A194" s="868"/>
      <c r="D194" s="868" t="s">
        <v>1331</v>
      </c>
      <c r="E194" s="817" t="s">
        <v>2107</v>
      </c>
      <c r="F194" s="868"/>
    </row>
    <row r="195" spans="1:7" hidden="1">
      <c r="A195" s="868"/>
      <c r="B195" s="868"/>
      <c r="D195" s="868" t="s">
        <v>1332</v>
      </c>
      <c r="E195" s="817" t="s">
        <v>2108</v>
      </c>
      <c r="F195" s="868"/>
    </row>
    <row r="196" spans="1:7" ht="27.75" hidden="1" customHeight="1">
      <c r="A196" s="868"/>
      <c r="B196" s="868"/>
      <c r="D196" s="934" t="s">
        <v>1333</v>
      </c>
      <c r="E196" s="817" t="str">
        <f>CONCATENATE("As the Public &amp; Education Building GFA of the project entered in the 'Building Input' page is greater or equal to "&amp;E109&amp;"m², Compliance Route 2 is not available to this project. Please select an alternative option.")</f>
        <v>As the Public &amp; Education Building GFA of the project entered in the 'Building Input' page is greater or equal to 10000000m², Compliance Route 2 is not available to this project. Please select an alternative option.</v>
      </c>
    </row>
    <row r="197" spans="1:7" hidden="1">
      <c r="A197" s="868"/>
      <c r="B197" s="868"/>
    </row>
    <row r="198" spans="1:7" s="870" customFormat="1" ht="18" hidden="1">
      <c r="A198" s="872"/>
      <c r="B198" s="871" t="s">
        <v>1260</v>
      </c>
    </row>
    <row r="199" spans="1:7" hidden="1">
      <c r="A199" s="868"/>
      <c r="B199" s="868"/>
    </row>
    <row r="200" spans="1:7" hidden="1">
      <c r="A200" s="868">
        <v>1</v>
      </c>
      <c r="B200" s="869" t="s">
        <v>1278</v>
      </c>
      <c r="E200" s="879" t="s">
        <v>1279</v>
      </c>
      <c r="F200" s="879" t="s">
        <v>1280</v>
      </c>
      <c r="G200" s="868"/>
    </row>
    <row r="201" spans="1:7" hidden="1">
      <c r="A201" s="868"/>
      <c r="B201" s="868" t="str">
        <f>B138</f>
        <v>Cellular office</v>
      </c>
      <c r="E201" s="881">
        <f>E138*SUM('Building Input'!C38:E38)*365</f>
        <v>0</v>
      </c>
      <c r="F201" s="881">
        <f>E201*$E$180*($E$178-$E$177)/3600/$E$179</f>
        <v>0</v>
      </c>
      <c r="G201" s="868"/>
    </row>
    <row r="202" spans="1:7" hidden="1">
      <c r="A202" s="868"/>
      <c r="B202" s="868" t="str">
        <f t="shared" ref="B202:B237" si="2">B139</f>
        <v>Changing facilities</v>
      </c>
      <c r="E202" s="881">
        <f>E139*SUM('Building Input'!C39:E39)*365</f>
        <v>0</v>
      </c>
      <c r="F202" s="881">
        <f t="shared" ref="F202:F237" si="3">E202*4.18*($E$178-$E$177)/3600/$E$179</f>
        <v>0</v>
      </c>
      <c r="G202" s="868"/>
    </row>
    <row r="203" spans="1:7" hidden="1">
      <c r="A203" s="868"/>
      <c r="B203" s="868" t="str">
        <f t="shared" si="2"/>
        <v>Circulation area (corridors and stairways) - non public</v>
      </c>
      <c r="E203" s="881">
        <f>E140*SUM('Building Input'!C40:E40)*365</f>
        <v>0</v>
      </c>
      <c r="F203" s="881">
        <f t="shared" si="3"/>
        <v>0</v>
      </c>
      <c r="G203" s="868"/>
    </row>
    <row r="204" spans="1:7" hidden="1">
      <c r="A204" s="868"/>
      <c r="B204" s="868" t="str">
        <f t="shared" si="2"/>
        <v>Common room/staff room/lounge</v>
      </c>
      <c r="E204" s="881">
        <f>E141*SUM('Building Input'!C41:E41)*365</f>
        <v>0</v>
      </c>
      <c r="F204" s="881">
        <f t="shared" si="3"/>
        <v>0</v>
      </c>
      <c r="G204" s="868"/>
    </row>
    <row r="205" spans="1:7" hidden="1">
      <c r="A205" s="868"/>
      <c r="B205" s="868" t="str">
        <f t="shared" si="2"/>
        <v>Eating/drinking</v>
      </c>
      <c r="E205" s="881">
        <f>E142*SUM('Building Input'!C42:E42)*365</f>
        <v>0</v>
      </c>
      <c r="F205" s="881">
        <f t="shared" si="3"/>
        <v>0</v>
      </c>
      <c r="G205" s="868"/>
    </row>
    <row r="206" spans="1:7" hidden="1">
      <c r="A206" s="868"/>
      <c r="B206" s="868" t="str">
        <f t="shared" si="2"/>
        <v>Food preparation</v>
      </c>
      <c r="E206" s="881">
        <f>E143*SUM('Building Input'!C43:E43)*365</f>
        <v>0</v>
      </c>
      <c r="F206" s="881">
        <f t="shared" si="3"/>
        <v>0</v>
      </c>
      <c r="G206" s="868"/>
    </row>
    <row r="207" spans="1:7" hidden="1">
      <c r="A207" s="868"/>
      <c r="B207" s="868" t="str">
        <f t="shared" si="2"/>
        <v>Hall/lecture theatre/assembly</v>
      </c>
      <c r="E207" s="881">
        <f>E144*SUM('Building Input'!C44:E44)*365</f>
        <v>0</v>
      </c>
      <c r="F207" s="881">
        <f t="shared" si="3"/>
        <v>0</v>
      </c>
      <c r="G207" s="868"/>
    </row>
    <row r="208" spans="1:7" hidden="1">
      <c r="A208" s="868"/>
      <c r="B208" s="868" t="str">
        <f t="shared" si="2"/>
        <v>High density IT work space</v>
      </c>
      <c r="E208" s="881">
        <f>E145*SUM('Building Input'!C45:E45)*365</f>
        <v>0</v>
      </c>
      <c r="F208" s="881">
        <f t="shared" si="3"/>
        <v>0</v>
      </c>
      <c r="G208" s="868"/>
    </row>
    <row r="209" spans="1:7" hidden="1">
      <c r="A209" s="868"/>
      <c r="B209" s="868" t="str">
        <f t="shared" si="2"/>
        <v>IT equipment</v>
      </c>
      <c r="E209" s="881">
        <f>E146*SUM('Building Input'!C46:E46)*365</f>
        <v>0</v>
      </c>
      <c r="F209" s="881">
        <f t="shared" si="3"/>
        <v>0</v>
      </c>
      <c r="G209" s="868"/>
    </row>
    <row r="210" spans="1:7" hidden="1">
      <c r="A210" s="868"/>
      <c r="B210" s="868" t="str">
        <f t="shared" si="2"/>
        <v>Meeting room</v>
      </c>
      <c r="E210" s="881">
        <f>E147*SUM('Building Input'!C47:E47)*365</f>
        <v>0</v>
      </c>
      <c r="F210" s="881">
        <f t="shared" si="3"/>
        <v>0</v>
      </c>
      <c r="G210" s="868"/>
    </row>
    <row r="211" spans="1:7" hidden="1">
      <c r="A211" s="868"/>
      <c r="B211" s="868" t="str">
        <f t="shared" si="2"/>
        <v>Open plan office</v>
      </c>
      <c r="E211" s="881">
        <f>E148*SUM('Building Input'!C48:E48)*365</f>
        <v>0</v>
      </c>
      <c r="F211" s="881">
        <f t="shared" si="3"/>
        <v>0</v>
      </c>
      <c r="G211" s="868"/>
    </row>
    <row r="212" spans="1:7" hidden="1">
      <c r="A212" s="868"/>
      <c r="B212" s="868" t="str">
        <f t="shared" si="2"/>
        <v>Plant room</v>
      </c>
      <c r="E212" s="881">
        <f>E149*SUM('Building Input'!C49:E49)*365</f>
        <v>0</v>
      </c>
      <c r="F212" s="881">
        <f t="shared" si="3"/>
        <v>0</v>
      </c>
      <c r="G212" s="868"/>
    </row>
    <row r="213" spans="1:7" hidden="1">
      <c r="A213" s="868"/>
      <c r="B213" s="868" t="str">
        <f t="shared" si="2"/>
        <v>Public circulation</v>
      </c>
      <c r="E213" s="881">
        <f>E150*SUM('Building Input'!C50:E50)*365</f>
        <v>0</v>
      </c>
      <c r="F213" s="881">
        <f t="shared" si="3"/>
        <v>0</v>
      </c>
      <c r="G213" s="868"/>
    </row>
    <row r="214" spans="1:7" hidden="1">
      <c r="A214" s="868"/>
      <c r="B214" s="868" t="str">
        <f t="shared" si="2"/>
        <v>Reception</v>
      </c>
      <c r="E214" s="881">
        <f>E151*SUM('Building Input'!C51:E51)*365</f>
        <v>0</v>
      </c>
      <c r="F214" s="881">
        <f t="shared" si="3"/>
        <v>0</v>
      </c>
      <c r="G214" s="868"/>
    </row>
    <row r="215" spans="1:7" hidden="1">
      <c r="A215" s="868"/>
      <c r="B215" s="868" t="str">
        <f t="shared" si="2"/>
        <v>Storage</v>
      </c>
      <c r="E215" s="881">
        <f>E152*SUM('Building Input'!C52:E52)*365</f>
        <v>0</v>
      </c>
      <c r="F215" s="881">
        <f t="shared" si="3"/>
        <v>0</v>
      </c>
      <c r="G215" s="868"/>
    </row>
    <row r="216" spans="1:7" hidden="1">
      <c r="A216" s="868"/>
      <c r="B216" s="868" t="str">
        <f t="shared" si="2"/>
        <v>Tea Kitchen</v>
      </c>
      <c r="E216" s="881">
        <f>E153*SUM('Building Input'!C53:E53)*365</f>
        <v>0</v>
      </c>
      <c r="F216" s="881">
        <f t="shared" si="3"/>
        <v>0</v>
      </c>
      <c r="G216" s="868"/>
    </row>
    <row r="217" spans="1:7" hidden="1">
      <c r="A217" s="868"/>
      <c r="B217" s="868" t="str">
        <f t="shared" si="2"/>
        <v>Toilet</v>
      </c>
      <c r="E217" s="881">
        <f>E154*SUM('Building Input'!C54:E54)*365</f>
        <v>0</v>
      </c>
      <c r="F217" s="881">
        <f t="shared" si="3"/>
        <v>0</v>
      </c>
      <c r="G217" s="868"/>
    </row>
    <row r="218" spans="1:7" hidden="1">
      <c r="A218" s="868"/>
      <c r="B218" s="868" t="str">
        <f t="shared" si="2"/>
        <v>Baggage Reclaim</v>
      </c>
      <c r="E218" s="881">
        <f>E155*SUM('Building Input'!C59:E59)*365</f>
        <v>0</v>
      </c>
      <c r="F218" s="881">
        <f t="shared" si="3"/>
        <v>0</v>
      </c>
      <c r="G218" s="868"/>
    </row>
    <row r="219" spans="1:7" hidden="1">
      <c r="A219" s="868"/>
      <c r="B219" s="868" t="str">
        <f t="shared" si="2"/>
        <v>Cell (police/prison)</v>
      </c>
      <c r="E219" s="881">
        <f>E156*SUM('Building Input'!C60:E60)*365</f>
        <v>0</v>
      </c>
      <c r="F219" s="881">
        <f t="shared" si="3"/>
        <v>0</v>
      </c>
      <c r="G219" s="868"/>
    </row>
    <row r="220" spans="1:7" hidden="1">
      <c r="A220" s="868"/>
      <c r="B220" s="868" t="str">
        <f t="shared" si="2"/>
        <v>Check in</v>
      </c>
      <c r="E220" s="881">
        <f>E157*SUM('Building Input'!C61:E61)*365</f>
        <v>0</v>
      </c>
      <c r="F220" s="881">
        <f t="shared" si="3"/>
        <v>0</v>
      </c>
      <c r="G220" s="868"/>
    </row>
    <row r="221" spans="1:7" hidden="1">
      <c r="A221" s="868"/>
      <c r="B221" s="868" t="str">
        <f t="shared" si="2"/>
        <v>Classroom</v>
      </c>
      <c r="E221" s="881">
        <f>E158*SUM('Building Input'!C62:E62)*365</f>
        <v>0</v>
      </c>
      <c r="F221" s="881">
        <f t="shared" si="3"/>
        <v>0</v>
      </c>
      <c r="G221" s="868"/>
    </row>
    <row r="222" spans="1:7" hidden="1">
      <c r="A222" s="868"/>
      <c r="B222" s="868" t="str">
        <f t="shared" si="2"/>
        <v>Consulting room</v>
      </c>
      <c r="E222" s="881">
        <f>E159*SUM('Building Input'!C63:E63)*365</f>
        <v>0</v>
      </c>
      <c r="F222" s="881">
        <f t="shared" si="3"/>
        <v>0</v>
      </c>
      <c r="G222" s="868"/>
    </row>
    <row r="223" spans="1:7" hidden="1">
      <c r="A223" s="868"/>
      <c r="B223" s="868" t="str">
        <f t="shared" si="2"/>
        <v>Display</v>
      </c>
      <c r="E223" s="881">
        <f>E160*SUM('Building Input'!C64:E64)*365</f>
        <v>0</v>
      </c>
      <c r="F223" s="881">
        <f t="shared" si="3"/>
        <v>0</v>
      </c>
      <c r="G223" s="868"/>
    </row>
    <row r="224" spans="1:7" hidden="1">
      <c r="A224" s="868"/>
      <c r="B224" s="868" t="str">
        <f t="shared" si="2"/>
        <v>Dry sports hall</v>
      </c>
      <c r="E224" s="881">
        <f>E161*SUM('Building Input'!C65:E65)*365</f>
        <v>0</v>
      </c>
      <c r="F224" s="881">
        <f t="shared" si="3"/>
        <v>0</v>
      </c>
      <c r="G224" s="868"/>
    </row>
    <row r="225" spans="1:7" hidden="1">
      <c r="A225" s="868"/>
      <c r="B225" s="868" t="str">
        <f t="shared" si="2"/>
        <v>Fitness Studio</v>
      </c>
      <c r="E225" s="881">
        <f>E162*SUM('Building Input'!C66:E66)*365</f>
        <v>0</v>
      </c>
      <c r="F225" s="881">
        <f t="shared" si="3"/>
        <v>0</v>
      </c>
      <c r="G225" s="868"/>
    </row>
    <row r="226" spans="1:7" hidden="1">
      <c r="A226" s="868"/>
      <c r="B226" s="868" t="str">
        <f t="shared" si="2"/>
        <v>Fitness suite/gym</v>
      </c>
      <c r="E226" s="881">
        <f>E163*SUM('Building Input'!C67:E67)*365</f>
        <v>0</v>
      </c>
      <c r="F226" s="881">
        <f t="shared" si="3"/>
        <v>0</v>
      </c>
      <c r="G226" s="868"/>
    </row>
    <row r="227" spans="1:7" hidden="1">
      <c r="A227" s="868"/>
      <c r="B227" s="868" t="str">
        <f t="shared" si="2"/>
        <v>Ice rink</v>
      </c>
      <c r="E227" s="881">
        <f>E164*SUM('Building Input'!C68:E68)*365</f>
        <v>0</v>
      </c>
      <c r="F227" s="881">
        <f t="shared" si="3"/>
        <v>0</v>
      </c>
      <c r="G227" s="868"/>
    </row>
    <row r="228" spans="1:7" hidden="1">
      <c r="A228" s="868"/>
      <c r="B228" s="868" t="str">
        <f t="shared" si="2"/>
        <v>Laboratory</v>
      </c>
      <c r="E228" s="881">
        <f>E165*SUM('Building Input'!C69:E69)*365</f>
        <v>0</v>
      </c>
      <c r="F228" s="881">
        <f t="shared" si="3"/>
        <v>0</v>
      </c>
      <c r="G228" s="868"/>
    </row>
    <row r="229" spans="1:7" hidden="1">
      <c r="A229" s="868"/>
      <c r="B229" s="868" t="str">
        <f t="shared" si="2"/>
        <v>Laundry</v>
      </c>
      <c r="E229" s="881">
        <f>E166*SUM('Building Input'!C70:E70)*365</f>
        <v>0</v>
      </c>
      <c r="F229" s="881">
        <f t="shared" si="3"/>
        <v>0</v>
      </c>
      <c r="G229" s="868"/>
    </row>
    <row r="230" spans="1:7" hidden="1">
      <c r="A230" s="868"/>
      <c r="B230" s="868" t="str">
        <f t="shared" si="2"/>
        <v>Performance area (stage)</v>
      </c>
      <c r="E230" s="881">
        <f>E167*SUM('Building Input'!C71:E71)*365</f>
        <v>0</v>
      </c>
      <c r="F230" s="881">
        <f t="shared" si="3"/>
        <v>0</v>
      </c>
      <c r="G230" s="868"/>
    </row>
    <row r="231" spans="1:7" hidden="1">
      <c r="A231" s="868"/>
      <c r="B231" s="868" t="str">
        <f t="shared" si="2"/>
        <v>Sales area - chilled</v>
      </c>
      <c r="E231" s="881">
        <f>E168*SUM('Building Input'!C72:E72)*365</f>
        <v>0</v>
      </c>
      <c r="F231" s="881">
        <f t="shared" si="3"/>
        <v>0</v>
      </c>
      <c r="G231" s="868"/>
    </row>
    <row r="232" spans="1:7" hidden="1">
      <c r="A232" s="868"/>
      <c r="B232" s="868" t="str">
        <f t="shared" si="2"/>
        <v>Sales area - general</v>
      </c>
      <c r="E232" s="881">
        <f>E169*SUM('Building Input'!C73:E73)*365</f>
        <v>0</v>
      </c>
      <c r="F232" s="881">
        <f t="shared" si="3"/>
        <v>0</v>
      </c>
      <c r="G232" s="868"/>
    </row>
    <row r="233" spans="1:7" hidden="1">
      <c r="A233" s="868"/>
      <c r="B233" s="868" t="str">
        <f t="shared" si="2"/>
        <v>Security check</v>
      </c>
      <c r="E233" s="881">
        <f>E170*SUM('Building Input'!C74:E74)*365</f>
        <v>0</v>
      </c>
      <c r="F233" s="881">
        <f t="shared" si="3"/>
        <v>0</v>
      </c>
      <c r="G233" s="868"/>
    </row>
    <row r="234" spans="1:7" hidden="1">
      <c r="A234" s="868"/>
      <c r="B234" s="868" t="str">
        <f t="shared" si="2"/>
        <v>Storage area - chilled</v>
      </c>
      <c r="E234" s="881">
        <f>E171*SUM('Building Input'!C75:E75)*365</f>
        <v>0</v>
      </c>
      <c r="F234" s="881">
        <f t="shared" si="3"/>
        <v>0</v>
      </c>
      <c r="G234" s="868"/>
    </row>
    <row r="235" spans="1:7" hidden="1">
      <c r="A235" s="868"/>
      <c r="B235" s="868" t="str">
        <f t="shared" si="2"/>
        <v>Storage area - cold room (&lt;0degC)</v>
      </c>
      <c r="E235" s="881">
        <f>E172*SUM('Building Input'!C76:E76)*365</f>
        <v>0</v>
      </c>
      <c r="F235" s="881">
        <f t="shared" si="3"/>
        <v>0</v>
      </c>
      <c r="G235" s="868"/>
    </row>
    <row r="236" spans="1:7" hidden="1">
      <c r="A236" s="868"/>
      <c r="B236" s="868" t="str">
        <f t="shared" si="2"/>
        <v>Swimming pool</v>
      </c>
      <c r="E236" s="881">
        <f>E173*SUM('Building Input'!C77:E77)*365</f>
        <v>0</v>
      </c>
      <c r="F236" s="881">
        <f t="shared" si="3"/>
        <v>0</v>
      </c>
      <c r="G236" s="868"/>
    </row>
    <row r="237" spans="1:7" hidden="1">
      <c r="A237" s="868"/>
      <c r="B237" s="868" t="str">
        <f t="shared" si="2"/>
        <v>Workshop - small scale</v>
      </c>
      <c r="E237" s="881">
        <f>E174*SUM('Building Input'!C78:E78)*365</f>
        <v>0</v>
      </c>
      <c r="F237" s="881">
        <f t="shared" si="3"/>
        <v>0</v>
      </c>
      <c r="G237" s="868"/>
    </row>
    <row r="238" spans="1:7" hidden="1">
      <c r="A238" s="868"/>
      <c r="B238" s="868"/>
      <c r="E238" s="881"/>
      <c r="F238" s="881"/>
      <c r="G238" s="868"/>
    </row>
    <row r="239" spans="1:7" hidden="1">
      <c r="A239" s="868"/>
      <c r="B239" s="868" t="s">
        <v>32</v>
      </c>
      <c r="E239" s="882">
        <f>SUM(E201:E238)</f>
        <v>0</v>
      </c>
      <c r="F239" s="882">
        <f>SUM(F201:F238)</f>
        <v>0</v>
      </c>
    </row>
    <row r="240" spans="1:7" hidden="1">
      <c r="A240" s="868"/>
      <c r="B240" s="868"/>
    </row>
    <row r="241" spans="1:6" hidden="1">
      <c r="A241" s="868">
        <v>2</v>
      </c>
      <c r="B241" s="869" t="s">
        <v>1293</v>
      </c>
    </row>
    <row r="242" spans="1:6" hidden="1">
      <c r="A242" s="868"/>
      <c r="B242" s="821" t="s">
        <v>0</v>
      </c>
      <c r="C242" s="821"/>
      <c r="D242" s="821"/>
      <c r="E242" s="525"/>
    </row>
    <row r="243" spans="1:6" hidden="1">
      <c r="A243" s="868"/>
      <c r="B243" s="822">
        <f>IF(F42=0,0,IF(H59&gt;0,20-(20*(H59/H58)),20))</f>
        <v>0</v>
      </c>
      <c r="C243" s="821"/>
      <c r="D243" s="821"/>
      <c r="E243" s="525"/>
    </row>
    <row r="244" spans="1:6" hidden="1">
      <c r="A244" s="868"/>
      <c r="B244" s="823" t="s">
        <v>1063</v>
      </c>
      <c r="C244" s="823"/>
      <c r="D244" s="823"/>
      <c r="E244" s="524"/>
      <c r="F244" s="482"/>
    </row>
    <row r="245" spans="1:6" hidden="1">
      <c r="A245" s="868"/>
      <c r="B245" s="830">
        <f>VLOOKUP(1,E248:F268,2,FALSE)</f>
        <v>0</v>
      </c>
      <c r="C245" s="824"/>
      <c r="D245" s="824"/>
      <c r="E245" s="525"/>
    </row>
    <row r="246" spans="1:6" hidden="1">
      <c r="A246" s="868"/>
      <c r="B246" s="824"/>
      <c r="C246" s="824"/>
      <c r="D246" s="824"/>
      <c r="E246" s="479"/>
    </row>
    <row r="247" spans="1:6" hidden="1">
      <c r="A247" s="868"/>
      <c r="B247" s="825" t="s">
        <v>711</v>
      </c>
      <c r="C247" s="826" t="s">
        <v>478</v>
      </c>
      <c r="D247" s="826" t="s">
        <v>479</v>
      </c>
      <c r="E247" s="829" t="s">
        <v>481</v>
      </c>
      <c r="F247" s="827" t="s">
        <v>480</v>
      </c>
    </row>
    <row r="248" spans="1:6" hidden="1">
      <c r="A248" s="868"/>
      <c r="B248" s="824" t="s">
        <v>477</v>
      </c>
      <c r="C248" s="826">
        <v>0</v>
      </c>
      <c r="D248" s="826">
        <v>5</v>
      </c>
      <c r="E248" s="829">
        <f t="shared" ref="E248:E268" si="4">IF((AND(($H$60*100)&gt;=C248,($H$60*100)&lt;D248)),1,0)</f>
        <v>1</v>
      </c>
      <c r="F248" s="827">
        <v>0</v>
      </c>
    </row>
    <row r="249" spans="1:6" hidden="1">
      <c r="A249" s="868"/>
      <c r="B249" s="824" t="s">
        <v>476</v>
      </c>
      <c r="C249" s="826">
        <v>5</v>
      </c>
      <c r="D249" s="826">
        <v>10</v>
      </c>
      <c r="E249" s="829">
        <f t="shared" si="4"/>
        <v>0</v>
      </c>
      <c r="F249" s="828">
        <v>1</v>
      </c>
    </row>
    <row r="250" spans="1:6" hidden="1">
      <c r="B250" s="824" t="s">
        <v>475</v>
      </c>
      <c r="C250" s="826">
        <v>10</v>
      </c>
      <c r="D250" s="826">
        <v>15</v>
      </c>
      <c r="E250" s="829">
        <f t="shared" si="4"/>
        <v>0</v>
      </c>
      <c r="F250" s="828">
        <v>2</v>
      </c>
    </row>
    <row r="251" spans="1:6" hidden="1">
      <c r="B251" s="824" t="s">
        <v>474</v>
      </c>
      <c r="C251" s="826">
        <v>15</v>
      </c>
      <c r="D251" s="826">
        <v>20</v>
      </c>
      <c r="E251" s="829">
        <f t="shared" si="4"/>
        <v>0</v>
      </c>
      <c r="F251" s="828">
        <v>3</v>
      </c>
    </row>
    <row r="252" spans="1:6" hidden="1">
      <c r="B252" s="824" t="s">
        <v>473</v>
      </c>
      <c r="C252" s="826">
        <v>20</v>
      </c>
      <c r="D252" s="826">
        <v>25</v>
      </c>
      <c r="E252" s="829">
        <f t="shared" si="4"/>
        <v>0</v>
      </c>
      <c r="F252" s="828">
        <v>4</v>
      </c>
    </row>
    <row r="253" spans="1:6" hidden="1">
      <c r="B253" s="824" t="s">
        <v>472</v>
      </c>
      <c r="C253" s="826">
        <v>25</v>
      </c>
      <c r="D253" s="826">
        <v>30</v>
      </c>
      <c r="E253" s="829">
        <f t="shared" si="4"/>
        <v>0</v>
      </c>
      <c r="F253" s="828">
        <v>5</v>
      </c>
    </row>
    <row r="254" spans="1:6" hidden="1">
      <c r="B254" s="824" t="s">
        <v>471</v>
      </c>
      <c r="C254" s="826">
        <v>30</v>
      </c>
      <c r="D254" s="826">
        <v>35</v>
      </c>
      <c r="E254" s="829">
        <f t="shared" si="4"/>
        <v>0</v>
      </c>
      <c r="F254" s="828">
        <v>6</v>
      </c>
    </row>
    <row r="255" spans="1:6" hidden="1">
      <c r="B255" s="824" t="s">
        <v>470</v>
      </c>
      <c r="C255" s="826">
        <v>35</v>
      </c>
      <c r="D255" s="826">
        <v>40</v>
      </c>
      <c r="E255" s="829">
        <f t="shared" si="4"/>
        <v>0</v>
      </c>
      <c r="F255" s="828">
        <v>7</v>
      </c>
    </row>
    <row r="256" spans="1:6" hidden="1">
      <c r="B256" s="824" t="s">
        <v>469</v>
      </c>
      <c r="C256" s="826">
        <v>40</v>
      </c>
      <c r="D256" s="826">
        <v>45</v>
      </c>
      <c r="E256" s="829">
        <f t="shared" si="4"/>
        <v>0</v>
      </c>
      <c r="F256" s="828">
        <v>8</v>
      </c>
    </row>
    <row r="257" spans="2:6" hidden="1">
      <c r="B257" s="824" t="s">
        <v>468</v>
      </c>
      <c r="C257" s="826">
        <v>45</v>
      </c>
      <c r="D257" s="826">
        <v>50</v>
      </c>
      <c r="E257" s="829">
        <f t="shared" si="4"/>
        <v>0</v>
      </c>
      <c r="F257" s="828">
        <v>9</v>
      </c>
    </row>
    <row r="258" spans="2:6" hidden="1">
      <c r="B258" s="824" t="s">
        <v>467</v>
      </c>
      <c r="C258" s="826">
        <v>50</v>
      </c>
      <c r="D258" s="826">
        <v>55</v>
      </c>
      <c r="E258" s="829">
        <f t="shared" si="4"/>
        <v>0</v>
      </c>
      <c r="F258" s="828">
        <v>10</v>
      </c>
    </row>
    <row r="259" spans="2:6" hidden="1">
      <c r="B259" s="824" t="s">
        <v>466</v>
      </c>
      <c r="C259" s="826">
        <v>55</v>
      </c>
      <c r="D259" s="826">
        <v>60</v>
      </c>
      <c r="E259" s="829">
        <f t="shared" si="4"/>
        <v>0</v>
      </c>
      <c r="F259" s="828">
        <v>11</v>
      </c>
    </row>
    <row r="260" spans="2:6" hidden="1">
      <c r="B260" s="824" t="s">
        <v>465</v>
      </c>
      <c r="C260" s="826">
        <v>60</v>
      </c>
      <c r="D260" s="826">
        <v>65</v>
      </c>
      <c r="E260" s="829">
        <f t="shared" si="4"/>
        <v>0</v>
      </c>
      <c r="F260" s="828">
        <v>12</v>
      </c>
    </row>
    <row r="261" spans="2:6" hidden="1">
      <c r="B261" s="824" t="s">
        <v>464</v>
      </c>
      <c r="C261" s="826">
        <v>65</v>
      </c>
      <c r="D261" s="826">
        <v>70</v>
      </c>
      <c r="E261" s="829">
        <f t="shared" si="4"/>
        <v>0</v>
      </c>
      <c r="F261" s="828">
        <v>13</v>
      </c>
    </row>
    <row r="262" spans="2:6" hidden="1">
      <c r="B262" s="824" t="s">
        <v>116</v>
      </c>
      <c r="C262" s="826">
        <v>70</v>
      </c>
      <c r="D262" s="826">
        <v>75</v>
      </c>
      <c r="E262" s="846">
        <f t="shared" si="4"/>
        <v>0</v>
      </c>
      <c r="F262" s="828">
        <v>14</v>
      </c>
    </row>
    <row r="263" spans="2:6" hidden="1">
      <c r="B263" s="824" t="s">
        <v>117</v>
      </c>
      <c r="C263" s="826">
        <v>75</v>
      </c>
      <c r="D263" s="826">
        <v>80</v>
      </c>
      <c r="E263" s="846">
        <f t="shared" si="4"/>
        <v>0</v>
      </c>
      <c r="F263" s="828">
        <v>15</v>
      </c>
    </row>
    <row r="264" spans="2:6" hidden="1">
      <c r="B264" s="824" t="s">
        <v>463</v>
      </c>
      <c r="C264" s="826">
        <v>80</v>
      </c>
      <c r="D264" s="826">
        <v>85</v>
      </c>
      <c r="E264" s="829">
        <f t="shared" si="4"/>
        <v>0</v>
      </c>
      <c r="F264" s="828">
        <v>16</v>
      </c>
    </row>
    <row r="265" spans="2:6" hidden="1">
      <c r="B265" s="824" t="s">
        <v>462</v>
      </c>
      <c r="C265" s="826">
        <v>85</v>
      </c>
      <c r="D265" s="826">
        <v>90</v>
      </c>
      <c r="E265" s="829">
        <f t="shared" si="4"/>
        <v>0</v>
      </c>
      <c r="F265" s="828">
        <v>17</v>
      </c>
    </row>
    <row r="266" spans="2:6" hidden="1">
      <c r="B266" s="824" t="s">
        <v>996</v>
      </c>
      <c r="C266" s="826">
        <v>90</v>
      </c>
      <c r="D266" s="826">
        <v>95</v>
      </c>
      <c r="E266" s="829">
        <f t="shared" si="4"/>
        <v>0</v>
      </c>
      <c r="F266" s="828">
        <v>18</v>
      </c>
    </row>
    <row r="267" spans="2:6" hidden="1">
      <c r="B267" s="824" t="s">
        <v>995</v>
      </c>
      <c r="C267" s="826">
        <v>95</v>
      </c>
      <c r="D267" s="826">
        <v>100</v>
      </c>
      <c r="E267" s="829">
        <f t="shared" si="4"/>
        <v>0</v>
      </c>
      <c r="F267" s="828">
        <v>19</v>
      </c>
    </row>
    <row r="268" spans="2:6" hidden="1">
      <c r="B268" s="824" t="s">
        <v>994</v>
      </c>
      <c r="C268" s="826">
        <v>100</v>
      </c>
      <c r="D268" s="826">
        <v>500</v>
      </c>
      <c r="E268" s="829">
        <f t="shared" si="4"/>
        <v>0</v>
      </c>
      <c r="F268" s="828">
        <v>20</v>
      </c>
    </row>
    <row r="269" spans="2:6" hidden="1"/>
    <row r="270" spans="2:6" hidden="1"/>
    <row r="271" spans="2:6" hidden="1"/>
    <row r="272" spans="2:6"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sheetData>
  <sheetProtection password="AD9B" sheet="1" objects="1" scenarios="1" selectLockedCells="1"/>
  <mergeCells count="38">
    <mergeCell ref="H111:I111"/>
    <mergeCell ref="F10:G12"/>
    <mergeCell ref="G5:H7"/>
    <mergeCell ref="I62:I64"/>
    <mergeCell ref="B53:E53"/>
    <mergeCell ref="B62:H64"/>
    <mergeCell ref="B40:D40"/>
    <mergeCell ref="B41:D41"/>
    <mergeCell ref="B14:E16"/>
    <mergeCell ref="F18:G20"/>
    <mergeCell ref="B18:E20"/>
    <mergeCell ref="B42:D42"/>
    <mergeCell ref="B47:E47"/>
    <mergeCell ref="B51:E51"/>
    <mergeCell ref="B52:E52"/>
    <mergeCell ref="B33:D33"/>
    <mergeCell ref="B3:H3"/>
    <mergeCell ref="B28:D28"/>
    <mergeCell ref="H29:H31"/>
    <mergeCell ref="B8:I8"/>
    <mergeCell ref="H11:J16"/>
    <mergeCell ref="E29:E31"/>
    <mergeCell ref="B27:D27"/>
    <mergeCell ref="F27:G27"/>
    <mergeCell ref="F28:G28"/>
    <mergeCell ref="B10:E12"/>
    <mergeCell ref="B29:D31"/>
    <mergeCell ref="I29:I31"/>
    <mergeCell ref="G29:G31"/>
    <mergeCell ref="F29:F31"/>
    <mergeCell ref="I5:I7"/>
    <mergeCell ref="F14:G16"/>
    <mergeCell ref="F111:G111"/>
    <mergeCell ref="B34:D34"/>
    <mergeCell ref="B35:D35"/>
    <mergeCell ref="B37:D37"/>
    <mergeCell ref="B36:D36"/>
    <mergeCell ref="B39:D39"/>
  </mergeCells>
  <phoneticPr fontId="86" type="noConversion"/>
  <conditionalFormatting sqref="F51:F53 C44:F46 B49:F50 B67:B68 B55:B60 H50:I53 B51:B53 F47 G49:H49 G44 B44:B47 B43:G43 C56:G60 C71:K71 H43:I47 E42:I42 I41 B33:B42 H27:I27 C28:D31 B27:B31 E27:F31 G29:I31 I33:I39 E33:G41">
    <cfRule type="expression" dxfId="53" priority="1" stopIfTrue="1">
      <formula>#REF!=0</formula>
    </cfRule>
  </conditionalFormatting>
  <conditionalFormatting sqref="I5:I7">
    <cfRule type="cellIs" dxfId="52" priority="2" stopIfTrue="1" operator="equal">
      <formula>"Not Achieved"</formula>
    </cfRule>
  </conditionalFormatting>
  <conditionalFormatting sqref="I2">
    <cfRule type="cellIs" dxfId="51" priority="4" stopIfTrue="1" operator="equal">
      <formula>"Error"</formula>
    </cfRule>
  </conditionalFormatting>
  <dataValidations count="4">
    <dataValidation type="list" allowBlank="1" showInputMessage="1" showErrorMessage="1" sqref="F14:G16">
      <formula1>$B$96:$B$98</formula1>
    </dataValidation>
    <dataValidation type="list" allowBlank="1" showInputMessage="1" showErrorMessage="1" sqref="F10:G12">
      <formula1>$B$90:$B$93</formula1>
    </dataValidation>
    <dataValidation type="list" allowBlank="1" showInputMessage="1" showErrorMessage="1" sqref="F52">
      <formula1>$B$183:$B$189</formula1>
    </dataValidation>
    <dataValidation type="list" allowBlank="1" showInputMessage="1" showErrorMessage="1" sqref="G13">
      <formula1>#REF!</formula1>
    </dataValidation>
  </dataValidations>
  <pageMargins left="0.59055118110236227" right="0.59055118110236227" top="0.47244094488188981" bottom="0.47244094488188981" header="0.23622047244094491" footer="0.35433070866141736"/>
  <pageSetup paperSize="9" scale="53" orientation="portrait" blackAndWhite="1" horizontalDpi="300" verticalDpi="300" r:id="rId1"/>
  <headerFooter alignWithMargins="0">
    <oddHeader>&amp;LGreen Building Council of South Africa&amp;R&amp;T   &amp;D</oddHeader>
    <oddFooter>&amp;L&amp;F&amp;CPage &amp;P of &amp;N&amp;RCategory: Energy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5686" r:id="rId4" name="Button 54">
              <controlPr defaultSize="0" print="0" autoFill="0" autoPict="0" macro="[0]!GoToEnergy">
                <anchor moveWithCells="1" sizeWithCells="1">
                  <from>
                    <xdr:col>6</xdr:col>
                    <xdr:colOff>676275</xdr:colOff>
                    <xdr:row>65</xdr:row>
                    <xdr:rowOff>28575</xdr:rowOff>
                  </from>
                  <to>
                    <xdr:col>8</xdr:col>
                    <xdr:colOff>885825</xdr:colOff>
                    <xdr:row>68</xdr:row>
                    <xdr:rowOff>19050</xdr:rowOff>
                  </to>
                </anchor>
              </controlPr>
            </control>
          </mc:Choice>
        </mc:AlternateContent>
        <mc:AlternateContent xmlns:mc="http://schemas.openxmlformats.org/markup-compatibility/2006">
          <mc:Choice Requires="x14">
            <control shapeId="325687" r:id="rId5" name="Button 55">
              <controlPr defaultSize="0" print="0" autoFill="0" autoPict="0" macro="[0]!GoToLightingCalc">
                <anchor moveWithCells="1" sizeWithCells="1">
                  <from>
                    <xdr:col>7</xdr:col>
                    <xdr:colOff>171450</xdr:colOff>
                    <xdr:row>26</xdr:row>
                    <xdr:rowOff>9525</xdr:rowOff>
                  </from>
                  <to>
                    <xdr:col>10</xdr:col>
                    <xdr:colOff>314325</xdr:colOff>
                    <xdr:row>27</xdr:row>
                    <xdr:rowOff>238125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B1:AH258"/>
  <sheetViews>
    <sheetView zoomScaleNormal="100" workbookViewId="0">
      <selection activeCell="J21" sqref="J21"/>
    </sheetView>
  </sheetViews>
  <sheetFormatPr defaultColWidth="9" defaultRowHeight="12.75"/>
  <cols>
    <col min="1" max="1" width="1.875" style="549" customWidth="1"/>
    <col min="2" max="2" width="11.75" style="549" customWidth="1"/>
    <col min="3" max="3" width="12" style="549" customWidth="1"/>
    <col min="4" max="4" width="32.875" style="549" customWidth="1"/>
    <col min="5" max="5" width="7.5" style="549" customWidth="1"/>
    <col min="6" max="6" width="14.125" style="549" customWidth="1"/>
    <col min="7" max="7" width="8.75" style="549" customWidth="1"/>
    <col min="8" max="8" width="19.875" style="549" customWidth="1"/>
    <col min="9" max="9" width="12.875" style="549" customWidth="1"/>
    <col min="10" max="10" width="14.125" style="549" customWidth="1"/>
    <col min="11" max="11" width="14.625" style="549" customWidth="1"/>
    <col min="12" max="12" width="14.875" style="549" customWidth="1"/>
    <col min="13" max="13" width="5.25" style="549" customWidth="1"/>
    <col min="14" max="39" width="9" style="549" customWidth="1"/>
    <col min="40" max="16384" width="9" style="549"/>
  </cols>
  <sheetData>
    <row r="1" spans="2:19" s="478" customFormat="1" ht="27" customHeight="1">
      <c r="B1" s="542" t="str">
        <f>'Building Input'!B1</f>
        <v>Green Star SA - Public &amp; Education Building v1</v>
      </c>
    </row>
    <row r="2" spans="2:19" s="483" customFormat="1" ht="27" customHeight="1">
      <c r="B2" s="543" t="s">
        <v>416</v>
      </c>
    </row>
    <row r="3" spans="2:19" s="478" customFormat="1" ht="5.25" customHeight="1"/>
    <row r="4" spans="2:19" s="478" customFormat="1" ht="15.75">
      <c r="B4" s="544" t="s">
        <v>507</v>
      </c>
    </row>
    <row r="5" spans="2:19" s="478" customFormat="1" ht="15">
      <c r="B5" s="545" t="s">
        <v>156</v>
      </c>
    </row>
    <row r="6" spans="2:19" s="478" customFormat="1" ht="15">
      <c r="B6" s="545" t="s">
        <v>518</v>
      </c>
    </row>
    <row r="7" spans="2:19" s="478" customFormat="1" ht="15">
      <c r="B7" s="545" t="s">
        <v>508</v>
      </c>
    </row>
    <row r="8" spans="2:19" s="478" customFormat="1" ht="15" customHeight="1">
      <c r="B8" s="2366" t="s">
        <v>1465</v>
      </c>
      <c r="C8" s="2367"/>
      <c r="D8" s="2367"/>
      <c r="E8" s="2367"/>
      <c r="F8" s="2367"/>
      <c r="G8" s="2367"/>
      <c r="H8" s="2367"/>
      <c r="I8" s="2367"/>
      <c r="J8" s="2367"/>
      <c r="K8" s="2367"/>
    </row>
    <row r="9" spans="2:19" s="478" customFormat="1" ht="15" customHeight="1">
      <c r="B9" s="2366" t="s">
        <v>1382</v>
      </c>
      <c r="C9" s="2367"/>
      <c r="D9" s="2367"/>
      <c r="E9" s="2367"/>
      <c r="F9" s="2367"/>
      <c r="G9" s="2367"/>
      <c r="H9" s="2367"/>
      <c r="I9" s="2367"/>
      <c r="J9" s="2367"/>
      <c r="K9" s="2367"/>
    </row>
    <row r="10" spans="2:19" s="478" customFormat="1" ht="15">
      <c r="B10" s="545" t="s">
        <v>157</v>
      </c>
    </row>
    <row r="11" spans="2:19" s="478" customFormat="1" ht="15">
      <c r="B11" s="545" t="s">
        <v>229</v>
      </c>
    </row>
    <row r="12" spans="2:19" s="478" customFormat="1" ht="15">
      <c r="B12" s="545" t="s">
        <v>158</v>
      </c>
    </row>
    <row r="13" spans="2:19" s="478" customFormat="1" ht="12" customHeight="1">
      <c r="B13" s="546"/>
    </row>
    <row r="14" spans="2:19" s="478" customFormat="1"/>
    <row r="15" spans="2:19" s="478" customFormat="1" ht="13.5" thickBot="1">
      <c r="L15" s="487"/>
      <c r="M15" s="487"/>
      <c r="P15" s="864"/>
      <c r="Q15" s="864"/>
      <c r="R15" s="864"/>
      <c r="S15" s="864"/>
    </row>
    <row r="16" spans="2:19" s="478" customFormat="1" ht="16.5" thickBot="1">
      <c r="B16" s="1252" t="s">
        <v>230</v>
      </c>
      <c r="C16" s="1253"/>
      <c r="D16" s="2370"/>
      <c r="E16" s="2371"/>
      <c r="F16" s="2371"/>
      <c r="G16" s="2371"/>
      <c r="H16" s="2371"/>
      <c r="I16" s="2371"/>
      <c r="J16" s="2371"/>
      <c r="K16" s="2372"/>
      <c r="L16" s="547"/>
      <c r="M16" s="547"/>
    </row>
    <row r="17" spans="2:11" s="478" customFormat="1" ht="24.75" customHeight="1">
      <c r="B17" s="2268"/>
      <c r="C17" s="2269"/>
      <c r="D17" s="2269"/>
      <c r="E17" s="2376" t="s">
        <v>337</v>
      </c>
      <c r="F17" s="2377"/>
      <c r="G17" s="2373" t="s">
        <v>121</v>
      </c>
      <c r="H17" s="2374"/>
      <c r="I17" s="2374"/>
      <c r="J17" s="2374"/>
      <c r="K17" s="2375"/>
    </row>
    <row r="18" spans="2:11" s="478" customFormat="1" ht="12.75" customHeight="1">
      <c r="B18" s="2292"/>
      <c r="C18" s="2293"/>
      <c r="D18" s="2293"/>
      <c r="E18" s="2378" t="s">
        <v>417</v>
      </c>
      <c r="F18" s="2380" t="s">
        <v>418</v>
      </c>
      <c r="G18" s="2378" t="s">
        <v>417</v>
      </c>
      <c r="H18" s="2368" t="s">
        <v>960</v>
      </c>
      <c r="I18" s="2368" t="s">
        <v>961</v>
      </c>
      <c r="J18" s="2368" t="s">
        <v>962</v>
      </c>
      <c r="K18" s="2380" t="s">
        <v>963</v>
      </c>
    </row>
    <row r="19" spans="2:11" s="478" customFormat="1">
      <c r="B19" s="2294"/>
      <c r="C19" s="2293"/>
      <c r="D19" s="2293"/>
      <c r="E19" s="2379"/>
      <c r="F19" s="2381"/>
      <c r="G19" s="2379"/>
      <c r="H19" s="2369"/>
      <c r="I19" s="2369"/>
      <c r="J19" s="2369"/>
      <c r="K19" s="2381"/>
    </row>
    <row r="20" spans="2:11" s="478" customFormat="1" ht="29.25" customHeight="1">
      <c r="B20" s="2294"/>
      <c r="C20" s="2293"/>
      <c r="D20" s="2293"/>
      <c r="E20" s="2379"/>
      <c r="F20" s="2381"/>
      <c r="G20" s="2379"/>
      <c r="H20" s="2369"/>
      <c r="I20" s="2369"/>
      <c r="J20" s="2369"/>
      <c r="K20" s="2381"/>
    </row>
    <row r="21" spans="2:11" s="478" customFormat="1" ht="17.25" customHeight="1">
      <c r="B21" s="2260" t="str">
        <f>'Building Input'!B130&amp;" lighting"</f>
        <v>Cellular office lighting</v>
      </c>
      <c r="C21" s="2261"/>
      <c r="D21" s="2262"/>
      <c r="E21" s="1254">
        <f>E95</f>
        <v>13.600000000000001</v>
      </c>
      <c r="F21" s="1255" t="e">
        <f>(F95+J95)*E21*SUM('Building Input'!C38:E38)/1000</f>
        <v>#N/A</v>
      </c>
      <c r="G21" s="1052"/>
      <c r="H21" s="550"/>
      <c r="I21" s="1256" t="str">
        <f>IF(H21=$B$76,G21*(F95+J95)*SUM('Building Input'!C38:E38)/1000,IF(H21=$B$77,G21*F95*SUM('Building Input'!C38:E38)/1000,IF(H21=$B$78,G21*F95*H95*SUM('Building Input'!C38:E38)/1000,IF(H21=$B$79,"-","Select schedule"))))</f>
        <v>Select schedule</v>
      </c>
      <c r="J21" s="551"/>
      <c r="K21" s="1255" t="str">
        <f>IF(H21=$B$79,J21,IF(H21="","",I21))</f>
        <v/>
      </c>
    </row>
    <row r="22" spans="2:11" s="478" customFormat="1" ht="16.5" customHeight="1">
      <c r="B22" s="2260" t="str">
        <f>'Building Input'!B131&amp;" lighting"</f>
        <v>Changing facilities lighting</v>
      </c>
      <c r="C22" s="2261"/>
      <c r="D22" s="2262"/>
      <c r="E22" s="1254">
        <f t="shared" ref="E22:E60" si="0">E96</f>
        <v>6.8000000000000007</v>
      </c>
      <c r="F22" s="1255" t="e">
        <f>(F96+J96)*E22*SUM('Building Input'!C39:E39)/1000</f>
        <v>#N/A</v>
      </c>
      <c r="G22" s="1052"/>
      <c r="H22" s="550"/>
      <c r="I22" s="1256" t="str">
        <f>IF(H22=$B$76,G22*(F96+J96)*SUM('Building Input'!C39:E39)/1000,IF(H22=$B$77,G22*F96*SUM('Building Input'!C39:E39)/1000,IF(H22=$B$78,G22*F96*H96*SUM('Building Input'!C39:E39)/1000,IF(H22=$B$79,"-","Select schedule"))))</f>
        <v>Select schedule</v>
      </c>
      <c r="J22" s="551"/>
      <c r="K22" s="1255" t="str">
        <f t="shared" ref="K22:K60" si="1">IF(H22=$B$79,J22,IF(H22="","",I22))</f>
        <v/>
      </c>
    </row>
    <row r="23" spans="2:11" s="478" customFormat="1" ht="17.25" customHeight="1">
      <c r="B23" s="2260" t="str">
        <f>'Building Input'!B132&amp;" lighting"</f>
        <v>Circulation area (corridors and stairways) - non public lighting</v>
      </c>
      <c r="C23" s="2261"/>
      <c r="D23" s="2262"/>
      <c r="E23" s="1254">
        <f t="shared" si="0"/>
        <v>3.4000000000000004</v>
      </c>
      <c r="F23" s="1255" t="e">
        <f>(F97+J97)*E23*SUM('Building Input'!C40:E40)/1000</f>
        <v>#N/A</v>
      </c>
      <c r="G23" s="1052"/>
      <c r="H23" s="550"/>
      <c r="I23" s="1256" t="str">
        <f>IF(H23=$B$76,G23*(F97+J97)*SUM('Building Input'!C40:E40)/1000,IF(H23=$B$77,G23*F97*SUM('Building Input'!C40:E40)/1000,IF(H23=$B$78,G23*F97*H97*SUM('Building Input'!C40:E40)/1000,IF(H23=$B$79,"-","Select schedule"))))</f>
        <v>Select schedule</v>
      </c>
      <c r="J23" s="551"/>
      <c r="K23" s="1255" t="str">
        <f t="shared" si="1"/>
        <v/>
      </c>
    </row>
    <row r="24" spans="2:11" s="478" customFormat="1" ht="17.25" customHeight="1">
      <c r="B24" s="1257" t="str">
        <f>'Building Input'!B133&amp;" lighting"</f>
        <v>Common room/staff room/lounge lighting</v>
      </c>
      <c r="C24" s="1258"/>
      <c r="D24" s="1258"/>
      <c r="E24" s="1254">
        <f t="shared" si="0"/>
        <v>10.200000000000001</v>
      </c>
      <c r="F24" s="1255" t="e">
        <f>(F98+J98)*E24*SUM('Building Input'!C41:E41)/1000</f>
        <v>#N/A</v>
      </c>
      <c r="G24" s="1052"/>
      <c r="H24" s="550"/>
      <c r="I24" s="1256" t="str">
        <f>IF(H24=$B$76,G24*(F98+J98)*SUM('Building Input'!C41:E41)/1000,IF(H24=$B$77,G24*F98*SUM('Building Input'!C41:E41)/1000,IF(H24=$B$78,G24*F98*H98*SUM('Building Input'!C41:E41)/1000,IF(H24=$B$79,"-","Select schedule"))))</f>
        <v>Select schedule</v>
      </c>
      <c r="J24" s="551"/>
      <c r="K24" s="1255" t="str">
        <f t="shared" si="1"/>
        <v/>
      </c>
    </row>
    <row r="25" spans="2:11" s="478" customFormat="1" ht="17.25" customHeight="1">
      <c r="B25" s="1257" t="str">
        <f>'Building Input'!B134&amp;" lighting"</f>
        <v>Eating/drinking lighting</v>
      </c>
      <c r="C25" s="1258"/>
      <c r="D25" s="1258"/>
      <c r="E25" s="1254">
        <f t="shared" si="0"/>
        <v>6.8000000000000007</v>
      </c>
      <c r="F25" s="1255" t="e">
        <f>(F99+J99)*E25*SUM('Building Input'!C42:E42)/1000</f>
        <v>#N/A</v>
      </c>
      <c r="G25" s="1052"/>
      <c r="H25" s="550"/>
      <c r="I25" s="1256" t="str">
        <f>IF(H25=$B$76,G25*(F99+J99)*SUM('Building Input'!C42:E42)/1000,IF(H25=$B$77,G25*F99*SUM('Building Input'!C42:E42)/1000,IF(H25=$B$78,G25*F99*H99*SUM('Building Input'!C42:E42)/1000,IF(H25=$B$79,"-","Select schedule"))))</f>
        <v>Select schedule</v>
      </c>
      <c r="J25" s="551"/>
      <c r="K25" s="1255" t="str">
        <f t="shared" si="1"/>
        <v/>
      </c>
    </row>
    <row r="26" spans="2:11" s="478" customFormat="1" ht="17.25" customHeight="1">
      <c r="B26" s="1257" t="str">
        <f>'Building Input'!B135&amp;" lighting"</f>
        <v>Food preparation lighting</v>
      </c>
      <c r="C26" s="1258"/>
      <c r="D26" s="1258"/>
      <c r="E26" s="1254">
        <f t="shared" si="0"/>
        <v>17</v>
      </c>
      <c r="F26" s="1255" t="e">
        <f>(F100+J100)*E26*SUM('Building Input'!C43:E43)/1000</f>
        <v>#N/A</v>
      </c>
      <c r="G26" s="1052"/>
      <c r="H26" s="550"/>
      <c r="I26" s="1256" t="str">
        <f>IF(H26=$B$76,G26*(F100+J100)*SUM('Building Input'!C43:E43)/1000,IF(H26=$B$77,G26*F100*SUM('Building Input'!C43:E43)/1000,IF(H26=$B$78,G26*F100*H100*SUM('Building Input'!C43:E43)/1000,IF(H26=$B$79,"-","Select schedule"))))</f>
        <v>Select schedule</v>
      </c>
      <c r="J26" s="551"/>
      <c r="K26" s="1255" t="str">
        <f t="shared" si="1"/>
        <v/>
      </c>
    </row>
    <row r="27" spans="2:11" s="478" customFormat="1" ht="17.25" customHeight="1">
      <c r="B27" s="1257" t="str">
        <f>'Building Input'!B136&amp;" lighting"</f>
        <v>Hall/lecture theatre/assembly lighting</v>
      </c>
      <c r="C27" s="1258"/>
      <c r="D27" s="1258"/>
      <c r="E27" s="1254">
        <f t="shared" si="0"/>
        <v>16.5</v>
      </c>
      <c r="F27" s="1255" t="e">
        <f>(F101+J101)*E27*SUM('Building Input'!C44:E44)/1000</f>
        <v>#N/A</v>
      </c>
      <c r="G27" s="1052"/>
      <c r="H27" s="550"/>
      <c r="I27" s="1256" t="str">
        <f>IF(H27=$B$76,G27*(F101+J101)*SUM('Building Input'!C44:E44)/1000,IF(H27=$B$77,G27*F101*SUM('Building Input'!C44:E44)/1000,IF(H27=$B$78,G27*F101*H101*SUM('Building Input'!C44:E44)/1000,IF(H27=$B$79,"-","Select schedule"))))</f>
        <v>Select schedule</v>
      </c>
      <c r="J27" s="551"/>
      <c r="K27" s="1255" t="str">
        <f t="shared" si="1"/>
        <v/>
      </c>
    </row>
    <row r="28" spans="2:11" s="478" customFormat="1" ht="17.25" customHeight="1">
      <c r="B28" s="1257" t="str">
        <f>'Building Input'!B137&amp;" lighting"</f>
        <v>High density IT work space lighting</v>
      </c>
      <c r="C28" s="1258"/>
      <c r="D28" s="1258"/>
      <c r="E28" s="1254">
        <f t="shared" si="0"/>
        <v>10.200000000000001</v>
      </c>
      <c r="F28" s="1255" t="e">
        <f>(F102+J102)*E28*SUM('Building Input'!C45:E45)/1000</f>
        <v>#N/A</v>
      </c>
      <c r="G28" s="1052"/>
      <c r="H28" s="550"/>
      <c r="I28" s="1256" t="str">
        <f>IF(H28=$B$76,G28*(F102+J102)*SUM('Building Input'!C45:E45)/1000,IF(H28=$B$77,G28*F102*SUM('Building Input'!C45:E45)/1000,IF(H28=$B$78,G28*F102*H102*SUM('Building Input'!C45:E45)/1000,IF(H28=$B$79,"-","Select schedule"))))</f>
        <v>Select schedule</v>
      </c>
      <c r="J28" s="551"/>
      <c r="K28" s="1255" t="str">
        <f t="shared" si="1"/>
        <v/>
      </c>
    </row>
    <row r="29" spans="2:11" s="478" customFormat="1" ht="17.25" customHeight="1">
      <c r="B29" s="1257" t="str">
        <f>'Building Input'!B138&amp;" lighting"</f>
        <v>IT equipment lighting</v>
      </c>
      <c r="C29" s="1258"/>
      <c r="D29" s="1258"/>
      <c r="E29" s="1254">
        <f t="shared" si="0"/>
        <v>3.4000000000000004</v>
      </c>
      <c r="F29" s="1255" t="e">
        <f>(F103+J103)*E29*SUM('Building Input'!C46:E46)/1000</f>
        <v>#N/A</v>
      </c>
      <c r="G29" s="1052"/>
      <c r="H29" s="550"/>
      <c r="I29" s="1256" t="str">
        <f>IF(H29=$B$76,G29*(F103+J103)*SUM('Building Input'!C46:E46)/1000,IF(H29=$B$77,G29*F103*SUM('Building Input'!C46:E46)/1000,IF(H29=$B$78,G29*F103*H103*SUM('Building Input'!C46:E46)/1000,IF(H29=$B$79,"-","Select schedule"))))</f>
        <v>Select schedule</v>
      </c>
      <c r="J29" s="551"/>
      <c r="K29" s="1255" t="str">
        <f t="shared" si="1"/>
        <v/>
      </c>
    </row>
    <row r="30" spans="2:11" s="478" customFormat="1" ht="17.25" customHeight="1">
      <c r="B30" s="1257" t="str">
        <f>'Building Input'!B139&amp;" lighting"</f>
        <v>Meeting room lighting</v>
      </c>
      <c r="C30" s="1258"/>
      <c r="D30" s="1258"/>
      <c r="E30" s="1254">
        <f t="shared" si="0"/>
        <v>17</v>
      </c>
      <c r="F30" s="1255" t="e">
        <f>(F104+J104)*E30*SUM('Building Input'!C47:E47)/1000</f>
        <v>#N/A</v>
      </c>
      <c r="G30" s="1052"/>
      <c r="H30" s="550"/>
      <c r="I30" s="1256" t="str">
        <f>IF(H30=$B$76,G30*(F104+J104)*SUM('Building Input'!C47:E47)/1000,IF(H30=$B$77,G30*F104*SUM('Building Input'!C47:E47)/1000,IF(H30=$B$78,G30*F104*H104*SUM('Building Input'!C47:E47)/1000,IF(H30=$B$79,"-","Select schedule"))))</f>
        <v>Select schedule</v>
      </c>
      <c r="J30" s="551"/>
      <c r="K30" s="1255" t="str">
        <f t="shared" si="1"/>
        <v/>
      </c>
    </row>
    <row r="31" spans="2:11" s="478" customFormat="1" ht="17.25" customHeight="1">
      <c r="B31" s="1257" t="str">
        <f>'Building Input'!B140&amp;" lighting"</f>
        <v>Open plan office lighting</v>
      </c>
      <c r="C31" s="1258"/>
      <c r="D31" s="1258"/>
      <c r="E31" s="1254">
        <f t="shared" si="0"/>
        <v>13.600000000000001</v>
      </c>
      <c r="F31" s="1255" t="e">
        <f>(F105+J105)*E31*SUM('Building Input'!C48:E48)/1000</f>
        <v>#N/A</v>
      </c>
      <c r="G31" s="1052"/>
      <c r="H31" s="550"/>
      <c r="I31" s="1256" t="str">
        <f>IF(H31=$B$76,G31*(F105+J105)*SUM('Building Input'!C48:E48)/1000,IF(H31=$B$77,G31*F105*SUM('Building Input'!C48:E48)/1000,IF(H31=$B$78,G31*F105*H105*SUM('Building Input'!C48:E48)/1000,IF(H31=$B$79,"-","Select schedule"))))</f>
        <v>Select schedule</v>
      </c>
      <c r="J31" s="551"/>
      <c r="K31" s="1255" t="str">
        <f t="shared" si="1"/>
        <v/>
      </c>
    </row>
    <row r="32" spans="2:11" s="478" customFormat="1" ht="17.25" customHeight="1">
      <c r="B32" s="1257" t="str">
        <f>'Building Input'!B141&amp;" lighting"</f>
        <v>Plant room lighting</v>
      </c>
      <c r="C32" s="1258"/>
      <c r="D32" s="1258"/>
      <c r="E32" s="1254">
        <f t="shared" si="0"/>
        <v>6.8000000000000007</v>
      </c>
      <c r="F32" s="1255" t="e">
        <f>(F106+J106)*E32*SUM('Building Input'!C49:E49)/1000</f>
        <v>#N/A</v>
      </c>
      <c r="G32" s="1052"/>
      <c r="H32" s="550"/>
      <c r="I32" s="1256" t="str">
        <f>IF(H32=$B$76,G32*(F106+J106)*SUM('Building Input'!C49:E49)/1000,IF(H32=$B$77,G32*F106*SUM('Building Input'!C49:E49)/1000,IF(H32=$B$78,G32*F106*H106*SUM('Building Input'!C49:E49)/1000,IF(H32=$B$79,"-","Select schedule"))))</f>
        <v>Select schedule</v>
      </c>
      <c r="J32" s="551"/>
      <c r="K32" s="1255" t="str">
        <f t="shared" si="1"/>
        <v/>
      </c>
    </row>
    <row r="33" spans="2:11" s="478" customFormat="1" ht="17.25" customHeight="1">
      <c r="B33" s="1257" t="str">
        <f>'Building Input'!B142&amp;" lighting"</f>
        <v>Public circulation lighting</v>
      </c>
      <c r="C33" s="1258"/>
      <c r="D33" s="1258"/>
      <c r="E33" s="1254">
        <f t="shared" si="0"/>
        <v>6.8000000000000007</v>
      </c>
      <c r="F33" s="1255" t="e">
        <f>(F107+J107)*E33*SUM('Building Input'!C50:E50)/1000</f>
        <v>#N/A</v>
      </c>
      <c r="G33" s="1052"/>
      <c r="H33" s="550"/>
      <c r="I33" s="1256" t="str">
        <f>IF(H33=$B$76,G33*(F107+J107)*SUM('Building Input'!C50:E50)/1000,IF(H33=$B$77,G33*F107*SUM('Building Input'!C50:E50)/1000,IF(H33=$B$78,G33*F107*H107*SUM('Building Input'!C50:E50)/1000,IF(H33=$B$79,"-","Select schedule"))))</f>
        <v>Select schedule</v>
      </c>
      <c r="J33" s="551"/>
      <c r="K33" s="1255" t="str">
        <f t="shared" si="1"/>
        <v/>
      </c>
    </row>
    <row r="34" spans="2:11" s="478" customFormat="1" ht="17.25" customHeight="1">
      <c r="B34" s="1257" t="str">
        <f>'Building Input'!B143&amp;" lighting"</f>
        <v>Reception lighting</v>
      </c>
      <c r="C34" s="1258"/>
      <c r="D34" s="1258"/>
      <c r="E34" s="1254">
        <f t="shared" si="0"/>
        <v>19.200000000000003</v>
      </c>
      <c r="F34" s="1255" t="e">
        <f>(F108+J108)*E34*SUM('Building Input'!C51:E51)/1000</f>
        <v>#N/A</v>
      </c>
      <c r="G34" s="1052"/>
      <c r="H34" s="550"/>
      <c r="I34" s="1256" t="str">
        <f>IF(H34=$B$76,G34*(F108+J108)*SUM('Building Input'!C51:E51)/1000,IF(H34=$B$77,G34*F108*SUM('Building Input'!C51:E51)/1000,IF(H34=$B$78,G34*F108*H108*SUM('Building Input'!C51:E51)/1000,IF(H34=$B$79,"-","Select schedule"))))</f>
        <v>Select schedule</v>
      </c>
      <c r="J34" s="551"/>
      <c r="K34" s="1255" t="str">
        <f t="shared" si="1"/>
        <v/>
      </c>
    </row>
    <row r="35" spans="2:11" s="478" customFormat="1" ht="17.25" customHeight="1">
      <c r="B35" s="1257" t="str">
        <f>'Building Input'!B144&amp;" lighting"</f>
        <v>Storage lighting</v>
      </c>
      <c r="C35" s="1258"/>
      <c r="D35" s="1258"/>
      <c r="E35" s="1254">
        <f t="shared" si="0"/>
        <v>3.4000000000000004</v>
      </c>
      <c r="F35" s="1255" t="e">
        <f>(F109+J109)*E35*SUM('Building Input'!C52:E52)/1000</f>
        <v>#N/A</v>
      </c>
      <c r="G35" s="1052"/>
      <c r="H35" s="550"/>
      <c r="I35" s="1256" t="str">
        <f>IF(H35=$B$76,G35*(F109+J109)*SUM('Building Input'!C52:E52)/1000,IF(H35=$B$77,G35*F109*SUM('Building Input'!C52:E52)/1000,IF(H35=$B$78,G35*F109*H109*SUM('Building Input'!C52:E52)/1000,IF(H35=$B$79,"-","Select schedule"))))</f>
        <v>Select schedule</v>
      </c>
      <c r="J35" s="551"/>
      <c r="K35" s="1255" t="str">
        <f t="shared" si="1"/>
        <v/>
      </c>
    </row>
    <row r="36" spans="2:11" s="478" customFormat="1" ht="17.25" customHeight="1">
      <c r="B36" s="1257" t="str">
        <f>'Building Input'!B145&amp;" lighting"</f>
        <v>Tea Kitchen lighting</v>
      </c>
      <c r="C36" s="1258"/>
      <c r="D36" s="1258"/>
      <c r="E36" s="1254">
        <f t="shared" si="0"/>
        <v>6.8000000000000007</v>
      </c>
      <c r="F36" s="1255" t="e">
        <f>(F110+J110)*E36*SUM('Building Input'!C53:E53)/1000</f>
        <v>#N/A</v>
      </c>
      <c r="G36" s="1052"/>
      <c r="H36" s="550"/>
      <c r="I36" s="1256" t="str">
        <f>IF(H36=$B$76,G36*(F110+J110)*SUM('Building Input'!C53:E53)/1000,IF(H36=$B$77,G36*F110*SUM('Building Input'!C53:E53)/1000,IF(H36=$B$78,G36*F110*H110*SUM('Building Input'!C53:E53)/1000,IF(H36=$B$79,"-","Select schedule"))))</f>
        <v>Select schedule</v>
      </c>
      <c r="J36" s="551"/>
      <c r="K36" s="1255" t="str">
        <f t="shared" si="1"/>
        <v/>
      </c>
    </row>
    <row r="37" spans="2:11" s="478" customFormat="1" ht="17.25" customHeight="1">
      <c r="B37" s="1257" t="str">
        <f>'Building Input'!B146&amp;" lighting"</f>
        <v>Toilet lighting</v>
      </c>
      <c r="C37" s="1258"/>
      <c r="D37" s="1258"/>
      <c r="E37" s="1254">
        <f t="shared" si="0"/>
        <v>6.8000000000000007</v>
      </c>
      <c r="F37" s="1255" t="e">
        <f>(F111+J111)*E37*SUM('Building Input'!C54:E54)/1000</f>
        <v>#N/A</v>
      </c>
      <c r="G37" s="1052"/>
      <c r="H37" s="550"/>
      <c r="I37" s="1256" t="str">
        <f>IF(H37=$B$76,G37*(F111+J111)*SUM('Building Input'!C54:E54)/1000,IF(H37=$B$77,G37*F111*SUM('Building Input'!C54:E54)/1000,IF(H37=$B$78,G37*F111*H111*SUM('Building Input'!C54:E54)/1000,IF(H37=$B$79,"-","Select schedule"))))</f>
        <v>Select schedule</v>
      </c>
      <c r="J37" s="551"/>
      <c r="K37" s="1255" t="str">
        <f t="shared" si="1"/>
        <v/>
      </c>
    </row>
    <row r="38" spans="2:11" s="478" customFormat="1" ht="17.25" customHeight="1">
      <c r="B38" s="1257" t="str">
        <f>'Building Input'!B147&amp;" lighting"</f>
        <v>Internal Covered Vehicle Parking Area (B1, ground and above ground) lighting</v>
      </c>
      <c r="C38" s="1258"/>
      <c r="D38" s="1258"/>
      <c r="E38" s="1254">
        <f t="shared" si="0"/>
        <v>5</v>
      </c>
      <c r="F38" s="1255" t="e">
        <f>(F112+J112)*E38*SUM('Building Input'!C55:E55)/1000</f>
        <v>#N/A</v>
      </c>
      <c r="G38" s="1052"/>
      <c r="H38" s="550"/>
      <c r="I38" s="1256" t="str">
        <f>IF(H38=$B$76,G38*(F112+J112)*SUM('Building Input'!C55:E55)/1000,IF(H38=$B$77,G38*F112*SUM('Building Input'!C55:E55)/1000,IF(H38=$B$78,G38*F112*H112*SUM('Building Input'!C55:E55)/1000,IF(H38=$B$79,"-","Select schedule"))))</f>
        <v>Select schedule</v>
      </c>
      <c r="J38" s="551"/>
      <c r="K38" s="1255" t="str">
        <f t="shared" si="1"/>
        <v/>
      </c>
    </row>
    <row r="39" spans="2:11" s="478" customFormat="1" ht="17.25" customHeight="1">
      <c r="B39" s="1257" t="str">
        <f>'Building Input'!B148&amp;" lighting"</f>
        <v>Sub-basement Vehicle Parking Area (B2 and below) lighting</v>
      </c>
      <c r="C39" s="1258"/>
      <c r="D39" s="1258"/>
      <c r="E39" s="1254">
        <f t="shared" si="0"/>
        <v>5</v>
      </c>
      <c r="F39" s="1255" t="e">
        <f>(F113+J113)*E39*SUM('Building Input'!C56:E56)/1000</f>
        <v>#N/A</v>
      </c>
      <c r="G39" s="1052"/>
      <c r="H39" s="550"/>
      <c r="I39" s="1256" t="str">
        <f>IF(H39=$B$76,G39*(F113+J113)*SUM('Building Input'!C56:E56)/1000,IF(H39=$B$77,G39*F113*SUM('Building Input'!C56:E56)/1000,IF(H39=$B$78,G39*F113*H113*SUM('Building Input'!C56:E56)/1000,IF(H39=$B$79,"-","Select schedule"))))</f>
        <v>Select schedule</v>
      </c>
      <c r="J39" s="551"/>
      <c r="K39" s="1255" t="str">
        <f t="shared" si="1"/>
        <v/>
      </c>
    </row>
    <row r="40" spans="2:11" s="478" customFormat="1" ht="17.25" customHeight="1">
      <c r="B40" s="1257" t="str">
        <f>'Building Input'!B149&amp;" lighting"</f>
        <v>External Area (including external Car Parking) lighting</v>
      </c>
      <c r="C40" s="1258"/>
      <c r="D40" s="1258"/>
      <c r="E40" s="1254">
        <f t="shared" si="0"/>
        <v>5</v>
      </c>
      <c r="F40" s="1255" t="e">
        <f>(F114+J114)*E40*SUM('Building Input'!C57:E57)/1000</f>
        <v>#N/A</v>
      </c>
      <c r="G40" s="1052"/>
      <c r="H40" s="550"/>
      <c r="I40" s="1256" t="str">
        <f>IF(H40=$B$76,G40*(F114+J114)*SUM('Building Input'!C57:E57)/1000,IF(H40=$B$77,G40*F114*SUM('Building Input'!C57:E57)/1000,IF(H40=$B$78,G40*F114*H114*SUM('Building Input'!C57:E57)/1000,IF(H40=$B$79,"-","Select schedule"))))</f>
        <v>Select schedule</v>
      </c>
      <c r="J40" s="551"/>
      <c r="K40" s="1255" t="str">
        <f t="shared" si="1"/>
        <v/>
      </c>
    </row>
    <row r="41" spans="2:11" s="478" customFormat="1" ht="17.25" customHeight="1">
      <c r="B41" s="1257" t="str">
        <f>'Building Input'!B152&amp;" lighting"</f>
        <v>Baggage Reclaim lighting</v>
      </c>
      <c r="C41" s="1258"/>
      <c r="D41" s="1258"/>
      <c r="E41" s="1254">
        <f t="shared" si="0"/>
        <v>6.8000000000000007</v>
      </c>
      <c r="F41" s="1255" t="e">
        <f>(F115+J115)*E41*SUM('Building Input'!C59:E59)/1000</f>
        <v>#N/A</v>
      </c>
      <c r="G41" s="1052"/>
      <c r="H41" s="550"/>
      <c r="I41" s="1256" t="str">
        <f>IF(H41=$B$76,G41*(F115+J115)*SUM('Building Input'!C59:E59)/1000,IF(H41=$B$77,G41*F115*SUM('Building Input'!C59:E59)/1000,IF(H41=$B$78,G41*F115*H115*SUM('Building Input'!C59:E59)/1000,IF(H41=$B$79,"-","Select schedule"))))</f>
        <v>Select schedule</v>
      </c>
      <c r="J41" s="551"/>
      <c r="K41" s="1255" t="str">
        <f t="shared" si="1"/>
        <v/>
      </c>
    </row>
    <row r="42" spans="2:11" s="478" customFormat="1" ht="17.25" customHeight="1">
      <c r="B42" s="1257" t="str">
        <f>'Building Input'!B153&amp;" lighting"</f>
        <v>Cell (police/prison) lighting</v>
      </c>
      <c r="C42" s="1258"/>
      <c r="D42" s="1258"/>
      <c r="E42" s="1254">
        <f t="shared" si="0"/>
        <v>4.5999999999999996</v>
      </c>
      <c r="F42" s="1255" t="e">
        <f>(F116+J116)*E42*SUM('Building Input'!C60:E60)/1000</f>
        <v>#N/A</v>
      </c>
      <c r="G42" s="1052"/>
      <c r="H42" s="550"/>
      <c r="I42" s="1256" t="str">
        <f>IF(H42=$B$76,G42*(F116+J116)*SUM('Building Input'!C60:E60)/1000,IF(H42=$B$77,G42*F116*SUM('Building Input'!C60:E60)/1000,IF(H42=$B$78,G42*F116*H116*SUM('Building Input'!C60:E60)/1000,IF(H42=$B$79,"-","Select schedule"))))</f>
        <v>Select schedule</v>
      </c>
      <c r="J42" s="551"/>
      <c r="K42" s="1255" t="str">
        <f t="shared" si="1"/>
        <v/>
      </c>
    </row>
    <row r="43" spans="2:11" s="478" customFormat="1" ht="17.25" customHeight="1">
      <c r="B43" s="1257" t="str">
        <f>'Building Input'!B154&amp;" lighting"</f>
        <v>Check in lighting</v>
      </c>
      <c r="C43" s="1258"/>
      <c r="D43" s="1258"/>
      <c r="E43" s="1254">
        <f t="shared" si="0"/>
        <v>17</v>
      </c>
      <c r="F43" s="1255" t="e">
        <f>(F117+J117)*E43*SUM('Building Input'!C61:E61)/1000</f>
        <v>#N/A</v>
      </c>
      <c r="G43" s="1052"/>
      <c r="H43" s="550"/>
      <c r="I43" s="1256" t="str">
        <f>IF(H43=$B$76,G43*(F117+J117)*SUM('Building Input'!C61:E61)/1000,IF(H43=$B$77,G43*F117*SUM('Building Input'!C61:E61)/1000,IF(H43=$B$78,G43*F117*H117*SUM('Building Input'!C61:E61)/1000,IF(H43=$B$79,"-","Select schedule"))))</f>
        <v>Select schedule</v>
      </c>
      <c r="J43" s="551"/>
      <c r="K43" s="1255" t="str">
        <f t="shared" si="1"/>
        <v/>
      </c>
    </row>
    <row r="44" spans="2:11" s="478" customFormat="1" ht="17.25" customHeight="1">
      <c r="B44" s="1257" t="str">
        <f>'Building Input'!B155&amp;" lighting"</f>
        <v>Classroom lighting</v>
      </c>
      <c r="C44" s="1258"/>
      <c r="D44" s="1258"/>
      <c r="E44" s="1254">
        <f t="shared" si="0"/>
        <v>10.200000000000001</v>
      </c>
      <c r="F44" s="1255" t="e">
        <f>(F118+J118)*E44*SUM('Building Input'!C62:E62)/1000</f>
        <v>#N/A</v>
      </c>
      <c r="G44" s="1052"/>
      <c r="H44" s="550"/>
      <c r="I44" s="1256" t="str">
        <f>IF(H44=$B$76,G44*(F118+J118)*SUM('Building Input'!C62:E62)/1000,IF(H44=$B$77,G44*F118*SUM('Building Input'!C62:E62)/1000,IF(H44=$B$78,G44*F118*H118*SUM('Building Input'!C62:E62)/1000,IF(H44=$B$79,"-","Select schedule"))))</f>
        <v>Select schedule</v>
      </c>
      <c r="J44" s="551"/>
      <c r="K44" s="1255" t="str">
        <f t="shared" si="1"/>
        <v/>
      </c>
    </row>
    <row r="45" spans="2:11" s="478" customFormat="1" ht="17.25" customHeight="1">
      <c r="B45" s="1257" t="str">
        <f>'Building Input'!B156&amp;" lighting"</f>
        <v>Consulting room lighting</v>
      </c>
      <c r="C45" s="1258"/>
      <c r="D45" s="1258"/>
      <c r="E45" s="1254">
        <f t="shared" si="0"/>
        <v>17</v>
      </c>
      <c r="F45" s="1255" t="e">
        <f>(F119+J119)*E45*SUM('Building Input'!C63:E63)/1000</f>
        <v>#N/A</v>
      </c>
      <c r="G45" s="1052"/>
      <c r="H45" s="550"/>
      <c r="I45" s="1256" t="str">
        <f>IF(H45=$B$76,G45*(F119+J119)*SUM('Building Input'!C63:E63)/1000,IF(H45=$B$77,G45*F119*SUM('Building Input'!C63:E63)/1000,IF(H45=$B$78,G45*F119*H119*SUM('Building Input'!C63:E63)/1000,IF(H45=$B$79,"-","Select schedule"))))</f>
        <v>Select schedule</v>
      </c>
      <c r="J45" s="551"/>
      <c r="K45" s="1255" t="str">
        <f t="shared" si="1"/>
        <v/>
      </c>
    </row>
    <row r="46" spans="2:11" s="478" customFormat="1" ht="17.25" customHeight="1">
      <c r="B46" s="1257" t="str">
        <f>'Building Input'!B157&amp;" lighting"</f>
        <v>Display lighting</v>
      </c>
      <c r="C46" s="1258"/>
      <c r="D46" s="1258"/>
      <c r="E46" s="1254">
        <f t="shared" si="0"/>
        <v>33</v>
      </c>
      <c r="F46" s="1255" t="e">
        <f>(F120+J120)*E46*SUM('Building Input'!C64:E64)/1000</f>
        <v>#N/A</v>
      </c>
      <c r="G46" s="1052"/>
      <c r="H46" s="550"/>
      <c r="I46" s="1256" t="str">
        <f>IF(H46=$B$76,G46*(F120+J120)*SUM('Building Input'!C64:E64)/1000,IF(H46=$B$77,G46*F120*SUM('Building Input'!C64:E64)/1000,IF(H46=$B$78,G46*F120*H120*SUM('Building Input'!C64:E64)/1000,IF(H46=$B$79,"-","Select schedule"))))</f>
        <v>Select schedule</v>
      </c>
      <c r="J46" s="551"/>
      <c r="K46" s="1255" t="str">
        <f t="shared" si="1"/>
        <v/>
      </c>
    </row>
    <row r="47" spans="2:11" s="478" customFormat="1" ht="17.25" customHeight="1">
      <c r="B47" s="1257" t="str">
        <f>'Building Input'!B158&amp;" lighting"</f>
        <v>Dry sports hall lighting</v>
      </c>
      <c r="C47" s="1258"/>
      <c r="D47" s="1258"/>
      <c r="E47" s="1254">
        <f t="shared" si="0"/>
        <v>13.5</v>
      </c>
      <c r="F47" s="1255" t="e">
        <f>(F121+J121)*E47*SUM('Building Input'!C65:E65)/1000</f>
        <v>#N/A</v>
      </c>
      <c r="G47" s="1052"/>
      <c r="H47" s="550"/>
      <c r="I47" s="1256" t="str">
        <f>IF(H47=$B$76,G47*(F121+J121)*SUM('Building Input'!C65:E65)/1000,IF(H47=$B$77,G47*F121*SUM('Building Input'!C65:E65)/1000,IF(H47=$B$78,G47*F121*H121*SUM('Building Input'!C65:E65)/1000,IF(H47=$B$79,"-","Select schedule"))))</f>
        <v>Select schedule</v>
      </c>
      <c r="J47" s="551"/>
      <c r="K47" s="1255" t="str">
        <f t="shared" si="1"/>
        <v/>
      </c>
    </row>
    <row r="48" spans="2:11" s="478" customFormat="1" ht="17.25" customHeight="1">
      <c r="B48" s="1257" t="str">
        <f>'Building Input'!B159&amp;" lighting"</f>
        <v>Fitness Studio lighting</v>
      </c>
      <c r="C48" s="1258"/>
      <c r="D48" s="1258"/>
      <c r="E48" s="1254">
        <f t="shared" si="0"/>
        <v>10.200000000000001</v>
      </c>
      <c r="F48" s="1255" t="e">
        <f>(F122+J122)*E48*SUM('Building Input'!C66:E66)/1000</f>
        <v>#N/A</v>
      </c>
      <c r="G48" s="1052"/>
      <c r="H48" s="550"/>
      <c r="I48" s="1256" t="str">
        <f>IF(H48=$B$76,G48*(F122+J122)*SUM('Building Input'!C66:E66)/1000,IF(H48=$B$77,G48*F122*SUM('Building Input'!C66:E66)/1000,IF(H48=$B$78,G48*F122*H122*SUM('Building Input'!C66:E66)/1000,IF(H48=$B$79,"-","Select schedule"))))</f>
        <v>Select schedule</v>
      </c>
      <c r="J48" s="551"/>
      <c r="K48" s="1255" t="str">
        <f t="shared" si="1"/>
        <v/>
      </c>
    </row>
    <row r="49" spans="2:34" s="478" customFormat="1" ht="17.25" customHeight="1">
      <c r="B49" s="1257" t="str">
        <f>'Building Input'!B160&amp;" lighting"</f>
        <v>Fitness suite/gym lighting</v>
      </c>
      <c r="C49" s="1258"/>
      <c r="D49" s="1258"/>
      <c r="E49" s="1254">
        <f t="shared" si="0"/>
        <v>10.200000000000001</v>
      </c>
      <c r="F49" s="1255" t="e">
        <f>(F123+J123)*E49*SUM('Building Input'!C67:E67)/1000</f>
        <v>#N/A</v>
      </c>
      <c r="G49" s="1052"/>
      <c r="H49" s="550"/>
      <c r="I49" s="1256" t="str">
        <f>IF(H49=$B$76,G49*(F123+J123)*SUM('Building Input'!C67:E67)/1000,IF(H49=$B$77,G49*F123*SUM('Building Input'!C67:E67)/1000,IF(H49=$B$78,G49*F123*H123*SUM('Building Input'!C67:E67)/1000,IF(H49=$B$79,"-","Select schedule"))))</f>
        <v>Select schedule</v>
      </c>
      <c r="J49" s="551"/>
      <c r="K49" s="1255" t="str">
        <f t="shared" si="1"/>
        <v/>
      </c>
    </row>
    <row r="50" spans="2:34" s="478" customFormat="1" ht="17.25" customHeight="1">
      <c r="B50" s="1257" t="str">
        <f>'Building Input'!B161&amp;" lighting"</f>
        <v>Ice rink lighting</v>
      </c>
      <c r="C50" s="1258"/>
      <c r="D50" s="1258"/>
      <c r="E50" s="1254">
        <f t="shared" si="0"/>
        <v>13.5</v>
      </c>
      <c r="F50" s="1255" t="e">
        <f>(F124+J124)*E50*SUM('Building Input'!C68:E68)/1000</f>
        <v>#N/A</v>
      </c>
      <c r="G50" s="1052"/>
      <c r="H50" s="550"/>
      <c r="I50" s="1256" t="str">
        <f>IF(H50=$B$76,G50*(F124+J124)*SUM('Building Input'!C68:E68)/1000,IF(H50=$B$77,G50*F124*SUM('Building Input'!C68:E68)/1000,IF(H50=$B$78,G50*F124*H124*SUM('Building Input'!C68:E68)/1000,IF(H50=$B$79,"-","Select schedule"))))</f>
        <v>Select schedule</v>
      </c>
      <c r="J50" s="551"/>
      <c r="K50" s="1255" t="str">
        <f t="shared" si="1"/>
        <v/>
      </c>
    </row>
    <row r="51" spans="2:34" s="478" customFormat="1" ht="17.25" customHeight="1">
      <c r="B51" s="1257" t="str">
        <f>'Building Input'!B162&amp;" lighting"</f>
        <v>Laboratory lighting</v>
      </c>
      <c r="C51" s="1258"/>
      <c r="D51" s="1258"/>
      <c r="E51" s="1254">
        <f t="shared" si="0"/>
        <v>17</v>
      </c>
      <c r="F51" s="1255" t="e">
        <f>(F125+J125)*E51*SUM('Building Input'!C69:E69)/1000</f>
        <v>#N/A</v>
      </c>
      <c r="G51" s="1052"/>
      <c r="H51" s="550"/>
      <c r="I51" s="1256" t="str">
        <f>IF(H51=$B$76,G51*(F125+J125)*SUM('Building Input'!C69:E69)/1000,IF(H51=$B$77,G51*F125*SUM('Building Input'!C69:E69)/1000,IF(H51=$B$78,G51*F125*H125*SUM('Building Input'!C69:E69)/1000,IF(H51=$B$79,"-","Select schedule"))))</f>
        <v>Select schedule</v>
      </c>
      <c r="J51" s="551"/>
      <c r="K51" s="1255" t="str">
        <f t="shared" si="1"/>
        <v/>
      </c>
    </row>
    <row r="52" spans="2:34" s="478" customFormat="1" ht="17.25" customHeight="1">
      <c r="B52" s="1257" t="str">
        <f>'Building Input'!B163&amp;" lighting"</f>
        <v>Laundry lighting</v>
      </c>
      <c r="C52" s="1258"/>
      <c r="D52" s="1258"/>
      <c r="E52" s="1254">
        <f t="shared" si="0"/>
        <v>10.200000000000001</v>
      </c>
      <c r="F52" s="1255" t="e">
        <f>(F126+J126)*E52*SUM('Building Input'!C70:E70)/1000</f>
        <v>#N/A</v>
      </c>
      <c r="G52" s="1052"/>
      <c r="H52" s="550"/>
      <c r="I52" s="1256" t="str">
        <f>IF(H52=$B$76,G52*(F126+J126)*SUM('Building Input'!C70:E70)/1000,IF(H52=$B$77,G52*F126*SUM('Building Input'!C70:E70)/1000,IF(H52=$B$78,G52*F126*H126*SUM('Building Input'!C70:E70)/1000,IF(H52=$B$79,"-","Select schedule"))))</f>
        <v>Select schedule</v>
      </c>
      <c r="J52" s="551"/>
      <c r="K52" s="1255" t="str">
        <f t="shared" si="1"/>
        <v/>
      </c>
    </row>
    <row r="53" spans="2:34" s="478" customFormat="1" ht="17.25" customHeight="1">
      <c r="B53" s="1257" t="str">
        <f>'Building Input'!B164&amp;" lighting"</f>
        <v>Performance area (stage) lighting</v>
      </c>
      <c r="C53" s="1258"/>
      <c r="D53" s="1258"/>
      <c r="E53" s="1254">
        <f t="shared" si="0"/>
        <v>5.5</v>
      </c>
      <c r="F53" s="1255" t="e">
        <f>(F127+J127)*E53*SUM('Building Input'!C71:E71)/1000</f>
        <v>#N/A</v>
      </c>
      <c r="G53" s="1052"/>
      <c r="H53" s="550"/>
      <c r="I53" s="1256" t="str">
        <f>IF(H53=$B$76,G53*(F127+J127)*SUM('Building Input'!C71:E71)/1000,IF(H53=$B$77,G53*F127*SUM('Building Input'!C71:E71)/1000,IF(H53=$B$78,G53*F127*H127*SUM('Building Input'!C71:E71)/1000,IF(H53=$B$79,"-","Select schedule"))))</f>
        <v>Select schedule</v>
      </c>
      <c r="J53" s="551"/>
      <c r="K53" s="1255" t="str">
        <f t="shared" si="1"/>
        <v/>
      </c>
    </row>
    <row r="54" spans="2:34" s="478" customFormat="1" ht="17.25" customHeight="1">
      <c r="B54" s="1257" t="str">
        <f>'Building Input'!B165&amp;" lighting"</f>
        <v>Sales area - chilled lighting</v>
      </c>
      <c r="C54" s="1258"/>
      <c r="D54" s="1258"/>
      <c r="E54" s="1254">
        <f t="shared" si="0"/>
        <v>20.200000000000003</v>
      </c>
      <c r="F54" s="1255" t="e">
        <f>(F128+J128)*E54*SUM('Building Input'!C72:E72)/1000</f>
        <v>#N/A</v>
      </c>
      <c r="G54" s="1052"/>
      <c r="H54" s="550"/>
      <c r="I54" s="1256" t="str">
        <f>IF(H54=$B$76,G54*(F128+J128)*SUM('Building Input'!C72:E72)/1000,IF(H54=$B$77,G54*F128*SUM('Building Input'!C72:E72)/1000,IF(H54=$B$78,G54*F128*H128*SUM('Building Input'!C72:E72)/1000,IF(H54=$B$79,"-","Select schedule"))))</f>
        <v>Select schedule</v>
      </c>
      <c r="J54" s="551"/>
      <c r="K54" s="1255" t="str">
        <f t="shared" si="1"/>
        <v/>
      </c>
    </row>
    <row r="55" spans="2:34" s="478" customFormat="1" ht="17.25" customHeight="1">
      <c r="B55" s="1257" t="str">
        <f>'Building Input'!B166&amp;" lighting"</f>
        <v>Sales area - general lighting</v>
      </c>
      <c r="C55" s="1258"/>
      <c r="D55" s="1258"/>
      <c r="E55" s="1254">
        <f t="shared" si="0"/>
        <v>20.200000000000003</v>
      </c>
      <c r="F55" s="1255" t="e">
        <f>(F129+J129)*E55*SUM('Building Input'!C73:E73)/1000</f>
        <v>#N/A</v>
      </c>
      <c r="G55" s="1052"/>
      <c r="H55" s="550"/>
      <c r="I55" s="1256" t="str">
        <f>IF(H55=$B$76,G55*(F129+J129)*SUM('Building Input'!C73:E73)/1000,IF(H55=$B$77,G55*F129*SUM('Building Input'!C73:E73)/1000,IF(H55=$B$78,G55*F129*H129*SUM('Building Input'!C73:E73)/1000,IF(H55=$B$79,"-","Select schedule"))))</f>
        <v>Select schedule</v>
      </c>
      <c r="J55" s="551"/>
      <c r="K55" s="1255" t="str">
        <f t="shared" si="1"/>
        <v/>
      </c>
    </row>
    <row r="56" spans="2:34" s="478" customFormat="1" ht="17.25" customHeight="1">
      <c r="B56" s="1257" t="str">
        <f>'Building Input'!B167&amp;" lighting"</f>
        <v>Security check lighting</v>
      </c>
      <c r="C56" s="1258"/>
      <c r="D56" s="1258"/>
      <c r="E56" s="1254">
        <f t="shared" si="0"/>
        <v>10.200000000000001</v>
      </c>
      <c r="F56" s="1255" t="e">
        <f>(F130+J130)*E56*SUM('Building Input'!C74:E74)/1000</f>
        <v>#N/A</v>
      </c>
      <c r="G56" s="1052"/>
      <c r="H56" s="550"/>
      <c r="I56" s="1256" t="str">
        <f>IF(H56=$B$76,G56*(F130+J130)*SUM('Building Input'!C74:E74)/1000,IF(H56=$B$77,G56*F130*SUM('Building Input'!C74:E74)/1000,IF(H56=$B$78,G56*F130*H130*SUM('Building Input'!C74:E74)/1000,IF(H56=$B$79,"-","Select schedule"))))</f>
        <v>Select schedule</v>
      </c>
      <c r="J56" s="551"/>
      <c r="K56" s="1255" t="str">
        <f t="shared" si="1"/>
        <v/>
      </c>
    </row>
    <row r="57" spans="2:34" s="478" customFormat="1" ht="17.25" customHeight="1">
      <c r="B57" s="1257" t="str">
        <f>'Building Input'!B168&amp;" lighting"</f>
        <v>Storage area - chilled lighting</v>
      </c>
      <c r="C57" s="1258"/>
      <c r="D57" s="1258"/>
      <c r="E57" s="1254">
        <f t="shared" si="0"/>
        <v>6.8000000000000007</v>
      </c>
      <c r="F57" s="1255" t="e">
        <f>(F131+J131)*E57*SUM('Building Input'!C75:E75)/1000</f>
        <v>#N/A</v>
      </c>
      <c r="G57" s="1052"/>
      <c r="H57" s="550"/>
      <c r="I57" s="1256" t="str">
        <f>IF(H57=$B$76,G57*(F131+J131)*SUM('Building Input'!C75:E75)/1000,IF(H57=$B$77,G57*F131*SUM('Building Input'!C75:E75)/1000,IF(H57=$B$78,G57*F131*H131*SUM('Building Input'!C75:E75)/1000,IF(H57=$B$79,"-","Select schedule"))))</f>
        <v>Select schedule</v>
      </c>
      <c r="J57" s="551"/>
      <c r="K57" s="1255" t="str">
        <f t="shared" si="1"/>
        <v/>
      </c>
    </row>
    <row r="58" spans="2:34" s="478" customFormat="1" ht="17.25" customHeight="1">
      <c r="B58" s="1257" t="str">
        <f>'Building Input'!B169&amp;" lighting"</f>
        <v>Storage area - cold room (&lt;0degC) lighting</v>
      </c>
      <c r="C58" s="1258"/>
      <c r="D58" s="1258"/>
      <c r="E58" s="1254">
        <f t="shared" si="0"/>
        <v>6.8000000000000007</v>
      </c>
      <c r="F58" s="1255" t="e">
        <f>(F132+J132)*E58*SUM('Building Input'!C76:E76)/1000</f>
        <v>#N/A</v>
      </c>
      <c r="G58" s="1052"/>
      <c r="H58" s="550"/>
      <c r="I58" s="1256" t="str">
        <f>IF(H58=$B$76,G58*(F132+J132)*SUM('Building Input'!C76:E76)/1000,IF(H58=$B$77,G58*F132*SUM('Building Input'!C76:E76)/1000,IF(H58=$B$78,G58*F132*H132*SUM('Building Input'!C76:E76)/1000,IF(H58=$B$79,"-","Select schedule"))))</f>
        <v>Select schedule</v>
      </c>
      <c r="J58" s="551"/>
      <c r="K58" s="1255" t="str">
        <f t="shared" si="1"/>
        <v/>
      </c>
    </row>
    <row r="59" spans="2:34" s="478" customFormat="1" ht="17.25" customHeight="1">
      <c r="B59" s="1257" t="str">
        <f>'Building Input'!B170&amp;" lighting"</f>
        <v>Swimming pool lighting</v>
      </c>
      <c r="C59" s="1258"/>
      <c r="D59" s="1258"/>
      <c r="E59" s="1254">
        <f t="shared" si="0"/>
        <v>13.5</v>
      </c>
      <c r="F59" s="1255" t="e">
        <f>(F133+J133)*E59*SUM('Building Input'!C77:E77)/1000</f>
        <v>#N/A</v>
      </c>
      <c r="G59" s="1052"/>
      <c r="H59" s="550"/>
      <c r="I59" s="1256" t="str">
        <f>IF(H59=$B$76,G59*(F133+J133)*SUM('Building Input'!C77:E77)/1000,IF(H59=$B$77,G59*F133*SUM('Building Input'!C77:E77)/1000,IF(H59=$B$78,G59*F133*H133*SUM('Building Input'!C77:E77)/1000,IF(H59=$B$79,"-","Select schedule"))))</f>
        <v>Select schedule</v>
      </c>
      <c r="J59" s="551"/>
      <c r="K59" s="1255" t="str">
        <f t="shared" si="1"/>
        <v/>
      </c>
    </row>
    <row r="60" spans="2:34" s="478" customFormat="1" ht="17.25" customHeight="1" thickBot="1">
      <c r="B60" s="1259" t="str">
        <f>'Building Input'!B171&amp;" lighting"</f>
        <v>Workshop - small scale lighting</v>
      </c>
      <c r="C60" s="1260"/>
      <c r="D60" s="1260"/>
      <c r="E60" s="1261">
        <f t="shared" si="0"/>
        <v>17</v>
      </c>
      <c r="F60" s="1262" t="e">
        <f>(F134+J134)*E60*SUM('Building Input'!C78:E78)/1000</f>
        <v>#N/A</v>
      </c>
      <c r="G60" s="1053"/>
      <c r="H60" s="550"/>
      <c r="I60" s="1263" t="str">
        <f>IF(H60=$B$76,G60*(F134+J134)*SUM('Building Input'!C78:E78)/1000,IF(H60=$B$77,G60*F134*SUM('Building Input'!C78:E78)/1000,IF(H60=$B$78,G60*F134*H134*SUM('Building Input'!C78:E78)/1000,IF(H60=$B$79,"-","Select schedule"))))</f>
        <v>Select schedule</v>
      </c>
      <c r="J60" s="1036"/>
      <c r="K60" s="1262" t="str">
        <f t="shared" si="1"/>
        <v/>
      </c>
    </row>
    <row r="61" spans="2:34" s="478" customFormat="1" ht="17.25" customHeight="1" thickBot="1">
      <c r="B61" s="1264" t="s">
        <v>32</v>
      </c>
      <c r="C61" s="1265"/>
      <c r="D61" s="1265"/>
      <c r="E61" s="1266"/>
      <c r="F61" s="1267" t="e">
        <f>SUM(F21:F60)</f>
        <v>#N/A</v>
      </c>
      <c r="G61" s="1037"/>
      <c r="H61" s="1037"/>
      <c r="I61" s="1268"/>
      <c r="J61" s="1038"/>
      <c r="K61" s="1267">
        <f>SUM(K21:K60)</f>
        <v>0</v>
      </c>
      <c r="P61" s="863"/>
      <c r="Q61" s="863"/>
      <c r="R61" s="863"/>
      <c r="S61" s="867"/>
      <c r="T61" s="865"/>
      <c r="U61" s="865"/>
      <c r="V61" s="865"/>
      <c r="W61" s="865"/>
      <c r="X61" s="865"/>
      <c r="Y61" s="865"/>
      <c r="Z61" s="865"/>
      <c r="AA61" s="865"/>
      <c r="AB61" s="865"/>
      <c r="AC61" s="865"/>
      <c r="AD61" s="865"/>
      <c r="AE61" s="865"/>
      <c r="AF61" s="865"/>
      <c r="AG61" s="865"/>
      <c r="AH61" s="865"/>
    </row>
    <row r="62" spans="2:34" s="478" customFormat="1" ht="25.5" customHeight="1">
      <c r="B62" s="548" t="s">
        <v>541</v>
      </c>
    </row>
    <row r="63" spans="2:34" s="691" customFormat="1"/>
    <row r="64" spans="2:34" s="691" customFormat="1">
      <c r="I64" s="692"/>
      <c r="J64" s="692"/>
      <c r="K64" s="692"/>
      <c r="L64" s="692"/>
      <c r="M64" s="692"/>
    </row>
    <row r="65" spans="2:13" s="691" customFormat="1">
      <c r="I65" s="692"/>
      <c r="J65" s="692"/>
      <c r="K65" s="692"/>
      <c r="L65" s="692"/>
      <c r="M65" s="692"/>
    </row>
    <row r="66" spans="2:13" s="691" customFormat="1">
      <c r="I66" s="692"/>
      <c r="J66" s="692"/>
      <c r="K66" s="692"/>
      <c r="L66" s="692"/>
      <c r="M66" s="692"/>
    </row>
    <row r="67" spans="2:13" s="691" customFormat="1">
      <c r="I67" s="692"/>
      <c r="J67" s="692"/>
      <c r="K67" s="692"/>
      <c r="L67" s="692"/>
      <c r="M67" s="692"/>
    </row>
    <row r="68" spans="2:13" s="691" customFormat="1">
      <c r="I68" s="692"/>
      <c r="J68" s="692"/>
      <c r="K68" s="692"/>
      <c r="L68" s="692"/>
      <c r="M68" s="692"/>
    </row>
    <row r="69" spans="2:13" s="691" customFormat="1">
      <c r="I69" s="692"/>
      <c r="J69" s="692"/>
      <c r="K69" s="692"/>
      <c r="L69" s="692"/>
      <c r="M69" s="692"/>
    </row>
    <row r="70" spans="2:13" s="691" customFormat="1">
      <c r="I70" s="692"/>
      <c r="J70" s="692"/>
      <c r="K70" s="692"/>
      <c r="L70" s="692"/>
      <c r="M70" s="692"/>
    </row>
    <row r="71" spans="2:13" s="691" customFormat="1">
      <c r="I71" s="692"/>
      <c r="J71" s="692"/>
      <c r="K71" s="692"/>
      <c r="L71" s="692"/>
      <c r="M71" s="692"/>
    </row>
    <row r="72" spans="2:13" s="691" customFormat="1">
      <c r="I72" s="692"/>
      <c r="J72" s="692"/>
      <c r="K72" s="692"/>
      <c r="L72" s="692"/>
      <c r="M72" s="692"/>
    </row>
    <row r="73" spans="2:13" s="691" customFormat="1" ht="18" hidden="1">
      <c r="B73" s="871" t="s">
        <v>1254</v>
      </c>
      <c r="I73" s="692"/>
      <c r="J73" s="692"/>
      <c r="K73" s="692"/>
      <c r="L73" s="692"/>
      <c r="M73" s="692"/>
    </row>
    <row r="74" spans="2:13" s="691" customFormat="1" hidden="1">
      <c r="F74" s="424"/>
      <c r="G74" s="424"/>
      <c r="H74" s="424"/>
      <c r="I74" s="424"/>
      <c r="J74" s="424"/>
      <c r="K74" s="424"/>
      <c r="L74" s="424"/>
      <c r="M74" s="424"/>
    </row>
    <row r="75" spans="2:13" s="691" customFormat="1" hidden="1">
      <c r="B75" s="866" t="s">
        <v>1248</v>
      </c>
      <c r="F75" s="424"/>
      <c r="G75" s="424"/>
      <c r="H75" s="424"/>
      <c r="I75" s="424"/>
      <c r="J75" s="424"/>
      <c r="K75" s="424"/>
      <c r="L75" s="424"/>
      <c r="M75" s="424"/>
    </row>
    <row r="76" spans="2:13" s="691" customFormat="1" hidden="1">
      <c r="B76" s="863" t="s">
        <v>1441</v>
      </c>
      <c r="F76" s="424"/>
      <c r="G76" s="424"/>
      <c r="H76" s="424"/>
      <c r="I76" s="424"/>
      <c r="J76" s="424"/>
      <c r="K76" s="424"/>
      <c r="L76" s="424"/>
      <c r="M76" s="424"/>
    </row>
    <row r="77" spans="2:13" s="691" customFormat="1" hidden="1">
      <c r="B77" s="877" t="s">
        <v>1444</v>
      </c>
      <c r="F77" s="424"/>
      <c r="G77" s="424"/>
      <c r="H77" s="424"/>
      <c r="I77" s="424"/>
      <c r="J77" s="424"/>
      <c r="K77" s="424"/>
      <c r="L77" s="424"/>
      <c r="M77" s="424"/>
    </row>
    <row r="78" spans="2:13" s="691" customFormat="1" hidden="1">
      <c r="B78" s="877" t="s">
        <v>1442</v>
      </c>
      <c r="F78" s="424"/>
      <c r="G78" s="424"/>
      <c r="H78" s="424"/>
      <c r="I78" s="424"/>
      <c r="J78" s="424"/>
      <c r="K78" s="424"/>
      <c r="L78" s="424"/>
      <c r="M78" s="424"/>
    </row>
    <row r="79" spans="2:13" s="691" customFormat="1" hidden="1">
      <c r="B79" s="877" t="s">
        <v>1443</v>
      </c>
      <c r="F79" s="424"/>
      <c r="G79" s="424"/>
      <c r="H79" s="424"/>
      <c r="I79" s="424"/>
      <c r="J79" s="424"/>
      <c r="K79" s="424"/>
      <c r="L79" s="424"/>
      <c r="M79" s="424"/>
    </row>
    <row r="80" spans="2:13" s="691" customFormat="1" hidden="1">
      <c r="F80" s="424"/>
      <c r="G80" s="424"/>
      <c r="H80" s="424"/>
      <c r="I80" s="424"/>
      <c r="J80" s="424"/>
      <c r="K80" s="424"/>
      <c r="L80" s="424"/>
      <c r="M80" s="424"/>
    </row>
    <row r="81" spans="2:25" s="691" customFormat="1" hidden="1">
      <c r="F81" s="424"/>
      <c r="G81" s="424"/>
      <c r="H81" s="424"/>
      <c r="I81" s="424"/>
      <c r="J81" s="424"/>
      <c r="K81" s="424"/>
      <c r="L81" s="424"/>
      <c r="M81" s="424"/>
    </row>
    <row r="82" spans="2:25" s="691" customFormat="1" ht="18" hidden="1">
      <c r="B82" s="871" t="s">
        <v>1264</v>
      </c>
      <c r="F82" s="424"/>
      <c r="G82" s="424"/>
      <c r="H82" s="424"/>
      <c r="I82" s="424"/>
      <c r="J82" s="424"/>
      <c r="K82" s="424"/>
      <c r="L82" s="424"/>
      <c r="M82" s="424"/>
    </row>
    <row r="83" spans="2:25" s="691" customFormat="1" hidden="1">
      <c r="F83" s="424"/>
      <c r="G83" s="424"/>
      <c r="H83" s="424"/>
      <c r="I83" s="424"/>
      <c r="J83" s="424"/>
      <c r="K83" s="424"/>
      <c r="L83" s="424"/>
      <c r="M83" s="424"/>
    </row>
    <row r="84" spans="2:25" s="478" customFormat="1" hidden="1">
      <c r="B84" s="863" t="s">
        <v>1447</v>
      </c>
      <c r="G84" s="867">
        <v>0.1</v>
      </c>
    </row>
    <row r="85" spans="2:25" s="478" customFormat="1" hidden="1"/>
    <row r="86" spans="2:25" s="478" customFormat="1" hidden="1"/>
    <row r="87" spans="2:25" s="478" customFormat="1" hidden="1"/>
    <row r="88" spans="2:25" s="478" customFormat="1" hidden="1"/>
    <row r="89" spans="2:25" s="478" customFormat="1" hidden="1"/>
    <row r="90" spans="2:25" s="478" customFormat="1" ht="18" hidden="1">
      <c r="B90" s="871" t="s">
        <v>1260</v>
      </c>
    </row>
    <row r="91" spans="2:25" s="478" customFormat="1" ht="18" hidden="1">
      <c r="B91" s="871"/>
    </row>
    <row r="92" spans="2:25" s="478" customFormat="1" ht="15" hidden="1">
      <c r="E92" s="1057"/>
      <c r="F92" s="2385" t="s">
        <v>1450</v>
      </c>
      <c r="G92" s="2386"/>
      <c r="H92" s="1057"/>
      <c r="I92" s="1057"/>
      <c r="J92" s="1057"/>
      <c r="K92" s="2382" t="s">
        <v>1448</v>
      </c>
      <c r="L92" s="2383"/>
      <c r="M92" s="2383"/>
      <c r="N92" s="2383"/>
      <c r="O92" s="2383"/>
      <c r="P92" s="2383"/>
      <c r="Q92" s="2383"/>
      <c r="R92" s="2383"/>
      <c r="S92" s="2383"/>
      <c r="T92" s="2383"/>
      <c r="U92" s="2383"/>
      <c r="V92" s="2383"/>
      <c r="W92" s="2383"/>
      <c r="X92" s="2383"/>
      <c r="Y92" s="2384"/>
    </row>
    <row r="93" spans="2:25" s="478" customFormat="1" ht="54" hidden="1" customHeight="1">
      <c r="B93" s="866" t="s">
        <v>1438</v>
      </c>
      <c r="E93" s="1058"/>
      <c r="F93" s="2387"/>
      <c r="G93" s="2388"/>
      <c r="H93" s="1059"/>
      <c r="I93" s="1059" t="s">
        <v>1445</v>
      </c>
      <c r="J93" s="1060" t="s">
        <v>1449</v>
      </c>
      <c r="K93" s="1040" t="str">
        <f>'Building Input'!$B$113</f>
        <v>A1: Casino</v>
      </c>
      <c r="L93" s="1041" t="str">
        <f>'Building Input'!$B$114</f>
        <v>A1: Community/ day centre</v>
      </c>
      <c r="M93" s="1041" t="str">
        <f>'Building Input'!$B$115</f>
        <v>A1: Restaurant/ public house</v>
      </c>
      <c r="N93" s="1041" t="str">
        <f>'Building Input'!$B$116</f>
        <v>A2: Sports centre/ leisure centre</v>
      </c>
      <c r="O93" s="1041" t="str">
        <f>'Building Input'!$B$117</f>
        <v>A2: Theatres/ cinemas/ and music halls</v>
      </c>
      <c r="P93" s="1041" t="str">
        <f>'Building Input'!$B$118</f>
        <v>A3: Primary school</v>
      </c>
      <c r="Q93" s="1041" t="str">
        <f>'Building Input'!$B$119</f>
        <v>A3: Secondary school</v>
      </c>
      <c r="R93" s="1041" t="str">
        <f>'Building Input'!$B$120</f>
        <v>A3: Higher Education</v>
      </c>
      <c r="S93" s="1041" t="str">
        <f>'Building Input'!$B$121</f>
        <v>A4: Worship</v>
      </c>
      <c r="T93" s="1041" t="str">
        <f>'Building Input'!$B$122</f>
        <v>C1: Convention Centre and Exhibition Hall</v>
      </c>
      <c r="U93" s="1041" t="str">
        <f>'Building Input'!$B$123</f>
        <v>C2: Libraries/ museums/ and galleries</v>
      </c>
      <c r="V93" s="1041" t="str">
        <f>'Building Input'!$B$124</f>
        <v>Airport terminals</v>
      </c>
      <c r="W93" s="1041" t="str">
        <f>'Building Input'!$B$125</f>
        <v>Public transport terminals</v>
      </c>
      <c r="X93" s="1041" t="str">
        <f>'Building Input'!$B$126</f>
        <v>Courts</v>
      </c>
      <c r="Y93" s="1042" t="str">
        <f>'Building Input'!$B$127</f>
        <v xml:space="preserve">Fire station/Police station </v>
      </c>
    </row>
    <row r="94" spans="2:25" s="478" customFormat="1" hidden="1">
      <c r="E94" s="1055" t="s">
        <v>1245</v>
      </c>
      <c r="F94" s="1055" t="s">
        <v>1246</v>
      </c>
      <c r="G94" s="1055" t="s">
        <v>1249</v>
      </c>
      <c r="H94" s="1056" t="s">
        <v>1250</v>
      </c>
      <c r="I94" s="1056" t="s">
        <v>1446</v>
      </c>
      <c r="J94" s="1056" t="s">
        <v>1446</v>
      </c>
      <c r="K94" s="1043" t="s">
        <v>1246</v>
      </c>
      <c r="L94" s="1044" t="s">
        <v>1246</v>
      </c>
      <c r="M94" s="1044" t="s">
        <v>1246</v>
      </c>
      <c r="N94" s="1044" t="s">
        <v>1246</v>
      </c>
      <c r="O94" s="1044" t="s">
        <v>1246</v>
      </c>
      <c r="P94" s="1044" t="s">
        <v>1246</v>
      </c>
      <c r="Q94" s="1044" t="s">
        <v>1246</v>
      </c>
      <c r="R94" s="1044" t="s">
        <v>1246</v>
      </c>
      <c r="S94" s="1044" t="s">
        <v>1246</v>
      </c>
      <c r="T94" s="1044" t="s">
        <v>1246</v>
      </c>
      <c r="U94" s="1044" t="s">
        <v>1246</v>
      </c>
      <c r="V94" s="1044" t="s">
        <v>1246</v>
      </c>
      <c r="W94" s="1044" t="s">
        <v>1246</v>
      </c>
      <c r="X94" s="1044" t="s">
        <v>1246</v>
      </c>
      <c r="Y94" s="1045" t="s">
        <v>1246</v>
      </c>
    </row>
    <row r="95" spans="2:25" s="478" customFormat="1" hidden="1">
      <c r="B95" s="1073" t="str">
        <f>B21</f>
        <v>Cellular office lighting</v>
      </c>
      <c r="C95" s="1054"/>
      <c r="D95" s="1074"/>
      <c r="E95" s="1061">
        <v>13.600000000000001</v>
      </c>
      <c r="F95" s="1062" t="e">
        <f>HLOOKUP('Building Input'!$C$32,$K$93:$Y$134,G95,FALSE)</f>
        <v>#N/A</v>
      </c>
      <c r="G95" s="1061">
        <v>3</v>
      </c>
      <c r="H95" s="1063">
        <v>0.82</v>
      </c>
      <c r="I95" s="1064" t="e">
        <f>365*24-F95</f>
        <v>#N/A</v>
      </c>
      <c r="J95" s="1064" t="e">
        <f>I95*$G$84</f>
        <v>#N/A</v>
      </c>
      <c r="K95" s="1046">
        <v>4379.88</v>
      </c>
      <c r="L95" s="1047">
        <v>2757.81</v>
      </c>
      <c r="M95" s="1047">
        <v>4014.89</v>
      </c>
      <c r="N95" s="1047">
        <v>4014.89</v>
      </c>
      <c r="O95" s="1047">
        <v>4014.89</v>
      </c>
      <c r="P95" s="1047">
        <v>2757.81</v>
      </c>
      <c r="Q95" s="1047">
        <v>2757.81</v>
      </c>
      <c r="R95" s="1047">
        <v>2987.6443835616437</v>
      </c>
      <c r="S95" s="1047">
        <v>2757.81</v>
      </c>
      <c r="T95" s="1047">
        <v>4014.89</v>
      </c>
      <c r="U95" s="1047">
        <v>3008.52</v>
      </c>
      <c r="V95" s="1047">
        <v>4379.88</v>
      </c>
      <c r="W95" s="1047">
        <v>4379.88</v>
      </c>
      <c r="X95" s="1047">
        <v>2757.81</v>
      </c>
      <c r="Y95" s="1048">
        <v>4379.88</v>
      </c>
    </row>
    <row r="96" spans="2:25" s="478" customFormat="1" hidden="1">
      <c r="B96" s="1075" t="str">
        <f t="shared" ref="B96:B134" si="2">B22</f>
        <v>Changing facilities lighting</v>
      </c>
      <c r="C96" s="487"/>
      <c r="D96" s="1076"/>
      <c r="E96" s="1065">
        <v>6.8000000000000007</v>
      </c>
      <c r="F96" s="1066" t="e">
        <f>HLOOKUP('Building Input'!$C$32,$K$93:$Y$134,G96,FALSE)</f>
        <v>#N/A</v>
      </c>
      <c r="G96" s="1065">
        <v>4</v>
      </c>
      <c r="H96" s="1067">
        <v>0.82</v>
      </c>
      <c r="I96" s="1068" t="e">
        <f t="shared" ref="I96:I134" si="3">365*24-F96</f>
        <v>#N/A</v>
      </c>
      <c r="J96" s="1068" t="e">
        <f t="shared" ref="J96:J134" si="4">I96*$G$84</f>
        <v>#N/A</v>
      </c>
      <c r="K96" s="1046">
        <v>4379.88</v>
      </c>
      <c r="L96" s="1047">
        <v>2256.39</v>
      </c>
      <c r="M96" s="1047">
        <v>4379.88</v>
      </c>
      <c r="N96" s="1047">
        <v>4379.88</v>
      </c>
      <c r="O96" s="1047">
        <v>4379.88</v>
      </c>
      <c r="P96" s="1047">
        <v>3362.6970136986301</v>
      </c>
      <c r="Q96" s="1047">
        <v>3362.6970136986301</v>
      </c>
      <c r="R96" s="1047">
        <v>1724.7474246575341</v>
      </c>
      <c r="S96" s="1047">
        <v>2256.39</v>
      </c>
      <c r="T96" s="1047">
        <v>4379.88</v>
      </c>
      <c r="U96" s="1047">
        <v>4379.88</v>
      </c>
      <c r="V96" s="1047">
        <v>4379.88</v>
      </c>
      <c r="W96" s="1047">
        <v>4379.88</v>
      </c>
      <c r="X96" s="1047">
        <v>4379.88</v>
      </c>
      <c r="Y96" s="1048">
        <v>4744.87</v>
      </c>
    </row>
    <row r="97" spans="2:25" s="478" customFormat="1" hidden="1">
      <c r="B97" s="1075" t="str">
        <f t="shared" si="2"/>
        <v>Circulation area (corridors and stairways) - non public lighting</v>
      </c>
      <c r="C97" s="487"/>
      <c r="D97" s="1076"/>
      <c r="E97" s="1065">
        <v>3.4000000000000004</v>
      </c>
      <c r="F97" s="1066" t="e">
        <f>HLOOKUP('Building Input'!$C$32,$K$93:$Y$134,G97,FALSE)</f>
        <v>#N/A</v>
      </c>
      <c r="G97" s="1065">
        <v>5</v>
      </c>
      <c r="H97" s="1067">
        <v>0.82</v>
      </c>
      <c r="I97" s="1068" t="e">
        <f t="shared" si="3"/>
        <v>#N/A</v>
      </c>
      <c r="J97" s="1068" t="e">
        <f t="shared" si="4"/>
        <v>#N/A</v>
      </c>
      <c r="K97" s="1046">
        <v>4379.88</v>
      </c>
      <c r="L97" s="1047">
        <v>2507.1</v>
      </c>
      <c r="M97" s="1047">
        <v>5839.84</v>
      </c>
      <c r="N97" s="1047">
        <v>4379.88</v>
      </c>
      <c r="O97" s="1047">
        <v>4379.88</v>
      </c>
      <c r="P97" s="1047">
        <v>2423.3010410958905</v>
      </c>
      <c r="Q97" s="1047">
        <v>2423.3010410958905</v>
      </c>
      <c r="R97" s="1047">
        <v>2604.3671780821915</v>
      </c>
      <c r="S97" s="1047">
        <v>2507.1</v>
      </c>
      <c r="T97" s="1047">
        <v>4379.88</v>
      </c>
      <c r="U97" s="1047">
        <v>2005.68</v>
      </c>
      <c r="V97" s="1047">
        <v>4379.88</v>
      </c>
      <c r="W97" s="1047">
        <v>4379.88</v>
      </c>
      <c r="X97" s="1047">
        <v>3008.52</v>
      </c>
      <c r="Y97" s="1048">
        <v>3649.9</v>
      </c>
    </row>
    <row r="98" spans="2:25" s="478" customFormat="1" hidden="1">
      <c r="B98" s="1075" t="str">
        <f t="shared" si="2"/>
        <v>Common room/staff room/lounge lighting</v>
      </c>
      <c r="C98" s="487"/>
      <c r="D98" s="1076"/>
      <c r="E98" s="1065">
        <v>10.200000000000001</v>
      </c>
      <c r="F98" s="1066" t="e">
        <f>HLOOKUP('Building Input'!$C$32,$K$93:$Y$134,G98,FALSE)</f>
        <v>#N/A</v>
      </c>
      <c r="G98" s="1065">
        <v>6</v>
      </c>
      <c r="H98" s="1067">
        <v>0.82</v>
      </c>
      <c r="I98" s="1068" t="e">
        <f t="shared" si="3"/>
        <v>#N/A</v>
      </c>
      <c r="J98" s="1068" t="e">
        <f t="shared" si="4"/>
        <v>#N/A</v>
      </c>
      <c r="K98" s="1046">
        <v>8759.76</v>
      </c>
      <c r="L98" s="1047">
        <v>5839.84</v>
      </c>
      <c r="M98" s="1047">
        <v>5839.84</v>
      </c>
      <c r="N98" s="1047">
        <v>5839.84</v>
      </c>
      <c r="O98" s="1047">
        <v>5839.84</v>
      </c>
      <c r="P98" s="1047">
        <v>4703.8711232876713</v>
      </c>
      <c r="Q98" s="1047">
        <v>4703.8711232876713</v>
      </c>
      <c r="R98" s="1047">
        <v>4463.8776986301373</v>
      </c>
      <c r="S98" s="1047">
        <v>5839.84</v>
      </c>
      <c r="T98" s="1047">
        <v>5839.84</v>
      </c>
      <c r="U98" s="1047">
        <v>5839.84</v>
      </c>
      <c r="V98" s="1047">
        <v>8759.76</v>
      </c>
      <c r="W98" s="1047">
        <v>8759.76</v>
      </c>
      <c r="X98" s="1047">
        <v>5839.84</v>
      </c>
      <c r="Y98" s="1048">
        <v>5839.84</v>
      </c>
    </row>
    <row r="99" spans="2:25" s="478" customFormat="1" hidden="1">
      <c r="B99" s="1075" t="str">
        <f t="shared" si="2"/>
        <v>Eating/drinking lighting</v>
      </c>
      <c r="C99" s="487"/>
      <c r="D99" s="1076"/>
      <c r="E99" s="1065">
        <v>6.8000000000000007</v>
      </c>
      <c r="F99" s="1066" t="e">
        <f>HLOOKUP('Building Input'!$C$32,$K$93:$Y$134,G99,FALSE)</f>
        <v>#N/A</v>
      </c>
      <c r="G99" s="1065">
        <v>7</v>
      </c>
      <c r="H99" s="1067">
        <v>0.82</v>
      </c>
      <c r="I99" s="1068" t="e">
        <f t="shared" si="3"/>
        <v>#N/A</v>
      </c>
      <c r="J99" s="1068" t="e">
        <f t="shared" si="4"/>
        <v>#N/A</v>
      </c>
      <c r="K99" s="1046">
        <v>5109.8599999999997</v>
      </c>
      <c r="L99" s="1047">
        <v>1002.84</v>
      </c>
      <c r="M99" s="1047">
        <v>5839.84</v>
      </c>
      <c r="N99" s="1047">
        <v>1917.08</v>
      </c>
      <c r="O99" s="1047">
        <v>1917.08</v>
      </c>
      <c r="P99" s="1047">
        <v>1002.84</v>
      </c>
      <c r="Q99" s="1047">
        <v>1002.84</v>
      </c>
      <c r="R99" s="1047">
        <v>1724.7474246575341</v>
      </c>
      <c r="S99" s="1047">
        <v>1002.84</v>
      </c>
      <c r="T99" s="1047">
        <v>1917.08</v>
      </c>
      <c r="U99" s="1047">
        <v>1002.84</v>
      </c>
      <c r="V99" s="1047">
        <v>5109.8599999999997</v>
      </c>
      <c r="W99" s="1047">
        <v>5109.8599999999997</v>
      </c>
      <c r="X99" s="1047">
        <v>1002.84</v>
      </c>
      <c r="Y99" s="1048">
        <v>1917.08</v>
      </c>
    </row>
    <row r="100" spans="2:25" s="478" customFormat="1" hidden="1">
      <c r="B100" s="1075" t="str">
        <f t="shared" si="2"/>
        <v>Food preparation lighting</v>
      </c>
      <c r="C100" s="487"/>
      <c r="D100" s="1076"/>
      <c r="E100" s="1065">
        <v>17</v>
      </c>
      <c r="F100" s="1066" t="e">
        <f>HLOOKUP('Building Input'!$C$32,$K$93:$Y$134,G100,FALSE)</f>
        <v>#N/A</v>
      </c>
      <c r="G100" s="1065">
        <v>8</v>
      </c>
      <c r="H100" s="1067">
        <v>0.82</v>
      </c>
      <c r="I100" s="1068" t="e">
        <f t="shared" si="3"/>
        <v>#N/A</v>
      </c>
      <c r="J100" s="1068" t="e">
        <f t="shared" si="4"/>
        <v>#N/A</v>
      </c>
      <c r="K100" s="1046">
        <v>4744.87</v>
      </c>
      <c r="L100" s="1047">
        <v>1002.84</v>
      </c>
      <c r="M100" s="1047">
        <v>6569.82</v>
      </c>
      <c r="N100" s="1047">
        <v>1917.08</v>
      </c>
      <c r="O100" s="1047">
        <v>1917.08</v>
      </c>
      <c r="P100" s="1047">
        <v>4744.87</v>
      </c>
      <c r="Q100" s="1047">
        <v>4744.87</v>
      </c>
      <c r="R100" s="1047">
        <v>1724.7474246575341</v>
      </c>
      <c r="S100" s="1047">
        <v>1002.84</v>
      </c>
      <c r="T100" s="1047">
        <v>1917.08</v>
      </c>
      <c r="U100" s="1047">
        <v>1002.84</v>
      </c>
      <c r="V100" s="1047">
        <v>4744.87</v>
      </c>
      <c r="W100" s="1047">
        <v>4744.87</v>
      </c>
      <c r="X100" s="1047">
        <v>1002.84</v>
      </c>
      <c r="Y100" s="1048">
        <v>1917.08</v>
      </c>
    </row>
    <row r="101" spans="2:25" s="478" customFormat="1" hidden="1">
      <c r="B101" s="1075" t="str">
        <f t="shared" si="2"/>
        <v>Hall/lecture theatre/assembly lighting</v>
      </c>
      <c r="C101" s="487"/>
      <c r="D101" s="1076"/>
      <c r="E101" s="1065">
        <v>16.5</v>
      </c>
      <c r="F101" s="1066" t="e">
        <f>HLOOKUP('Building Input'!$C$32,$K$93:$Y$134,G101,FALSE)</f>
        <v>#N/A</v>
      </c>
      <c r="G101" s="1065">
        <v>9</v>
      </c>
      <c r="H101" s="1067">
        <v>0.82</v>
      </c>
      <c r="I101" s="1068" t="e">
        <f t="shared" si="3"/>
        <v>#N/A</v>
      </c>
      <c r="J101" s="1068" t="e">
        <f t="shared" si="4"/>
        <v>#N/A</v>
      </c>
      <c r="K101" s="1046">
        <v>2757.81</v>
      </c>
      <c r="L101" s="1047">
        <v>2757.81</v>
      </c>
      <c r="M101" s="1047">
        <v>2757.81</v>
      </c>
      <c r="N101" s="1047">
        <v>2256.39</v>
      </c>
      <c r="O101" s="1047">
        <v>2256.39</v>
      </c>
      <c r="P101" s="1047">
        <v>2221.3592876712328</v>
      </c>
      <c r="Q101" s="1047">
        <v>2221.3592876712328</v>
      </c>
      <c r="R101" s="1047">
        <v>2901.6467397260276</v>
      </c>
      <c r="S101" s="1047">
        <v>2757.81</v>
      </c>
      <c r="T101" s="1047">
        <v>2256.39</v>
      </c>
      <c r="U101" s="1047">
        <v>2005.68</v>
      </c>
      <c r="V101" s="1047">
        <v>2757.81</v>
      </c>
      <c r="W101" s="1047">
        <v>2757.81</v>
      </c>
      <c r="X101" s="1047">
        <v>2256.39</v>
      </c>
      <c r="Y101" s="1048">
        <v>2757.81</v>
      </c>
    </row>
    <row r="102" spans="2:25" s="478" customFormat="1" hidden="1">
      <c r="B102" s="1075" t="str">
        <f t="shared" si="2"/>
        <v>High density IT work space lighting</v>
      </c>
      <c r="C102" s="487"/>
      <c r="D102" s="1076"/>
      <c r="E102" s="1065">
        <v>10.200000000000001</v>
      </c>
      <c r="F102" s="1066" t="e">
        <f>HLOOKUP('Building Input'!$C$32,$K$93:$Y$134,G102,FALSE)</f>
        <v>#N/A</v>
      </c>
      <c r="G102" s="1065">
        <v>10</v>
      </c>
      <c r="H102" s="1067">
        <v>0.82</v>
      </c>
      <c r="I102" s="1068" t="e">
        <f t="shared" si="3"/>
        <v>#N/A</v>
      </c>
      <c r="J102" s="1068" t="e">
        <f t="shared" si="4"/>
        <v>#N/A</v>
      </c>
      <c r="K102" s="1046">
        <v>2757.81</v>
      </c>
      <c r="L102" s="1047">
        <v>2757.81</v>
      </c>
      <c r="M102" s="1047">
        <v>2757.81</v>
      </c>
      <c r="N102" s="1047">
        <v>2757.81</v>
      </c>
      <c r="O102" s="1047">
        <v>2757.81</v>
      </c>
      <c r="P102" s="1047">
        <v>2757.81</v>
      </c>
      <c r="Q102" s="1047">
        <v>2757.81</v>
      </c>
      <c r="R102" s="1047">
        <v>1724.7474246575341</v>
      </c>
      <c r="S102" s="1047">
        <v>2757.81</v>
      </c>
      <c r="T102" s="1047">
        <v>2757.81</v>
      </c>
      <c r="U102" s="1047">
        <v>2757.81</v>
      </c>
      <c r="V102" s="1047">
        <v>2757.81</v>
      </c>
      <c r="W102" s="1047">
        <v>2757.81</v>
      </c>
      <c r="X102" s="1047">
        <v>2757.81</v>
      </c>
      <c r="Y102" s="1048">
        <v>2757.81</v>
      </c>
    </row>
    <row r="103" spans="2:25" s="478" customFormat="1" hidden="1">
      <c r="B103" s="1075" t="str">
        <f t="shared" si="2"/>
        <v>IT equipment lighting</v>
      </c>
      <c r="C103" s="487"/>
      <c r="D103" s="1076"/>
      <c r="E103" s="1065">
        <v>3.4000000000000004</v>
      </c>
      <c r="F103" s="1066" t="e">
        <f>HLOOKUP('Building Input'!$C$32,$K$93:$Y$134,G103,FALSE)</f>
        <v>#N/A</v>
      </c>
      <c r="G103" s="1065">
        <v>11</v>
      </c>
      <c r="H103" s="1067">
        <v>0.82</v>
      </c>
      <c r="I103" s="1068" t="e">
        <f t="shared" si="3"/>
        <v>#N/A</v>
      </c>
      <c r="J103" s="1068" t="e">
        <f t="shared" si="4"/>
        <v>#N/A</v>
      </c>
      <c r="K103" s="1046">
        <v>4744.87</v>
      </c>
      <c r="L103" s="1047">
        <v>2507.1</v>
      </c>
      <c r="M103" s="1047">
        <v>4744.87</v>
      </c>
      <c r="N103" s="1047">
        <v>4744.87</v>
      </c>
      <c r="O103" s="1047">
        <v>4744.87</v>
      </c>
      <c r="P103" s="1047">
        <v>4744.87</v>
      </c>
      <c r="Q103" s="1047">
        <v>4744.87</v>
      </c>
      <c r="R103" s="1047">
        <v>2299.6632328767123</v>
      </c>
      <c r="S103" s="1047">
        <v>4744.87</v>
      </c>
      <c r="T103" s="1047">
        <v>4744.87</v>
      </c>
      <c r="U103" s="1047">
        <v>2005.68</v>
      </c>
      <c r="V103" s="1047">
        <v>4744.87</v>
      </c>
      <c r="W103" s="1047">
        <v>4744.87</v>
      </c>
      <c r="X103" s="1047">
        <v>2256.39</v>
      </c>
      <c r="Y103" s="1048">
        <v>4744.87</v>
      </c>
    </row>
    <row r="104" spans="2:25" s="478" customFormat="1" hidden="1">
      <c r="B104" s="1075" t="str">
        <f t="shared" si="2"/>
        <v>Meeting room lighting</v>
      </c>
      <c r="C104" s="487"/>
      <c r="D104" s="1076"/>
      <c r="E104" s="1065">
        <v>17</v>
      </c>
      <c r="F104" s="1066" t="e">
        <f>HLOOKUP('Building Input'!$C$32,$K$93:$Y$134,G104,FALSE)</f>
        <v>#N/A</v>
      </c>
      <c r="G104" s="1065">
        <v>12</v>
      </c>
      <c r="H104" s="1067">
        <v>0.82</v>
      </c>
      <c r="I104" s="1068" t="e">
        <f t="shared" si="3"/>
        <v>#N/A</v>
      </c>
      <c r="J104" s="1068" t="e">
        <f t="shared" si="4"/>
        <v>#N/A</v>
      </c>
      <c r="K104" s="1046">
        <v>4744.87</v>
      </c>
      <c r="L104" s="1047">
        <v>4744.87</v>
      </c>
      <c r="M104" s="1047">
        <v>4744.87</v>
      </c>
      <c r="N104" s="1047">
        <v>4744.87</v>
      </c>
      <c r="O104" s="1047">
        <v>4744.87</v>
      </c>
      <c r="P104" s="1047">
        <v>4744.87</v>
      </c>
      <c r="Q104" s="1047">
        <v>4744.87</v>
      </c>
      <c r="R104" s="1047">
        <v>4744.87</v>
      </c>
      <c r="S104" s="1047">
        <v>4744.87</v>
      </c>
      <c r="T104" s="1047">
        <v>4744.87</v>
      </c>
      <c r="U104" s="1047">
        <v>4744.87</v>
      </c>
      <c r="V104" s="1047">
        <v>4744.87</v>
      </c>
      <c r="W104" s="1047">
        <v>4744.87</v>
      </c>
      <c r="X104" s="1047">
        <v>4744.87</v>
      </c>
      <c r="Y104" s="1048">
        <v>4744.87</v>
      </c>
    </row>
    <row r="105" spans="2:25" s="478" customFormat="1" hidden="1">
      <c r="B105" s="1075" t="str">
        <f t="shared" si="2"/>
        <v>Open plan office lighting</v>
      </c>
      <c r="C105" s="487"/>
      <c r="D105" s="1076"/>
      <c r="E105" s="1065">
        <v>13.600000000000001</v>
      </c>
      <c r="F105" s="1066" t="e">
        <f>HLOOKUP('Building Input'!$C$32,$K$93:$Y$134,G105,FALSE)</f>
        <v>#N/A</v>
      </c>
      <c r="G105" s="1065">
        <v>13</v>
      </c>
      <c r="H105" s="1067">
        <v>0.82</v>
      </c>
      <c r="I105" s="1068" t="e">
        <f t="shared" si="3"/>
        <v>#N/A</v>
      </c>
      <c r="J105" s="1068" t="e">
        <f t="shared" si="4"/>
        <v>#N/A</v>
      </c>
      <c r="K105" s="1046">
        <v>3008.52</v>
      </c>
      <c r="L105" s="1047">
        <v>3008.52</v>
      </c>
      <c r="M105" s="1047">
        <v>3008.52</v>
      </c>
      <c r="N105" s="1047">
        <v>3008.52</v>
      </c>
      <c r="O105" s="1047">
        <v>3008.52</v>
      </c>
      <c r="P105" s="1047">
        <v>3008.52</v>
      </c>
      <c r="Q105" s="1047">
        <v>3008.52</v>
      </c>
      <c r="R105" s="1047">
        <v>3008.52</v>
      </c>
      <c r="S105" s="1047">
        <v>3008.52</v>
      </c>
      <c r="T105" s="1047">
        <v>3008.52</v>
      </c>
      <c r="U105" s="1047">
        <v>3008.52</v>
      </c>
      <c r="V105" s="1047">
        <v>3008.52</v>
      </c>
      <c r="W105" s="1047">
        <v>3008.52</v>
      </c>
      <c r="X105" s="1047">
        <v>3008.52</v>
      </c>
      <c r="Y105" s="1048">
        <v>3008.52</v>
      </c>
    </row>
    <row r="106" spans="2:25" s="478" customFormat="1" hidden="1">
      <c r="B106" s="1075" t="str">
        <f t="shared" si="2"/>
        <v>Plant room lighting</v>
      </c>
      <c r="C106" s="487"/>
      <c r="D106" s="1076"/>
      <c r="E106" s="1065">
        <v>6.8000000000000007</v>
      </c>
      <c r="F106" s="1066" t="e">
        <f>HLOOKUP('Building Input'!$C$32,$K$93:$Y$134,G106,FALSE)</f>
        <v>#N/A</v>
      </c>
      <c r="G106" s="1065">
        <v>14</v>
      </c>
      <c r="H106" s="1067">
        <v>0.82</v>
      </c>
      <c r="I106" s="1068" t="e">
        <f t="shared" si="3"/>
        <v>#N/A</v>
      </c>
      <c r="J106" s="1068" t="e">
        <f t="shared" si="4"/>
        <v>#N/A</v>
      </c>
      <c r="K106" s="1046">
        <f>2*365</f>
        <v>730</v>
      </c>
      <c r="L106" s="1047">
        <f t="shared" ref="L106:Y106" si="5">2*365</f>
        <v>730</v>
      </c>
      <c r="M106" s="1047">
        <f t="shared" si="5"/>
        <v>730</v>
      </c>
      <c r="N106" s="1047">
        <f t="shared" si="5"/>
        <v>730</v>
      </c>
      <c r="O106" s="1047">
        <f t="shared" si="5"/>
        <v>730</v>
      </c>
      <c r="P106" s="1047">
        <f t="shared" si="5"/>
        <v>730</v>
      </c>
      <c r="Q106" s="1047">
        <f t="shared" si="5"/>
        <v>730</v>
      </c>
      <c r="R106" s="1047">
        <f t="shared" si="5"/>
        <v>730</v>
      </c>
      <c r="S106" s="1047">
        <f t="shared" si="5"/>
        <v>730</v>
      </c>
      <c r="T106" s="1047">
        <f t="shared" si="5"/>
        <v>730</v>
      </c>
      <c r="U106" s="1047">
        <f t="shared" si="5"/>
        <v>730</v>
      </c>
      <c r="V106" s="1047">
        <f t="shared" si="5"/>
        <v>730</v>
      </c>
      <c r="W106" s="1047">
        <f t="shared" si="5"/>
        <v>730</v>
      </c>
      <c r="X106" s="1047">
        <f t="shared" si="5"/>
        <v>730</v>
      </c>
      <c r="Y106" s="1048">
        <f t="shared" si="5"/>
        <v>730</v>
      </c>
    </row>
    <row r="107" spans="2:25" s="478" customFormat="1" hidden="1">
      <c r="B107" s="1075" t="str">
        <f t="shared" si="2"/>
        <v>Public circulation lighting</v>
      </c>
      <c r="C107" s="487"/>
      <c r="D107" s="1076"/>
      <c r="E107" s="1065">
        <v>6.8000000000000007</v>
      </c>
      <c r="F107" s="1066" t="e">
        <f>HLOOKUP('Building Input'!$C$32,$K$93:$Y$134,G107,FALSE)</f>
        <v>#N/A</v>
      </c>
      <c r="G107" s="1065">
        <v>15</v>
      </c>
      <c r="H107" s="1067">
        <v>0.82</v>
      </c>
      <c r="I107" s="1068" t="e">
        <f t="shared" si="3"/>
        <v>#N/A</v>
      </c>
      <c r="J107" s="1068" t="e">
        <f t="shared" si="4"/>
        <v>#N/A</v>
      </c>
      <c r="K107" s="1046">
        <v>2554.9299999999998</v>
      </c>
      <c r="L107" s="1047">
        <v>2554.9299999999998</v>
      </c>
      <c r="M107" s="1047">
        <v>2554.9299999999998</v>
      </c>
      <c r="N107" s="1047">
        <v>2554.9299999999998</v>
      </c>
      <c r="O107" s="1047">
        <v>2554.9299999999998</v>
      </c>
      <c r="P107" s="1047">
        <v>2554.9299999999998</v>
      </c>
      <c r="Q107" s="1047">
        <v>2554.9299999999998</v>
      </c>
      <c r="R107" s="1047">
        <v>2554.9299999999998</v>
      </c>
      <c r="S107" s="1047">
        <v>2554.9299999999998</v>
      </c>
      <c r="T107" s="1047">
        <v>2554.9299999999998</v>
      </c>
      <c r="U107" s="1047">
        <v>4265.6000000000004</v>
      </c>
      <c r="V107" s="1047">
        <v>2554.9299999999998</v>
      </c>
      <c r="W107" s="1047">
        <v>2554.9299999999998</v>
      </c>
      <c r="X107" s="1047">
        <v>2554.9299999999998</v>
      </c>
      <c r="Y107" s="1048">
        <v>2554.9299999999998</v>
      </c>
    </row>
    <row r="108" spans="2:25" s="478" customFormat="1" hidden="1">
      <c r="B108" s="1075" t="str">
        <f t="shared" si="2"/>
        <v>Reception lighting</v>
      </c>
      <c r="C108" s="487"/>
      <c r="D108" s="1076"/>
      <c r="E108" s="1065">
        <v>19.200000000000003</v>
      </c>
      <c r="F108" s="1066" t="e">
        <f>HLOOKUP('Building Input'!$C$32,$K$93:$Y$134,G108,FALSE)</f>
        <v>#N/A</v>
      </c>
      <c r="G108" s="1065">
        <v>16</v>
      </c>
      <c r="H108" s="1067">
        <v>0.82</v>
      </c>
      <c r="I108" s="1068" t="e">
        <f t="shared" si="3"/>
        <v>#N/A</v>
      </c>
      <c r="J108" s="1068" t="e">
        <f t="shared" si="4"/>
        <v>#N/A</v>
      </c>
      <c r="K108" s="1046">
        <v>3649.9</v>
      </c>
      <c r="L108" s="1047">
        <v>2757.81</v>
      </c>
      <c r="M108" s="1047">
        <v>2757.81</v>
      </c>
      <c r="N108" s="1047">
        <v>3284.91</v>
      </c>
      <c r="O108" s="1047">
        <v>3284.91</v>
      </c>
      <c r="P108" s="1047">
        <v>1615.5340273972604</v>
      </c>
      <c r="Q108" s="1047">
        <v>1615.5340273972604</v>
      </c>
      <c r="R108" s="1047">
        <v>1916.38602739726</v>
      </c>
      <c r="S108" s="1047">
        <v>2757.81</v>
      </c>
      <c r="T108" s="1047">
        <v>3284.91</v>
      </c>
      <c r="U108" s="1047">
        <v>2507.1</v>
      </c>
      <c r="V108" s="1047">
        <v>3649.9</v>
      </c>
      <c r="W108" s="1047">
        <v>3649.9</v>
      </c>
      <c r="X108" s="1047">
        <v>3008.52</v>
      </c>
      <c r="Y108" s="1048">
        <v>4379.88</v>
      </c>
    </row>
    <row r="109" spans="2:25" s="478" customFormat="1" hidden="1">
      <c r="B109" s="1075" t="str">
        <f t="shared" si="2"/>
        <v>Storage lighting</v>
      </c>
      <c r="C109" s="487"/>
      <c r="D109" s="1076"/>
      <c r="E109" s="1065">
        <v>3.4000000000000004</v>
      </c>
      <c r="F109" s="1066" t="e">
        <f>HLOOKUP('Building Input'!$C$32,$K$93:$Y$134,G109,FALSE)</f>
        <v>#N/A</v>
      </c>
      <c r="G109" s="1065">
        <v>17</v>
      </c>
      <c r="H109" s="1067">
        <v>0.82</v>
      </c>
      <c r="I109" s="1068" t="e">
        <f t="shared" si="3"/>
        <v>#N/A</v>
      </c>
      <c r="J109" s="1068" t="e">
        <f t="shared" si="4"/>
        <v>#N/A</v>
      </c>
      <c r="K109" s="1046">
        <v>4744.87</v>
      </c>
      <c r="L109" s="1047">
        <v>2507.1</v>
      </c>
      <c r="M109" s="1047">
        <v>3284.91</v>
      </c>
      <c r="N109" s="1047">
        <v>4744.87</v>
      </c>
      <c r="O109" s="1047">
        <v>4744.87</v>
      </c>
      <c r="P109" s="1047">
        <v>2019.4175342465753</v>
      </c>
      <c r="Q109" s="1047">
        <v>2019.4175342465753</v>
      </c>
      <c r="R109" s="1047">
        <v>2299.6632328767123</v>
      </c>
      <c r="S109" s="1047">
        <v>3008.52</v>
      </c>
      <c r="T109" s="1047">
        <v>4744.87</v>
      </c>
      <c r="U109" s="1047">
        <v>2005.68</v>
      </c>
      <c r="V109" s="1047">
        <v>4744.87</v>
      </c>
      <c r="W109" s="1047">
        <v>4744.87</v>
      </c>
      <c r="X109" s="1047">
        <v>2256.39</v>
      </c>
      <c r="Y109" s="1048">
        <v>4379.88</v>
      </c>
    </row>
    <row r="110" spans="2:25" s="478" customFormat="1" hidden="1">
      <c r="B110" s="1075" t="str">
        <f t="shared" si="2"/>
        <v>Tea Kitchen lighting</v>
      </c>
      <c r="C110" s="487"/>
      <c r="D110" s="1076"/>
      <c r="E110" s="1065">
        <v>6.8000000000000007</v>
      </c>
      <c r="F110" s="1066" t="e">
        <f>HLOOKUP('Building Input'!$C$32,$K$93:$Y$134,G110,FALSE)</f>
        <v>#N/A</v>
      </c>
      <c r="G110" s="1065">
        <v>18</v>
      </c>
      <c r="H110" s="1067">
        <v>0.82</v>
      </c>
      <c r="I110" s="1068" t="e">
        <f t="shared" si="3"/>
        <v>#N/A</v>
      </c>
      <c r="J110" s="1068" t="e">
        <f t="shared" si="4"/>
        <v>#N/A</v>
      </c>
      <c r="K110" s="1046">
        <v>2507.1</v>
      </c>
      <c r="L110" s="1047">
        <v>2507.1</v>
      </c>
      <c r="M110" s="1047">
        <v>2507.1</v>
      </c>
      <c r="N110" s="1047">
        <v>2507.1</v>
      </c>
      <c r="O110" s="1047">
        <v>2507.1</v>
      </c>
      <c r="P110" s="1047">
        <v>2507.1</v>
      </c>
      <c r="Q110" s="1047">
        <v>2507.1</v>
      </c>
      <c r="R110" s="1047">
        <v>1916.38602739726</v>
      </c>
      <c r="S110" s="1047">
        <v>2507.1</v>
      </c>
      <c r="T110" s="1047">
        <v>2507.1</v>
      </c>
      <c r="U110" s="1047">
        <v>2507.1</v>
      </c>
      <c r="V110" s="1047">
        <v>2507.1</v>
      </c>
      <c r="W110" s="1047">
        <v>2507.1</v>
      </c>
      <c r="X110" s="1047">
        <v>2507.1</v>
      </c>
      <c r="Y110" s="1048">
        <v>2507.1</v>
      </c>
    </row>
    <row r="111" spans="2:25" s="478" customFormat="1" hidden="1">
      <c r="B111" s="1075" t="str">
        <f t="shared" si="2"/>
        <v>Toilet lighting</v>
      </c>
      <c r="C111" s="487"/>
      <c r="D111" s="1076"/>
      <c r="E111" s="1065">
        <v>6.8000000000000007</v>
      </c>
      <c r="F111" s="1066" t="e">
        <f>HLOOKUP('Building Input'!$C$32,$K$93:$Y$134,G111,FALSE)</f>
        <v>#N/A</v>
      </c>
      <c r="G111" s="1065">
        <v>19</v>
      </c>
      <c r="H111" s="1067">
        <v>0.82</v>
      </c>
      <c r="I111" s="1068" t="e">
        <f t="shared" si="3"/>
        <v>#N/A</v>
      </c>
      <c r="J111" s="1068" t="e">
        <f t="shared" si="4"/>
        <v>#N/A</v>
      </c>
      <c r="K111" s="1046">
        <v>8759.76</v>
      </c>
      <c r="L111" s="1047">
        <v>2507.1</v>
      </c>
      <c r="M111" s="1047">
        <v>5839.84</v>
      </c>
      <c r="N111" s="1047">
        <v>4379.88</v>
      </c>
      <c r="O111" s="1047">
        <v>4379.88</v>
      </c>
      <c r="P111" s="1047">
        <v>2423.3010410958905</v>
      </c>
      <c r="Q111" s="1047">
        <v>2423.3010410958905</v>
      </c>
      <c r="R111" s="1047">
        <v>2604.3671780821915</v>
      </c>
      <c r="S111" s="1047">
        <v>2507.1</v>
      </c>
      <c r="T111" s="1047">
        <v>2507.1</v>
      </c>
      <c r="U111" s="1047">
        <v>2005.68</v>
      </c>
      <c r="V111" s="1047">
        <v>8759.76</v>
      </c>
      <c r="W111" s="1047">
        <v>8759.76</v>
      </c>
      <c r="X111" s="1047">
        <v>3008.52</v>
      </c>
      <c r="Y111" s="1048">
        <v>3649.9</v>
      </c>
    </row>
    <row r="112" spans="2:25" s="478" customFormat="1" hidden="1">
      <c r="B112" s="1075" t="str">
        <f t="shared" si="2"/>
        <v>Internal Covered Vehicle Parking Area (B1, ground and above ground) lighting</v>
      </c>
      <c r="C112" s="487"/>
      <c r="D112" s="1076"/>
      <c r="E112" s="1065">
        <v>5</v>
      </c>
      <c r="F112" s="1066" t="e">
        <f>HLOOKUP('Building Input'!$C$32,$K$93:$Y$134,G112,FALSE)</f>
        <v>#N/A</v>
      </c>
      <c r="G112" s="1065">
        <v>20</v>
      </c>
      <c r="H112" s="1067">
        <v>0.82</v>
      </c>
      <c r="I112" s="1068" t="e">
        <f t="shared" si="3"/>
        <v>#N/A</v>
      </c>
      <c r="J112" s="1068" t="e">
        <f t="shared" si="4"/>
        <v>#N/A</v>
      </c>
      <c r="K112" s="1046">
        <v>8759.76</v>
      </c>
      <c r="L112" s="1047">
        <v>8759.76</v>
      </c>
      <c r="M112" s="1047">
        <v>8759.76</v>
      </c>
      <c r="N112" s="1047">
        <v>8759.76</v>
      </c>
      <c r="O112" s="1047">
        <v>8759.76</v>
      </c>
      <c r="P112" s="1047">
        <v>8759.76</v>
      </c>
      <c r="Q112" s="1047">
        <v>8759.76</v>
      </c>
      <c r="R112" s="1047">
        <v>8759.76</v>
      </c>
      <c r="S112" s="1047">
        <v>8759.76</v>
      </c>
      <c r="T112" s="1047">
        <v>8759.76</v>
      </c>
      <c r="U112" s="1047">
        <v>8759.76</v>
      </c>
      <c r="V112" s="1047">
        <v>8759.76</v>
      </c>
      <c r="W112" s="1047">
        <v>8759.76</v>
      </c>
      <c r="X112" s="1047">
        <v>8759.76</v>
      </c>
      <c r="Y112" s="1048">
        <v>8759.76</v>
      </c>
    </row>
    <row r="113" spans="2:25" s="478" customFormat="1" hidden="1">
      <c r="B113" s="1075" t="str">
        <f t="shared" si="2"/>
        <v>Sub-basement Vehicle Parking Area (B2 and below) lighting</v>
      </c>
      <c r="C113" s="487"/>
      <c r="D113" s="1076"/>
      <c r="E113" s="1065">
        <v>5</v>
      </c>
      <c r="F113" s="1066" t="e">
        <f>HLOOKUP('Building Input'!$C$32,$K$93:$Y$134,G113,FALSE)</f>
        <v>#N/A</v>
      </c>
      <c r="G113" s="1065">
        <v>21</v>
      </c>
      <c r="H113" s="1067">
        <v>0.82</v>
      </c>
      <c r="I113" s="1068" t="e">
        <f t="shared" si="3"/>
        <v>#N/A</v>
      </c>
      <c r="J113" s="1068" t="e">
        <f t="shared" si="4"/>
        <v>#N/A</v>
      </c>
      <c r="K113" s="1046">
        <v>8759.76</v>
      </c>
      <c r="L113" s="1047">
        <v>8759.76</v>
      </c>
      <c r="M113" s="1047">
        <v>8759.76</v>
      </c>
      <c r="N113" s="1047">
        <v>8759.76</v>
      </c>
      <c r="O113" s="1047">
        <v>8759.76</v>
      </c>
      <c r="P113" s="1047">
        <v>8759.76</v>
      </c>
      <c r="Q113" s="1047">
        <v>8759.76</v>
      </c>
      <c r="R113" s="1047">
        <v>8759.76</v>
      </c>
      <c r="S113" s="1047">
        <v>8759.76</v>
      </c>
      <c r="T113" s="1047">
        <v>8759.76</v>
      </c>
      <c r="U113" s="1047">
        <v>8759.76</v>
      </c>
      <c r="V113" s="1047">
        <v>8759.76</v>
      </c>
      <c r="W113" s="1047">
        <v>8759.76</v>
      </c>
      <c r="X113" s="1047">
        <v>8759.76</v>
      </c>
      <c r="Y113" s="1048">
        <v>8759.76</v>
      </c>
    </row>
    <row r="114" spans="2:25" s="478" customFormat="1" hidden="1">
      <c r="B114" s="1075" t="str">
        <f t="shared" si="2"/>
        <v>External Area (including external Car Parking) lighting</v>
      </c>
      <c r="C114" s="487"/>
      <c r="D114" s="1076"/>
      <c r="E114" s="1065">
        <v>5</v>
      </c>
      <c r="F114" s="1066" t="e">
        <f>HLOOKUP('Building Input'!$C$32,$K$93:$Y$134,G114,FALSE)</f>
        <v>#N/A</v>
      </c>
      <c r="G114" s="1065">
        <v>22</v>
      </c>
      <c r="H114" s="1067">
        <v>0.82</v>
      </c>
      <c r="I114" s="1068" t="e">
        <f t="shared" si="3"/>
        <v>#N/A</v>
      </c>
      <c r="J114" s="1068" t="e">
        <f t="shared" si="4"/>
        <v>#N/A</v>
      </c>
      <c r="K114" s="1046">
        <f>12*365</f>
        <v>4380</v>
      </c>
      <c r="L114" s="1047">
        <f t="shared" ref="L114:Y114" si="6">12*365</f>
        <v>4380</v>
      </c>
      <c r="M114" s="1047">
        <f t="shared" si="6"/>
        <v>4380</v>
      </c>
      <c r="N114" s="1047">
        <f t="shared" si="6"/>
        <v>4380</v>
      </c>
      <c r="O114" s="1047">
        <f t="shared" si="6"/>
        <v>4380</v>
      </c>
      <c r="P114" s="1047">
        <f t="shared" si="6"/>
        <v>4380</v>
      </c>
      <c r="Q114" s="1047">
        <f t="shared" si="6"/>
        <v>4380</v>
      </c>
      <c r="R114" s="1047">
        <f t="shared" si="6"/>
        <v>4380</v>
      </c>
      <c r="S114" s="1047">
        <f t="shared" si="6"/>
        <v>4380</v>
      </c>
      <c r="T114" s="1047">
        <f t="shared" si="6"/>
        <v>4380</v>
      </c>
      <c r="U114" s="1047">
        <f t="shared" si="6"/>
        <v>4380</v>
      </c>
      <c r="V114" s="1047">
        <f t="shared" si="6"/>
        <v>4380</v>
      </c>
      <c r="W114" s="1047">
        <f t="shared" si="6"/>
        <v>4380</v>
      </c>
      <c r="X114" s="1047">
        <f t="shared" si="6"/>
        <v>4380</v>
      </c>
      <c r="Y114" s="1048">
        <f t="shared" si="6"/>
        <v>4380</v>
      </c>
    </row>
    <row r="115" spans="2:25" s="478" customFormat="1" hidden="1">
      <c r="B115" s="1075" t="str">
        <f t="shared" si="2"/>
        <v>Baggage Reclaim lighting</v>
      </c>
      <c r="C115" s="487"/>
      <c r="D115" s="1076"/>
      <c r="E115" s="1065">
        <v>6.8000000000000007</v>
      </c>
      <c r="F115" s="1066" t="e">
        <f>HLOOKUP('Building Input'!$C$32,$K$93:$Y$134,G115,FALSE)</f>
        <v>#N/A</v>
      </c>
      <c r="G115" s="1065">
        <v>23</v>
      </c>
      <c r="H115" s="1067">
        <v>0.82</v>
      </c>
      <c r="I115" s="1068" t="e">
        <f t="shared" si="3"/>
        <v>#N/A</v>
      </c>
      <c r="J115" s="1068" t="e">
        <f t="shared" si="4"/>
        <v>#N/A</v>
      </c>
      <c r="K115" s="1046">
        <v>8759.76</v>
      </c>
      <c r="L115" s="1047">
        <v>8759.76</v>
      </c>
      <c r="M115" s="1047">
        <v>8759.76</v>
      </c>
      <c r="N115" s="1047">
        <v>8759.76</v>
      </c>
      <c r="O115" s="1047">
        <v>8759.76</v>
      </c>
      <c r="P115" s="1047">
        <v>8759.76</v>
      </c>
      <c r="Q115" s="1047">
        <v>8759.76</v>
      </c>
      <c r="R115" s="1047">
        <v>8759.76</v>
      </c>
      <c r="S115" s="1047">
        <v>8759.76</v>
      </c>
      <c r="T115" s="1047">
        <v>8759.76</v>
      </c>
      <c r="U115" s="1047">
        <v>8759.76</v>
      </c>
      <c r="V115" s="1047">
        <v>8759.76</v>
      </c>
      <c r="W115" s="1047">
        <v>8759.76</v>
      </c>
      <c r="X115" s="1047">
        <v>8759.76</v>
      </c>
      <c r="Y115" s="1048">
        <v>8759.76</v>
      </c>
    </row>
    <row r="116" spans="2:25" s="478" customFormat="1" hidden="1">
      <c r="B116" s="1075" t="str">
        <f t="shared" si="2"/>
        <v>Cell (police/prison) lighting</v>
      </c>
      <c r="C116" s="487"/>
      <c r="D116" s="1076"/>
      <c r="E116" s="1065">
        <v>4.5999999999999996</v>
      </c>
      <c r="F116" s="1066" t="e">
        <f>HLOOKUP('Building Input'!$C$32,$K$93:$Y$134,G116,FALSE)</f>
        <v>#N/A</v>
      </c>
      <c r="G116" s="1065">
        <v>24</v>
      </c>
      <c r="H116" s="1067">
        <v>0.82</v>
      </c>
      <c r="I116" s="1068" t="e">
        <f t="shared" si="3"/>
        <v>#N/A</v>
      </c>
      <c r="J116" s="1068" t="e">
        <f t="shared" si="4"/>
        <v>#N/A</v>
      </c>
      <c r="K116" s="1046">
        <v>1780.0409999999999</v>
      </c>
      <c r="L116" s="1047">
        <v>1780.0409999999999</v>
      </c>
      <c r="M116" s="1047">
        <v>1780.0409999999999</v>
      </c>
      <c r="N116" s="1047">
        <v>1780.0409999999999</v>
      </c>
      <c r="O116" s="1047">
        <v>1780.0409999999999</v>
      </c>
      <c r="P116" s="1047">
        <v>1780.0409999999999</v>
      </c>
      <c r="Q116" s="1047">
        <v>1780.0409999999999</v>
      </c>
      <c r="R116" s="1047">
        <v>1780.0409999999999</v>
      </c>
      <c r="S116" s="1047">
        <v>1780.0409999999999</v>
      </c>
      <c r="T116" s="1047">
        <v>1780.0409999999999</v>
      </c>
      <c r="U116" s="1047">
        <v>1780.0409999999999</v>
      </c>
      <c r="V116" s="1047">
        <v>1780.0409999999999</v>
      </c>
      <c r="W116" s="1047">
        <v>1780.0409999999999</v>
      </c>
      <c r="X116" s="1047">
        <v>1780.0409999999999</v>
      </c>
      <c r="Y116" s="1048">
        <v>1780.0409999999999</v>
      </c>
    </row>
    <row r="117" spans="2:25" s="478" customFormat="1" hidden="1">
      <c r="B117" s="1075" t="str">
        <f t="shared" si="2"/>
        <v>Check in lighting</v>
      </c>
      <c r="C117" s="487"/>
      <c r="D117" s="1076"/>
      <c r="E117" s="1065">
        <v>17</v>
      </c>
      <c r="F117" s="1066" t="e">
        <f>HLOOKUP('Building Input'!$C$32,$K$93:$Y$134,G117,FALSE)</f>
        <v>#N/A</v>
      </c>
      <c r="G117" s="1065">
        <v>25</v>
      </c>
      <c r="H117" s="1067">
        <v>0.82</v>
      </c>
      <c r="I117" s="1068" t="e">
        <f t="shared" si="3"/>
        <v>#N/A</v>
      </c>
      <c r="J117" s="1068" t="e">
        <f t="shared" si="4"/>
        <v>#N/A</v>
      </c>
      <c r="K117" s="1046">
        <v>8759.76</v>
      </c>
      <c r="L117" s="1047">
        <v>8759.76</v>
      </c>
      <c r="M117" s="1047">
        <v>8759.76</v>
      </c>
      <c r="N117" s="1047">
        <v>8759.76</v>
      </c>
      <c r="O117" s="1047">
        <v>8759.76</v>
      </c>
      <c r="P117" s="1047">
        <v>8759.76</v>
      </c>
      <c r="Q117" s="1047">
        <v>8759.76</v>
      </c>
      <c r="R117" s="1047">
        <v>8759.76</v>
      </c>
      <c r="S117" s="1047">
        <v>8759.76</v>
      </c>
      <c r="T117" s="1047">
        <v>8759.76</v>
      </c>
      <c r="U117" s="1047">
        <v>8759.76</v>
      </c>
      <c r="V117" s="1047">
        <v>8759.76</v>
      </c>
      <c r="W117" s="1047">
        <v>8759.76</v>
      </c>
      <c r="X117" s="1047">
        <v>8759.76</v>
      </c>
      <c r="Y117" s="1048">
        <v>8759.76</v>
      </c>
    </row>
    <row r="118" spans="2:25" s="478" customFormat="1" hidden="1">
      <c r="B118" s="1075" t="str">
        <f t="shared" si="2"/>
        <v>Classroom lighting</v>
      </c>
      <c r="C118" s="487"/>
      <c r="D118" s="1076"/>
      <c r="E118" s="1065">
        <v>10.200000000000001</v>
      </c>
      <c r="F118" s="1066" t="e">
        <f>HLOOKUP('Building Input'!$C$32,$K$93:$Y$134,G118,FALSE)</f>
        <v>#N/A</v>
      </c>
      <c r="G118" s="1065">
        <v>26</v>
      </c>
      <c r="H118" s="1067">
        <v>0.82</v>
      </c>
      <c r="I118" s="1068" t="e">
        <f t="shared" si="3"/>
        <v>#N/A</v>
      </c>
      <c r="J118" s="1068" t="e">
        <f t="shared" si="4"/>
        <v>#N/A</v>
      </c>
      <c r="K118" s="1046">
        <v>2757.81</v>
      </c>
      <c r="L118" s="1047">
        <v>2757.81</v>
      </c>
      <c r="M118" s="1047">
        <v>2757.81</v>
      </c>
      <c r="N118" s="1047">
        <v>2757.81</v>
      </c>
      <c r="O118" s="1047">
        <v>2757.81</v>
      </c>
      <c r="P118" s="1047">
        <v>2757.81</v>
      </c>
      <c r="Q118" s="1047">
        <v>2757.81</v>
      </c>
      <c r="R118" s="1047">
        <v>2604.37</v>
      </c>
      <c r="S118" s="1047">
        <v>2757.81</v>
      </c>
      <c r="T118" s="1047">
        <v>2757.81</v>
      </c>
      <c r="U118" s="1047">
        <v>2757.81</v>
      </c>
      <c r="V118" s="1047">
        <v>2757.81</v>
      </c>
      <c r="W118" s="1047">
        <v>2757.81</v>
      </c>
      <c r="X118" s="1047">
        <v>2757.81</v>
      </c>
      <c r="Y118" s="1048">
        <v>2757.81</v>
      </c>
    </row>
    <row r="119" spans="2:25" s="478" customFormat="1" hidden="1">
      <c r="B119" s="1075" t="str">
        <f t="shared" si="2"/>
        <v>Consulting room lighting</v>
      </c>
      <c r="C119" s="487"/>
      <c r="D119" s="1076"/>
      <c r="E119" s="1065">
        <v>17</v>
      </c>
      <c r="F119" s="1066" t="e">
        <f>HLOOKUP('Building Input'!$C$32,$K$93:$Y$134,G119,FALSE)</f>
        <v>#N/A</v>
      </c>
      <c r="G119" s="1065">
        <v>27</v>
      </c>
      <c r="H119" s="1067">
        <v>0.82</v>
      </c>
      <c r="I119" s="1068" t="e">
        <f t="shared" si="3"/>
        <v>#N/A</v>
      </c>
      <c r="J119" s="1068" t="e">
        <f t="shared" si="4"/>
        <v>#N/A</v>
      </c>
      <c r="K119" s="1046">
        <v>8759.76</v>
      </c>
      <c r="L119" s="1047">
        <v>8759.76</v>
      </c>
      <c r="M119" s="1047">
        <v>8759.76</v>
      </c>
      <c r="N119" s="1047">
        <v>8759.76</v>
      </c>
      <c r="O119" s="1047">
        <v>8759.76</v>
      </c>
      <c r="P119" s="1047">
        <v>8759.76</v>
      </c>
      <c r="Q119" s="1047">
        <v>8759.76</v>
      </c>
      <c r="R119" s="1047">
        <v>8759.76</v>
      </c>
      <c r="S119" s="1047">
        <v>8759.76</v>
      </c>
      <c r="T119" s="1047">
        <v>8759.76</v>
      </c>
      <c r="U119" s="1047">
        <v>8759.76</v>
      </c>
      <c r="V119" s="1047">
        <v>8759.76</v>
      </c>
      <c r="W119" s="1047">
        <v>8759.76</v>
      </c>
      <c r="X119" s="1047">
        <v>8759.76</v>
      </c>
      <c r="Y119" s="1048">
        <v>8759.76</v>
      </c>
    </row>
    <row r="120" spans="2:25" s="478" customFormat="1" hidden="1">
      <c r="B120" s="1075" t="str">
        <f t="shared" si="2"/>
        <v>Display lighting</v>
      </c>
      <c r="C120" s="487"/>
      <c r="D120" s="1076"/>
      <c r="E120" s="1065">
        <v>33</v>
      </c>
      <c r="F120" s="1066" t="e">
        <f>HLOOKUP('Building Input'!$C$32,$K$93:$Y$134,G120,FALSE)</f>
        <v>#N/A</v>
      </c>
      <c r="G120" s="1065">
        <v>28</v>
      </c>
      <c r="H120" s="1067">
        <v>0.82</v>
      </c>
      <c r="I120" s="1068" t="e">
        <f t="shared" si="3"/>
        <v>#N/A</v>
      </c>
      <c r="J120" s="1068" t="e">
        <f t="shared" si="4"/>
        <v>#N/A</v>
      </c>
      <c r="K120" s="1046">
        <v>1504.26</v>
      </c>
      <c r="L120" s="1047">
        <v>1504.26</v>
      </c>
      <c r="M120" s="1047">
        <v>1504.26</v>
      </c>
      <c r="N120" s="1047">
        <v>1504.26</v>
      </c>
      <c r="O120" s="1047">
        <v>1504.26</v>
      </c>
      <c r="P120" s="1047">
        <v>1504.26</v>
      </c>
      <c r="Q120" s="1047">
        <v>1504.26</v>
      </c>
      <c r="R120" s="1047">
        <v>1504.26</v>
      </c>
      <c r="S120" s="1047">
        <v>1504.26</v>
      </c>
      <c r="T120" s="1047">
        <v>1504.26</v>
      </c>
      <c r="U120" s="1047">
        <v>1504.26</v>
      </c>
      <c r="V120" s="1047">
        <v>1504.26</v>
      </c>
      <c r="W120" s="1047">
        <v>1504.26</v>
      </c>
      <c r="X120" s="1047">
        <v>1504.26</v>
      </c>
      <c r="Y120" s="1048">
        <v>1504.26</v>
      </c>
    </row>
    <row r="121" spans="2:25" s="478" customFormat="1" hidden="1">
      <c r="B121" s="1075" t="str">
        <f t="shared" si="2"/>
        <v>Dry sports hall lighting</v>
      </c>
      <c r="C121" s="487"/>
      <c r="D121" s="1076"/>
      <c r="E121" s="1065">
        <v>13.5</v>
      </c>
      <c r="F121" s="1066" t="e">
        <f>HLOOKUP('Building Input'!$C$32,$K$93:$Y$134,G121,FALSE)</f>
        <v>#N/A</v>
      </c>
      <c r="G121" s="1065">
        <v>29</v>
      </c>
      <c r="H121" s="1067">
        <v>0.82</v>
      </c>
      <c r="I121" s="1068" t="e">
        <f t="shared" si="3"/>
        <v>#N/A</v>
      </c>
      <c r="J121" s="1068" t="e">
        <f t="shared" si="4"/>
        <v>#N/A</v>
      </c>
      <c r="K121" s="1046">
        <v>4037.04</v>
      </c>
      <c r="L121" s="1047">
        <v>2256.39</v>
      </c>
      <c r="M121" s="1047">
        <v>4037.04</v>
      </c>
      <c r="N121" s="1047">
        <v>4037.04</v>
      </c>
      <c r="O121" s="1047">
        <v>4037.04</v>
      </c>
      <c r="P121" s="1047">
        <v>3564.6387671232878</v>
      </c>
      <c r="Q121" s="1047">
        <v>3564.6387671232878</v>
      </c>
      <c r="R121" s="1047">
        <v>3085.8470136986298</v>
      </c>
      <c r="S121" s="1047">
        <v>2256.39</v>
      </c>
      <c r="T121" s="1047">
        <v>4037.04</v>
      </c>
      <c r="U121" s="1047">
        <v>4037.04</v>
      </c>
      <c r="V121" s="1047">
        <v>4037.04</v>
      </c>
      <c r="W121" s="1047">
        <v>4037.04</v>
      </c>
      <c r="X121" s="1047">
        <v>4037.04</v>
      </c>
      <c r="Y121" s="1048">
        <v>4379.88</v>
      </c>
    </row>
    <row r="122" spans="2:25" s="478" customFormat="1" hidden="1">
      <c r="B122" s="1075" t="str">
        <f t="shared" si="2"/>
        <v>Fitness Studio lighting</v>
      </c>
      <c r="C122" s="487"/>
      <c r="D122" s="1076"/>
      <c r="E122" s="1065">
        <v>10.200000000000001</v>
      </c>
      <c r="F122" s="1066" t="e">
        <f>HLOOKUP('Building Input'!$C$32,$K$93:$Y$134,G122,FALSE)</f>
        <v>#N/A</v>
      </c>
      <c r="G122" s="1065">
        <v>30</v>
      </c>
      <c r="H122" s="1067">
        <v>0.82</v>
      </c>
      <c r="I122" s="1068" t="e">
        <f t="shared" si="3"/>
        <v>#N/A</v>
      </c>
      <c r="J122" s="1068" t="e">
        <f t="shared" si="4"/>
        <v>#N/A</v>
      </c>
      <c r="K122" s="1046">
        <v>4379.88</v>
      </c>
      <c r="L122" s="1047">
        <v>4379.88</v>
      </c>
      <c r="M122" s="1047">
        <v>4379.88</v>
      </c>
      <c r="N122" s="1047">
        <v>4379.88</v>
      </c>
      <c r="O122" s="1047">
        <v>4379.88</v>
      </c>
      <c r="P122" s="1047">
        <v>4379.88</v>
      </c>
      <c r="Q122" s="1047">
        <v>4379.88</v>
      </c>
      <c r="R122" s="1047">
        <v>4379.88</v>
      </c>
      <c r="S122" s="1047">
        <v>4379.88</v>
      </c>
      <c r="T122" s="1047">
        <v>4379.88</v>
      </c>
      <c r="U122" s="1047">
        <v>4379.88</v>
      </c>
      <c r="V122" s="1047">
        <v>4379.88</v>
      </c>
      <c r="W122" s="1047">
        <v>4379.88</v>
      </c>
      <c r="X122" s="1047">
        <v>4379.88</v>
      </c>
      <c r="Y122" s="1048">
        <v>4379.88</v>
      </c>
    </row>
    <row r="123" spans="2:25" s="478" customFormat="1" hidden="1">
      <c r="B123" s="1075" t="str">
        <f t="shared" si="2"/>
        <v>Fitness suite/gym lighting</v>
      </c>
      <c r="C123" s="487"/>
      <c r="D123" s="1076"/>
      <c r="E123" s="1065">
        <v>10.200000000000001</v>
      </c>
      <c r="F123" s="1066" t="e">
        <f>HLOOKUP('Building Input'!$C$32,$K$93:$Y$134,G123,FALSE)</f>
        <v>#N/A</v>
      </c>
      <c r="G123" s="1065">
        <v>31</v>
      </c>
      <c r="H123" s="1067">
        <v>0.82</v>
      </c>
      <c r="I123" s="1068" t="e">
        <f t="shared" si="3"/>
        <v>#N/A</v>
      </c>
      <c r="J123" s="1068" t="e">
        <f t="shared" si="4"/>
        <v>#N/A</v>
      </c>
      <c r="K123" s="1046">
        <v>4608.4400000000005</v>
      </c>
      <c r="L123" s="1047">
        <v>4608.4400000000005</v>
      </c>
      <c r="M123" s="1047">
        <v>4608.4400000000005</v>
      </c>
      <c r="N123" s="1047">
        <v>4608.4400000000005</v>
      </c>
      <c r="O123" s="1047">
        <v>4608.4400000000005</v>
      </c>
      <c r="P123" s="1047">
        <v>4608.4400000000005</v>
      </c>
      <c r="Q123" s="1047">
        <v>4608.4400000000005</v>
      </c>
      <c r="R123" s="1047">
        <v>3085.8470136986298</v>
      </c>
      <c r="S123" s="1047">
        <v>4608.4400000000005</v>
      </c>
      <c r="T123" s="1047">
        <v>4608.4400000000005</v>
      </c>
      <c r="U123" s="1047">
        <v>4608.4400000000005</v>
      </c>
      <c r="V123" s="1047">
        <v>4608.4400000000005</v>
      </c>
      <c r="W123" s="1047">
        <v>4608.4400000000005</v>
      </c>
      <c r="X123" s="1047">
        <v>4608.4400000000005</v>
      </c>
      <c r="Y123" s="1048">
        <v>4608.4400000000005</v>
      </c>
    </row>
    <row r="124" spans="2:25" s="478" customFormat="1" hidden="1">
      <c r="B124" s="1075" t="str">
        <f t="shared" si="2"/>
        <v>Ice rink lighting</v>
      </c>
      <c r="C124" s="487"/>
      <c r="D124" s="1076"/>
      <c r="E124" s="1065">
        <v>13.5</v>
      </c>
      <c r="F124" s="1066" t="e">
        <f>HLOOKUP('Building Input'!$C$32,$K$93:$Y$134,G124,FALSE)</f>
        <v>#N/A</v>
      </c>
      <c r="G124" s="1065">
        <v>32</v>
      </c>
      <c r="H124" s="1067">
        <v>0.82</v>
      </c>
      <c r="I124" s="1068" t="e">
        <f t="shared" si="3"/>
        <v>#N/A</v>
      </c>
      <c r="J124" s="1068" t="e">
        <f t="shared" si="4"/>
        <v>#N/A</v>
      </c>
      <c r="K124" s="1046">
        <v>3284.91</v>
      </c>
      <c r="L124" s="1047">
        <v>3284.91</v>
      </c>
      <c r="M124" s="1047">
        <v>3284.91</v>
      </c>
      <c r="N124" s="1047">
        <v>3284.91</v>
      </c>
      <c r="O124" s="1047">
        <v>3284.91</v>
      </c>
      <c r="P124" s="1047">
        <v>3284.91</v>
      </c>
      <c r="Q124" s="1047">
        <v>3284.91</v>
      </c>
      <c r="R124" s="1047">
        <v>3284.91</v>
      </c>
      <c r="S124" s="1047">
        <v>3284.91</v>
      </c>
      <c r="T124" s="1047">
        <v>3284.91</v>
      </c>
      <c r="U124" s="1047">
        <v>3284.91</v>
      </c>
      <c r="V124" s="1047">
        <v>3284.91</v>
      </c>
      <c r="W124" s="1047">
        <v>3284.91</v>
      </c>
      <c r="X124" s="1047">
        <v>3284.91</v>
      </c>
      <c r="Y124" s="1048">
        <v>3284.91</v>
      </c>
    </row>
    <row r="125" spans="2:25" s="478" customFormat="1" hidden="1">
      <c r="B125" s="1075" t="str">
        <f t="shared" si="2"/>
        <v>Laboratory lighting</v>
      </c>
      <c r="C125" s="487"/>
      <c r="D125" s="1076"/>
      <c r="E125" s="1065">
        <v>17</v>
      </c>
      <c r="F125" s="1066" t="e">
        <f>HLOOKUP('Building Input'!$C$32,$K$93:$Y$134,G125,FALSE)</f>
        <v>#N/A</v>
      </c>
      <c r="G125" s="1065">
        <v>33</v>
      </c>
      <c r="H125" s="1067">
        <v>0.82</v>
      </c>
      <c r="I125" s="1068" t="e">
        <f t="shared" si="3"/>
        <v>#N/A</v>
      </c>
      <c r="J125" s="1068" t="e">
        <f t="shared" si="4"/>
        <v>#N/A</v>
      </c>
      <c r="K125" s="1046">
        <v>3008.52</v>
      </c>
      <c r="L125" s="1047">
        <v>3008.52</v>
      </c>
      <c r="M125" s="1047">
        <v>3008.52</v>
      </c>
      <c r="N125" s="1047">
        <v>3008.52</v>
      </c>
      <c r="O125" s="1047">
        <v>3008.52</v>
      </c>
      <c r="P125" s="1047">
        <v>2221.3592876712328</v>
      </c>
      <c r="Q125" s="1047">
        <v>2221.3592876712328</v>
      </c>
      <c r="R125" s="1047">
        <v>2901.6467397260276</v>
      </c>
      <c r="S125" s="1047">
        <v>3008.52</v>
      </c>
      <c r="T125" s="1047">
        <v>3008.52</v>
      </c>
      <c r="U125" s="1047">
        <v>3008.52</v>
      </c>
      <c r="V125" s="1047">
        <v>3008.52</v>
      </c>
      <c r="W125" s="1047">
        <v>3008.52</v>
      </c>
      <c r="X125" s="1047">
        <v>3008.52</v>
      </c>
      <c r="Y125" s="1048">
        <v>3008.52</v>
      </c>
    </row>
    <row r="126" spans="2:25" s="478" customFormat="1" hidden="1">
      <c r="B126" s="1075" t="str">
        <f t="shared" si="2"/>
        <v>Laundry lighting</v>
      </c>
      <c r="C126" s="487"/>
      <c r="D126" s="1076"/>
      <c r="E126" s="1065">
        <v>10.200000000000001</v>
      </c>
      <c r="F126" s="1066" t="e">
        <f>HLOOKUP('Building Input'!$C$32,$K$93:$Y$134,G126,FALSE)</f>
        <v>#N/A</v>
      </c>
      <c r="G126" s="1065">
        <v>34</v>
      </c>
      <c r="H126" s="1067">
        <v>0.82</v>
      </c>
      <c r="I126" s="1068" t="e">
        <f t="shared" si="3"/>
        <v>#N/A</v>
      </c>
      <c r="J126" s="1068" t="e">
        <f t="shared" si="4"/>
        <v>#N/A</v>
      </c>
      <c r="K126" s="1046">
        <v>2919.92</v>
      </c>
      <c r="L126" s="1047">
        <v>2919.92</v>
      </c>
      <c r="M126" s="1047">
        <v>2919.92</v>
      </c>
      <c r="N126" s="1047">
        <v>2919.92</v>
      </c>
      <c r="O126" s="1047">
        <v>2919.92</v>
      </c>
      <c r="P126" s="1047">
        <v>2019.4175342465753</v>
      </c>
      <c r="Q126" s="1047">
        <v>2019.4175342465753</v>
      </c>
      <c r="R126" s="1047">
        <v>2040.3002465753425</v>
      </c>
      <c r="S126" s="1047">
        <v>2919.92</v>
      </c>
      <c r="T126" s="1047">
        <v>2919.92</v>
      </c>
      <c r="U126" s="1047">
        <v>2919.92</v>
      </c>
      <c r="V126" s="1047">
        <v>2919.92</v>
      </c>
      <c r="W126" s="1047">
        <v>2919.92</v>
      </c>
      <c r="X126" s="1047">
        <v>2919.92</v>
      </c>
      <c r="Y126" s="1048">
        <v>2919.92</v>
      </c>
    </row>
    <row r="127" spans="2:25" s="478" customFormat="1" hidden="1">
      <c r="B127" s="1075" t="str">
        <f t="shared" si="2"/>
        <v>Performance area (stage) lighting</v>
      </c>
      <c r="C127" s="487"/>
      <c r="D127" s="1076"/>
      <c r="E127" s="1065">
        <v>5.5</v>
      </c>
      <c r="F127" s="1066" t="e">
        <f>HLOOKUP('Building Input'!$C$32,$K$93:$Y$134,G127,FALSE)</f>
        <v>#N/A</v>
      </c>
      <c r="G127" s="1065">
        <v>35</v>
      </c>
      <c r="H127" s="1067">
        <v>0.82</v>
      </c>
      <c r="I127" s="1068" t="e">
        <f t="shared" si="3"/>
        <v>#N/A</v>
      </c>
      <c r="J127" s="1068" t="e">
        <f t="shared" si="4"/>
        <v>#N/A</v>
      </c>
      <c r="K127" s="1046">
        <v>2554.9299999999998</v>
      </c>
      <c r="L127" s="1047">
        <v>2554.9299999999998</v>
      </c>
      <c r="M127" s="1047">
        <v>2554.9299999999998</v>
      </c>
      <c r="N127" s="1047">
        <v>2554.9299999999998</v>
      </c>
      <c r="O127" s="1047">
        <v>2554.9299999999998</v>
      </c>
      <c r="P127" s="1047">
        <v>2554.9299999999998</v>
      </c>
      <c r="Q127" s="1047">
        <v>2554.9299999999998</v>
      </c>
      <c r="R127" s="1047">
        <v>2554.9299999999998</v>
      </c>
      <c r="S127" s="1047">
        <v>2554.9299999999998</v>
      </c>
      <c r="T127" s="1047">
        <v>2554.9299999999998</v>
      </c>
      <c r="U127" s="1047">
        <v>2554.9299999999998</v>
      </c>
      <c r="V127" s="1047">
        <v>2554.9299999999998</v>
      </c>
      <c r="W127" s="1047">
        <v>2554.9299999999998</v>
      </c>
      <c r="X127" s="1047">
        <v>2554.9299999999998</v>
      </c>
      <c r="Y127" s="1048">
        <v>2554.9299999999998</v>
      </c>
    </row>
    <row r="128" spans="2:25" s="478" customFormat="1" hidden="1">
      <c r="B128" s="1075" t="str">
        <f t="shared" si="2"/>
        <v>Sales area - chilled lighting</v>
      </c>
      <c r="C128" s="487"/>
      <c r="D128" s="1076"/>
      <c r="E128" s="1065">
        <v>20.200000000000003</v>
      </c>
      <c r="F128" s="1066" t="e">
        <f>HLOOKUP('Building Input'!$C$32,$K$93:$Y$134,G128,FALSE)</f>
        <v>#N/A</v>
      </c>
      <c r="G128" s="1065">
        <v>36</v>
      </c>
      <c r="H128" s="1067">
        <v>0.82</v>
      </c>
      <c r="I128" s="1068" t="e">
        <f t="shared" si="3"/>
        <v>#N/A</v>
      </c>
      <c r="J128" s="1068" t="e">
        <f t="shared" si="4"/>
        <v>#N/A</v>
      </c>
      <c r="K128" s="1046">
        <v>4014.89</v>
      </c>
      <c r="L128" s="1047">
        <v>4014.89</v>
      </c>
      <c r="M128" s="1047">
        <v>4014.89</v>
      </c>
      <c r="N128" s="1047">
        <v>4014.89</v>
      </c>
      <c r="O128" s="1047">
        <v>4014.89</v>
      </c>
      <c r="P128" s="1047">
        <v>4014.89</v>
      </c>
      <c r="Q128" s="1047">
        <v>4014.89</v>
      </c>
      <c r="R128" s="1047">
        <v>4014.89</v>
      </c>
      <c r="S128" s="1047">
        <v>4014.89</v>
      </c>
      <c r="T128" s="1047">
        <v>4014.89</v>
      </c>
      <c r="U128" s="1047">
        <v>4014.89</v>
      </c>
      <c r="V128" s="1047">
        <v>4014.89</v>
      </c>
      <c r="W128" s="1047">
        <v>4014.89</v>
      </c>
      <c r="X128" s="1047">
        <v>4014.89</v>
      </c>
      <c r="Y128" s="1048">
        <v>4014.89</v>
      </c>
    </row>
    <row r="129" spans="2:25" s="478" customFormat="1" hidden="1">
      <c r="B129" s="1075" t="str">
        <f t="shared" si="2"/>
        <v>Sales area - general lighting</v>
      </c>
      <c r="C129" s="487"/>
      <c r="D129" s="1076"/>
      <c r="E129" s="1065">
        <v>20.200000000000003</v>
      </c>
      <c r="F129" s="1066" t="e">
        <f>HLOOKUP('Building Input'!$C$32,$K$93:$Y$134,G129,FALSE)</f>
        <v>#N/A</v>
      </c>
      <c r="G129" s="1065">
        <v>37</v>
      </c>
      <c r="H129" s="1067">
        <v>0.82</v>
      </c>
      <c r="I129" s="1068" t="e">
        <f t="shared" si="3"/>
        <v>#N/A</v>
      </c>
      <c r="J129" s="1068" t="e">
        <f t="shared" si="4"/>
        <v>#N/A</v>
      </c>
      <c r="K129" s="1046">
        <v>4014.89</v>
      </c>
      <c r="L129" s="1047">
        <v>4014.89</v>
      </c>
      <c r="M129" s="1047">
        <v>4014.89</v>
      </c>
      <c r="N129" s="1047">
        <v>4014.89</v>
      </c>
      <c r="O129" s="1047">
        <v>4014.89</v>
      </c>
      <c r="P129" s="1047">
        <v>4014.89</v>
      </c>
      <c r="Q129" s="1047">
        <v>4014.89</v>
      </c>
      <c r="R129" s="1047">
        <v>4014.89</v>
      </c>
      <c r="S129" s="1047">
        <v>4014.89</v>
      </c>
      <c r="T129" s="1047">
        <v>4014.89</v>
      </c>
      <c r="U129" s="1047">
        <v>4014.89</v>
      </c>
      <c r="V129" s="1047">
        <v>4014.89</v>
      </c>
      <c r="W129" s="1047">
        <v>4014.89</v>
      </c>
      <c r="X129" s="1047">
        <v>4014.89</v>
      </c>
      <c r="Y129" s="1048">
        <v>4014.89</v>
      </c>
    </row>
    <row r="130" spans="2:25" s="478" customFormat="1" hidden="1">
      <c r="B130" s="1075" t="str">
        <f t="shared" si="2"/>
        <v>Security check lighting</v>
      </c>
      <c r="C130" s="487"/>
      <c r="D130" s="1076"/>
      <c r="E130" s="1065">
        <v>10.200000000000001</v>
      </c>
      <c r="F130" s="1066" t="e">
        <f>HLOOKUP('Building Input'!$C$32,$K$93:$Y$134,G130,FALSE)</f>
        <v>#N/A</v>
      </c>
      <c r="G130" s="1065">
        <v>38</v>
      </c>
      <c r="H130" s="1067">
        <v>0.82</v>
      </c>
      <c r="I130" s="1068" t="e">
        <f t="shared" si="3"/>
        <v>#N/A</v>
      </c>
      <c r="J130" s="1068" t="e">
        <f t="shared" si="4"/>
        <v>#N/A</v>
      </c>
      <c r="K130" s="1046">
        <v>8759.76</v>
      </c>
      <c r="L130" s="1047">
        <v>8759.76</v>
      </c>
      <c r="M130" s="1047">
        <v>8759.76</v>
      </c>
      <c r="N130" s="1047">
        <v>8759.76</v>
      </c>
      <c r="O130" s="1047">
        <v>8759.76</v>
      </c>
      <c r="P130" s="1047">
        <v>8759.76</v>
      </c>
      <c r="Q130" s="1047">
        <v>8759.76</v>
      </c>
      <c r="R130" s="1047">
        <v>8759.76</v>
      </c>
      <c r="S130" s="1047">
        <v>8759.76</v>
      </c>
      <c r="T130" s="1047">
        <v>8759.76</v>
      </c>
      <c r="U130" s="1047">
        <v>8759.76</v>
      </c>
      <c r="V130" s="1047">
        <v>8759.76</v>
      </c>
      <c r="W130" s="1047">
        <v>8759.76</v>
      </c>
      <c r="X130" s="1047">
        <v>8759.76</v>
      </c>
      <c r="Y130" s="1048">
        <v>8759.76</v>
      </c>
    </row>
    <row r="131" spans="2:25" s="478" customFormat="1" hidden="1">
      <c r="B131" s="1075" t="str">
        <f t="shared" si="2"/>
        <v>Storage area - chilled lighting</v>
      </c>
      <c r="C131" s="487"/>
      <c r="D131" s="1076"/>
      <c r="E131" s="1065">
        <v>6.8000000000000007</v>
      </c>
      <c r="F131" s="1066" t="e">
        <f>HLOOKUP('Building Input'!$C$32,$K$93:$Y$134,G131,FALSE)</f>
        <v>#N/A</v>
      </c>
      <c r="G131" s="1065">
        <v>39</v>
      </c>
      <c r="H131" s="1067">
        <v>0.82</v>
      </c>
      <c r="I131" s="1068" t="e">
        <f t="shared" si="3"/>
        <v>#N/A</v>
      </c>
      <c r="J131" s="1068" t="e">
        <f t="shared" si="4"/>
        <v>#N/A</v>
      </c>
      <c r="K131" s="1046">
        <v>4744.87</v>
      </c>
      <c r="L131" s="1047">
        <v>2507.1</v>
      </c>
      <c r="M131" s="1047">
        <v>4744.87</v>
      </c>
      <c r="N131" s="1047">
        <v>4744.87</v>
      </c>
      <c r="O131" s="1047">
        <v>4744.87</v>
      </c>
      <c r="P131" s="1047">
        <v>4744.87</v>
      </c>
      <c r="Q131" s="1047">
        <v>4744.87</v>
      </c>
      <c r="R131" s="1047">
        <v>2299.6632328767123</v>
      </c>
      <c r="S131" s="1047">
        <v>4744.87</v>
      </c>
      <c r="T131" s="1047">
        <v>4744.87</v>
      </c>
      <c r="U131" s="1047">
        <v>2005.68</v>
      </c>
      <c r="V131" s="1047">
        <v>4744.87</v>
      </c>
      <c r="W131" s="1047">
        <v>4744.87</v>
      </c>
      <c r="X131" s="1047">
        <v>2256.39</v>
      </c>
      <c r="Y131" s="1048">
        <v>4744.87</v>
      </c>
    </row>
    <row r="132" spans="2:25" s="478" customFormat="1" hidden="1">
      <c r="B132" s="1075" t="str">
        <f t="shared" si="2"/>
        <v>Storage area - cold room (&lt;0degC) lighting</v>
      </c>
      <c r="C132" s="487"/>
      <c r="D132" s="1076"/>
      <c r="E132" s="1065">
        <v>6.8000000000000007</v>
      </c>
      <c r="F132" s="1066" t="e">
        <f>HLOOKUP('Building Input'!$C$32,$K$93:$Y$134,G132,FALSE)</f>
        <v>#N/A</v>
      </c>
      <c r="G132" s="1065">
        <v>40</v>
      </c>
      <c r="H132" s="1067">
        <v>0.82</v>
      </c>
      <c r="I132" s="1068" t="e">
        <f t="shared" si="3"/>
        <v>#N/A</v>
      </c>
      <c r="J132" s="1068" t="e">
        <f t="shared" si="4"/>
        <v>#N/A</v>
      </c>
      <c r="K132" s="1046">
        <v>4744.87</v>
      </c>
      <c r="L132" s="1047">
        <v>2507.1</v>
      </c>
      <c r="M132" s="1047">
        <v>4744.87</v>
      </c>
      <c r="N132" s="1047">
        <v>4744.87</v>
      </c>
      <c r="O132" s="1047">
        <v>4744.87</v>
      </c>
      <c r="P132" s="1047">
        <v>4744.87</v>
      </c>
      <c r="Q132" s="1047">
        <v>4744.87</v>
      </c>
      <c r="R132" s="1047">
        <v>2299.6632328767123</v>
      </c>
      <c r="S132" s="1047">
        <v>4744.87</v>
      </c>
      <c r="T132" s="1047">
        <v>4744.87</v>
      </c>
      <c r="U132" s="1047">
        <v>2005.68</v>
      </c>
      <c r="V132" s="1047">
        <v>4744.87</v>
      </c>
      <c r="W132" s="1047">
        <v>4744.87</v>
      </c>
      <c r="X132" s="1047">
        <v>2256.39</v>
      </c>
      <c r="Y132" s="1048">
        <v>4744.87</v>
      </c>
    </row>
    <row r="133" spans="2:25" s="478" customFormat="1" hidden="1">
      <c r="B133" s="1075" t="str">
        <f t="shared" si="2"/>
        <v>Swimming pool lighting</v>
      </c>
      <c r="C133" s="487"/>
      <c r="D133" s="1076"/>
      <c r="E133" s="1065">
        <v>13.5</v>
      </c>
      <c r="F133" s="1066" t="e">
        <f>HLOOKUP('Building Input'!$C$32,$K$93:$Y$134,G133,FALSE)</f>
        <v>#N/A</v>
      </c>
      <c r="G133" s="1065">
        <v>41</v>
      </c>
      <c r="H133" s="1067">
        <v>0.82</v>
      </c>
      <c r="I133" s="1068" t="e">
        <f t="shared" si="3"/>
        <v>#N/A</v>
      </c>
      <c r="J133" s="1068" t="e">
        <f t="shared" si="4"/>
        <v>#N/A</v>
      </c>
      <c r="K133" s="1046">
        <v>3808.48</v>
      </c>
      <c r="L133" s="1047">
        <v>3808.48</v>
      </c>
      <c r="M133" s="1047">
        <v>3808.48</v>
      </c>
      <c r="N133" s="1047">
        <v>4450.87</v>
      </c>
      <c r="O133" s="1047">
        <v>3808.48</v>
      </c>
      <c r="P133" s="1047">
        <v>3808.48</v>
      </c>
      <c r="Q133" s="1047">
        <v>3808.48</v>
      </c>
      <c r="R133" s="1047">
        <v>2299.6632328767123</v>
      </c>
      <c r="S133" s="1047">
        <v>3808.48</v>
      </c>
      <c r="T133" s="1047">
        <v>4744.87</v>
      </c>
      <c r="U133" s="1047">
        <v>3808.48</v>
      </c>
      <c r="V133" s="1047">
        <v>3808.48</v>
      </c>
      <c r="W133" s="1047">
        <v>3808.48</v>
      </c>
      <c r="X133" s="1047">
        <v>3808.48</v>
      </c>
      <c r="Y133" s="1048">
        <v>3808.48</v>
      </c>
    </row>
    <row r="134" spans="2:25" s="478" customFormat="1" hidden="1">
      <c r="B134" s="1077" t="str">
        <f t="shared" si="2"/>
        <v>Workshop - small scale lighting</v>
      </c>
      <c r="C134" s="1078"/>
      <c r="D134" s="1079"/>
      <c r="E134" s="1069">
        <v>17</v>
      </c>
      <c r="F134" s="1070" t="e">
        <f>HLOOKUP('Building Input'!$C$32,$K$93:$Y$134,G134,FALSE)</f>
        <v>#N/A</v>
      </c>
      <c r="G134" s="1069">
        <v>42</v>
      </c>
      <c r="H134" s="1071">
        <v>0.82</v>
      </c>
      <c r="I134" s="1072" t="e">
        <f t="shared" si="3"/>
        <v>#N/A</v>
      </c>
      <c r="J134" s="1072" t="e">
        <f t="shared" si="4"/>
        <v>#N/A</v>
      </c>
      <c r="K134" s="1049">
        <v>3008.52</v>
      </c>
      <c r="L134" s="1050">
        <v>4379.88</v>
      </c>
      <c r="M134" s="1050">
        <v>3008.52</v>
      </c>
      <c r="N134" s="1050">
        <v>2256.39</v>
      </c>
      <c r="O134" s="1050">
        <v>2256.39</v>
      </c>
      <c r="P134" s="1050">
        <v>2423.3010410958905</v>
      </c>
      <c r="Q134" s="1050">
        <v>2423.3010410958905</v>
      </c>
      <c r="R134" s="1050">
        <v>2901.6467397260276</v>
      </c>
      <c r="S134" s="1050">
        <v>4379.88</v>
      </c>
      <c r="T134" s="1050">
        <v>2256.39</v>
      </c>
      <c r="U134" s="1050">
        <v>3008.52</v>
      </c>
      <c r="V134" s="1050">
        <v>3008.52</v>
      </c>
      <c r="W134" s="1050">
        <v>3008.52</v>
      </c>
      <c r="X134" s="1050">
        <v>3008.52</v>
      </c>
      <c r="Y134" s="1051">
        <v>3008.52</v>
      </c>
    </row>
    <row r="135" spans="2:25" s="478" customFormat="1" hidden="1"/>
    <row r="136" spans="2:25" s="478" customFormat="1"/>
    <row r="137" spans="2:25" s="478" customFormat="1">
      <c r="Y137" s="1039"/>
    </row>
    <row r="138" spans="2:25" s="478" customFormat="1"/>
    <row r="139" spans="2:25" s="478" customFormat="1"/>
    <row r="140" spans="2:25" s="478" customFormat="1"/>
    <row r="141" spans="2:25" s="478" customFormat="1"/>
    <row r="142" spans="2:25" s="478" customFormat="1"/>
    <row r="143" spans="2:25" s="478" customFormat="1"/>
    <row r="144" spans="2:25" s="478" customFormat="1"/>
    <row r="145" s="478" customFormat="1"/>
    <row r="146" s="478" customFormat="1"/>
    <row r="147" s="478" customFormat="1"/>
    <row r="148" s="478" customFormat="1"/>
    <row r="149" s="478" customFormat="1"/>
    <row r="150" s="478" customFormat="1"/>
    <row r="151" s="478" customFormat="1"/>
    <row r="152" s="478" customFormat="1"/>
    <row r="153" s="478" customFormat="1"/>
    <row r="154" s="478" customFormat="1"/>
    <row r="155" s="478" customFormat="1"/>
    <row r="156" s="478" customFormat="1"/>
    <row r="157" s="478" customFormat="1"/>
    <row r="158" s="478" customFormat="1"/>
    <row r="159" s="478" customFormat="1"/>
    <row r="160" s="478" customFormat="1"/>
    <row r="161" s="478" customFormat="1"/>
    <row r="162" s="478" customFormat="1"/>
    <row r="163" s="478" customFormat="1"/>
    <row r="164" s="478" customFormat="1"/>
    <row r="165" s="478" customFormat="1"/>
    <row r="166" s="478" customFormat="1"/>
    <row r="167" s="478" customFormat="1"/>
    <row r="168" s="478" customFormat="1"/>
    <row r="169" s="478" customFormat="1"/>
    <row r="170" s="478" customFormat="1"/>
    <row r="171" s="478" customFormat="1"/>
    <row r="172" s="478" customFormat="1"/>
    <row r="173" s="478" customFormat="1"/>
    <row r="174" s="478" customFormat="1"/>
    <row r="175" s="478" customFormat="1"/>
    <row r="176" s="478" customFormat="1"/>
    <row r="177" s="478" customFormat="1"/>
    <row r="178" s="478" customFormat="1"/>
    <row r="179" s="478" customFormat="1"/>
    <row r="180" s="478" customFormat="1"/>
    <row r="181" s="478" customFormat="1"/>
    <row r="182" s="478" customFormat="1"/>
    <row r="183" s="478" customFormat="1"/>
    <row r="184" s="478" customFormat="1"/>
    <row r="185" s="478" customFormat="1"/>
    <row r="186" s="478" customFormat="1"/>
    <row r="187" s="478" customFormat="1"/>
    <row r="188" s="478" customFormat="1"/>
    <row r="189" s="478" customFormat="1"/>
    <row r="190" s="478" customFormat="1"/>
    <row r="191" s="478" customFormat="1"/>
    <row r="192" s="478" customFormat="1"/>
    <row r="193" s="478" customFormat="1"/>
    <row r="194" s="478" customFormat="1"/>
    <row r="195" s="478" customFormat="1"/>
    <row r="196" s="478" customFormat="1"/>
    <row r="197" s="478" customFormat="1"/>
    <row r="198" s="478" customFormat="1"/>
    <row r="199" s="478" customFormat="1"/>
    <row r="200" s="478" customFormat="1"/>
    <row r="201" s="478" customFormat="1"/>
    <row r="202" s="478" customFormat="1"/>
    <row r="203" s="478" customFormat="1"/>
    <row r="204" s="478" customFormat="1"/>
    <row r="205" s="478" customFormat="1"/>
    <row r="206" s="478" customFormat="1"/>
    <row r="207" s="478" customFormat="1"/>
    <row r="208" s="478" customFormat="1"/>
    <row r="209" s="478" customFormat="1"/>
    <row r="210" s="478" customFormat="1"/>
    <row r="211" s="478" customFormat="1"/>
    <row r="212" s="478" customFormat="1"/>
    <row r="213" s="478" customFormat="1"/>
    <row r="214" s="478" customFormat="1"/>
    <row r="215" s="478" customFormat="1"/>
    <row r="216" s="478" customFormat="1"/>
    <row r="217" s="478" customFormat="1"/>
    <row r="218" s="478" customFormat="1"/>
    <row r="219" s="478" customFormat="1"/>
    <row r="220" s="478" customFormat="1"/>
    <row r="221" s="478" customFormat="1"/>
    <row r="222" s="478" customFormat="1"/>
    <row r="223" s="478" customFormat="1"/>
    <row r="224" s="478" customFormat="1"/>
    <row r="225" s="478" customFormat="1"/>
    <row r="226" s="478" customFormat="1"/>
    <row r="227" s="478" customFormat="1"/>
    <row r="228" s="478" customFormat="1"/>
    <row r="229" s="478" customFormat="1"/>
    <row r="230" s="478" customFormat="1"/>
    <row r="231" s="478" customFormat="1"/>
    <row r="232" s="478" customFormat="1"/>
    <row r="233" s="478" customFormat="1"/>
    <row r="234" s="478" customFormat="1"/>
    <row r="235" s="478" customFormat="1"/>
    <row r="236" s="478" customFormat="1"/>
    <row r="237" s="478" customFormat="1"/>
    <row r="238" s="478" customFormat="1"/>
    <row r="239" s="478" customFormat="1"/>
    <row r="240" s="478" customFormat="1"/>
    <row r="241" s="478" customFormat="1"/>
    <row r="242" s="478" customFormat="1"/>
    <row r="243" s="478" customFormat="1"/>
    <row r="244" s="478" customFormat="1"/>
    <row r="245" s="478" customFormat="1"/>
    <row r="246" s="478" customFormat="1"/>
    <row r="247" s="478" customFormat="1"/>
    <row r="248" s="478" customFormat="1"/>
    <row r="249" s="478" customFormat="1"/>
    <row r="250" s="478" customFormat="1"/>
    <row r="251" s="478" customFormat="1"/>
    <row r="252" s="478" customFormat="1"/>
    <row r="253" s="478" customFormat="1"/>
    <row r="254" s="478" customFormat="1"/>
    <row r="255" s="478" customFormat="1"/>
    <row r="256" s="478" customFormat="1"/>
    <row r="257" s="478" customFormat="1"/>
    <row r="258" s="478" customFormat="1"/>
  </sheetData>
  <sheetProtection password="AD9B" sheet="1" objects="1" scenarios="1"/>
  <mergeCells count="19">
    <mergeCell ref="B23:D23"/>
    <mergeCell ref="K92:Y92"/>
    <mergeCell ref="F92:G93"/>
    <mergeCell ref="B22:D22"/>
    <mergeCell ref="B21:D21"/>
    <mergeCell ref="B8:K8"/>
    <mergeCell ref="B9:K9"/>
    <mergeCell ref="J18:J20"/>
    <mergeCell ref="H18:H20"/>
    <mergeCell ref="I18:I20"/>
    <mergeCell ref="D16:K16"/>
    <mergeCell ref="G17:K17"/>
    <mergeCell ref="B17:D17"/>
    <mergeCell ref="E17:F17"/>
    <mergeCell ref="G18:G20"/>
    <mergeCell ref="K18:K20"/>
    <mergeCell ref="F18:F20"/>
    <mergeCell ref="B18:D20"/>
    <mergeCell ref="E18:E20"/>
  </mergeCells>
  <phoneticPr fontId="103" type="noConversion"/>
  <conditionalFormatting sqref="C17:E20 E21:E61 B16:B61 F18:K20 E61:K61 G21:K60">
    <cfRule type="expression" dxfId="50" priority="5" stopIfTrue="1">
      <formula>#REF!=0</formula>
    </cfRule>
  </conditionalFormatting>
  <conditionalFormatting sqref="F21:F60">
    <cfRule type="expression" dxfId="49" priority="1" stopIfTrue="1">
      <formula>#REF!=0</formula>
    </cfRule>
  </conditionalFormatting>
  <dataValidations count="2">
    <dataValidation type="list" allowBlank="1" showInputMessage="1" showErrorMessage="1" sqref="H61">
      <formula1>$B$77:$B$79</formula1>
    </dataValidation>
    <dataValidation type="list" allowBlank="1" showInputMessage="1" showErrorMessage="1" sqref="H21:H60">
      <formula1>$B$76:$B$79</formula1>
    </dataValidation>
  </dataValidations>
  <printOptions horizontalCentered="1"/>
  <pageMargins left="0.59055118110236227" right="0.59055118110236227" top="0.47244094488188981" bottom="0.47244094488188981" header="0.23622047244094491" footer="0.35433070866141736"/>
  <pageSetup paperSize="9" scale="48" orientation="portrait" blackAndWhite="1" r:id="rId1"/>
  <headerFooter alignWithMargins="0">
    <oddHeader>&amp;LGreen Building Council of South Africa&amp;R&amp;T   &amp;D</oddHeader>
    <oddFooter>&amp;L&amp;F&amp;C&amp;P of &amp;N&amp;RCategory: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9185" r:id="rId4" name="Button 1">
              <controlPr defaultSize="0" print="0" autoFill="0" autoPict="0" macro="[0]!GoToEnergyCalc">
                <anchor moveWithCells="1" sizeWithCells="1">
                  <from>
                    <xdr:col>8</xdr:col>
                    <xdr:colOff>647700</xdr:colOff>
                    <xdr:row>10</xdr:row>
                    <xdr:rowOff>180975</xdr:rowOff>
                  </from>
                  <to>
                    <xdr:col>10</xdr:col>
                    <xdr:colOff>1095375</xdr:colOff>
                    <xdr:row>13</xdr:row>
                    <xdr:rowOff>19050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U28"/>
  <sheetViews>
    <sheetView zoomScale="80" zoomScaleNormal="80" zoomScaleSheetLayoutView="85" workbookViewId="0">
      <pane xSplit="2" ySplit="4" topLeftCell="C5" activePane="bottomRight" state="frozen"/>
      <selection pane="topRight"/>
      <selection pane="bottomLeft"/>
      <selection pane="bottomRight"/>
    </sheetView>
  </sheetViews>
  <sheetFormatPr defaultColWidth="7.875" defaultRowHeight="12.75"/>
  <cols>
    <col min="1" max="1" width="7.25" style="1150" customWidth="1"/>
    <col min="2" max="2" width="15.125" style="1150" customWidth="1"/>
    <col min="3" max="3" width="25.625" style="1150" customWidth="1"/>
    <col min="4" max="4" width="64.875" style="1150" customWidth="1"/>
    <col min="5" max="7" width="12.625" style="275" customWidth="1"/>
    <col min="8" max="8" width="31" style="1150" customWidth="1"/>
    <col min="9" max="9" width="10.875" style="1150" hidden="1" customWidth="1"/>
    <col min="10" max="41" width="7.875" style="1150"/>
    <col min="42" max="16384" width="7.875" style="273"/>
  </cols>
  <sheetData>
    <row r="1" spans="1:255" s="450" customFormat="1" ht="24" customHeight="1" thickBot="1">
      <c r="A1" s="455" t="str">
        <f>Management!A1</f>
        <v>Green Star SA - Public &amp; Education Building v1</v>
      </c>
      <c r="D1" s="1150"/>
      <c r="E1" s="275"/>
      <c r="F1" s="444" t="s">
        <v>134</v>
      </c>
      <c r="G1" s="445">
        <f>'Credit Summary'!J54</f>
        <v>0.11</v>
      </c>
      <c r="H1" s="443" t="s">
        <v>136</v>
      </c>
      <c r="I1" s="452"/>
    </row>
    <row r="2" spans="1:255" s="450" customFormat="1" ht="30" customHeight="1" thickBot="1">
      <c r="A2" s="272" t="s">
        <v>1038</v>
      </c>
      <c r="D2" s="442" t="s">
        <v>135</v>
      </c>
      <c r="E2" s="1190">
        <f>E16</f>
        <v>18</v>
      </c>
      <c r="F2" s="1191">
        <f>F16</f>
        <v>0</v>
      </c>
      <c r="G2" s="1190">
        <f>G16</f>
        <v>0</v>
      </c>
      <c r="H2" s="1192">
        <f>'Credit Summary'!K54</f>
        <v>0</v>
      </c>
      <c r="I2" s="452"/>
    </row>
    <row r="3" spans="1:255" s="462" customFormat="1" ht="19.5" customHeight="1" thickBot="1">
      <c r="A3" s="458" t="s">
        <v>1037</v>
      </c>
      <c r="B3" s="459"/>
      <c r="C3" s="458" t="str">
        <f>IF('Building Input'!$C$5=0,"",'Building Input'!$C$5)</f>
        <v/>
      </c>
      <c r="D3" s="460"/>
      <c r="E3" s="275"/>
      <c r="F3" s="448" t="str">
        <f>IF(OR((I3=Calculation1!$B$84),(I3=Calculation1!$B$85),((F2+G2)&gt;E2)),Calculation1!$B$86,"")</f>
        <v/>
      </c>
      <c r="G3" s="275"/>
      <c r="H3" s="460"/>
      <c r="I3" s="467" t="str">
        <f>T(I5:I15)</f>
        <v/>
      </c>
    </row>
    <row r="4" spans="1:255" ht="33" customHeight="1" thickBot="1">
      <c r="A4" s="1229" t="s">
        <v>1039</v>
      </c>
      <c r="B4" s="1230" t="s">
        <v>1040</v>
      </c>
      <c r="C4" s="1230" t="s">
        <v>1041</v>
      </c>
      <c r="D4" s="1230" t="s">
        <v>69</v>
      </c>
      <c r="E4" s="1231" t="s">
        <v>1169</v>
      </c>
      <c r="F4" s="1231" t="s">
        <v>451</v>
      </c>
      <c r="G4" s="1231" t="s">
        <v>452</v>
      </c>
      <c r="H4" s="1210" t="s">
        <v>453</v>
      </c>
    </row>
    <row r="5" spans="1:255" ht="348" customHeight="1">
      <c r="A5" s="913" t="s">
        <v>972</v>
      </c>
      <c r="B5" s="440" t="s">
        <v>401</v>
      </c>
      <c r="C5" s="1128" t="s">
        <v>2091</v>
      </c>
      <c r="D5" s="1147" t="s">
        <v>2093</v>
      </c>
      <c r="E5" s="950">
        <f>IF(F5="na",0,2)</f>
        <v>2</v>
      </c>
      <c r="F5" s="2049"/>
      <c r="G5" s="2049"/>
      <c r="H5" s="2059"/>
      <c r="I5" s="1151" t="str">
        <f>IF(ISBLANK(F5),IF(G5&gt;E5,Calculation1!$B$84,""),IF(F5="na","",IF(OR(F5="na",ISNUMBER(F5)),IF(F5+G5&gt;E5,Calculation1!$B$84,""),Calculation1!$B$85)))</f>
        <v/>
      </c>
    </row>
    <row r="6" spans="1:255" ht="283.5" customHeight="1">
      <c r="A6" s="2002" t="s">
        <v>973</v>
      </c>
      <c r="B6" s="239" t="s">
        <v>123</v>
      </c>
      <c r="C6" s="1128" t="s">
        <v>2094</v>
      </c>
      <c r="D6" s="1148" t="s">
        <v>2058</v>
      </c>
      <c r="E6" s="949">
        <f>IF(F6="na",0,2)</f>
        <v>2</v>
      </c>
      <c r="F6" s="2050"/>
      <c r="G6" s="2050"/>
      <c r="H6" s="2060"/>
      <c r="I6" s="592" t="str">
        <f>IF(ISBLANK(F6),IF(G6&gt;E6,Calculation1!$B$84,""),IF(F6="na","",IF(OR(F6="na",ISNUMBER(F6)),IF(F6+G6&gt;E6,Calculation1!$B$84,""),Calculation1!$B$85)))</f>
        <v/>
      </c>
    </row>
    <row r="7" spans="1:255" ht="269.25" customHeight="1">
      <c r="A7" s="2392" t="s">
        <v>974</v>
      </c>
      <c r="B7" s="2389" t="s">
        <v>419</v>
      </c>
      <c r="C7" s="2389" t="s">
        <v>1305</v>
      </c>
      <c r="D7" s="1149" t="s">
        <v>2095</v>
      </c>
      <c r="E7" s="2001">
        <f>IF(F7="na",0,2)</f>
        <v>2</v>
      </c>
      <c r="F7" s="2050"/>
      <c r="G7" s="2050"/>
      <c r="H7" s="2061"/>
      <c r="I7" s="1151" t="str">
        <f>IF(OR(ISTEXT(F7)=TRUE,ISTEXT(G7)=TRUE),Calculation1!$B$87,IF(F7+G7&gt;E7,Calculation1!$B$84,""))</f>
        <v/>
      </c>
    </row>
    <row r="8" spans="1:255" ht="219.75" customHeight="1">
      <c r="A8" s="2393"/>
      <c r="B8" s="2390"/>
      <c r="C8" s="2390"/>
      <c r="D8" s="1999" t="s">
        <v>2059</v>
      </c>
      <c r="E8" s="2404">
        <f>IF(F8="na",0,3)</f>
        <v>3</v>
      </c>
      <c r="F8" s="2406"/>
      <c r="G8" s="2255"/>
      <c r="H8" s="2402"/>
      <c r="I8" s="1151" t="str">
        <f>IF(OR(ISTEXT(F8)=TRUE,ISTEXT(G8)=TRUE),Calculation1!$B$87,IF(F8+G8&gt;E8,Calculation1!$B$84,""))</f>
        <v/>
      </c>
    </row>
    <row r="9" spans="1:255" s="1150" customFormat="1" ht="294.75" customHeight="1">
      <c r="A9" s="2394"/>
      <c r="B9" s="2391"/>
      <c r="C9" s="2391"/>
      <c r="D9" s="2000" t="s">
        <v>2092</v>
      </c>
      <c r="E9" s="2405"/>
      <c r="F9" s="2407"/>
      <c r="G9" s="2256"/>
      <c r="H9" s="2403"/>
      <c r="I9" s="1151"/>
    </row>
    <row r="10" spans="1:255" ht="295.5" customHeight="1">
      <c r="A10" s="2395" t="s">
        <v>975</v>
      </c>
      <c r="B10" s="2389" t="s">
        <v>420</v>
      </c>
      <c r="C10" s="2398" t="s">
        <v>2096</v>
      </c>
      <c r="D10" s="1153" t="s">
        <v>2097</v>
      </c>
      <c r="E10" s="1146">
        <v>4</v>
      </c>
      <c r="F10" s="963">
        <f>'Transport Calculator'!X33</f>
        <v>0</v>
      </c>
      <c r="G10" s="2050"/>
      <c r="H10" s="2061"/>
      <c r="I10" s="1151" t="str">
        <f>IF(OR(ISTEXT(F10)=TRUE,ISTEXT(G10)=TRUE),Calculation1!$B$87,IF(F10+G10&gt;E10,Calculation1!$B$84,""))</f>
        <v/>
      </c>
    </row>
    <row r="11" spans="1:255" s="964" customFormat="1" ht="57.75" customHeight="1">
      <c r="A11" s="2396"/>
      <c r="B11" s="2390"/>
      <c r="C11" s="2399"/>
      <c r="D11" s="1152" t="s">
        <v>2098</v>
      </c>
      <c r="E11" s="2404">
        <f>IF(F11="na",0,1)</f>
        <v>1</v>
      </c>
      <c r="F11" s="2408">
        <f>IF(I11=TRUE,"na",'Transport Calculator'!X27)</f>
        <v>0</v>
      </c>
      <c r="G11" s="2255"/>
      <c r="H11" s="2401"/>
      <c r="I11" s="2175" t="b">
        <v>0</v>
      </c>
      <c r="J11" s="1150"/>
      <c r="K11" s="1150"/>
      <c r="L11" s="1150"/>
      <c r="M11" s="1150"/>
      <c r="N11" s="1150"/>
      <c r="O11" s="1150"/>
      <c r="P11" s="1150"/>
      <c r="Q11" s="1150"/>
      <c r="R11" s="1150"/>
      <c r="S11" s="1150"/>
      <c r="T11" s="1150"/>
      <c r="U11" s="1150"/>
      <c r="V11" s="1150"/>
      <c r="W11" s="1150"/>
      <c r="X11" s="1150"/>
      <c r="Y11" s="1150"/>
      <c r="Z11" s="1150"/>
      <c r="AA11" s="1150"/>
      <c r="AB11" s="1150"/>
      <c r="AC11" s="1150"/>
      <c r="AD11" s="1150"/>
      <c r="AE11" s="1150"/>
      <c r="AF11" s="1150"/>
      <c r="AG11" s="1150"/>
      <c r="AH11" s="1150"/>
      <c r="AI11" s="1150"/>
      <c r="AJ11" s="1150"/>
      <c r="AK11" s="1150"/>
      <c r="AL11" s="1150"/>
      <c r="AM11" s="1150"/>
      <c r="AN11" s="1150"/>
      <c r="AO11" s="1150"/>
    </row>
    <row r="12" spans="1:255" s="1150" customFormat="1" ht="23.25" customHeight="1">
      <c r="A12" s="2397"/>
      <c r="B12" s="2391"/>
      <c r="C12" s="2400"/>
      <c r="D12" s="2173"/>
      <c r="E12" s="2405"/>
      <c r="F12" s="2409"/>
      <c r="G12" s="2256"/>
      <c r="H12" s="2401"/>
      <c r="I12" s="1151"/>
    </row>
    <row r="13" spans="1:255" s="912" customFormat="1" ht="295.5" customHeight="1">
      <c r="A13" s="931" t="s">
        <v>976</v>
      </c>
      <c r="B13" s="1998" t="s">
        <v>443</v>
      </c>
      <c r="C13" s="1998" t="s">
        <v>2099</v>
      </c>
      <c r="D13" s="1154" t="s">
        <v>2101</v>
      </c>
      <c r="E13" s="2003">
        <v>2</v>
      </c>
      <c r="F13" s="2057"/>
      <c r="G13" s="2058"/>
      <c r="H13" s="2174"/>
      <c r="I13" s="1151" t="str">
        <f>IF(OR(ISTEXT(F13)=TRUE,ISTEXT(G13)=TRUE),Calculation1!$B$87,IF(F13+G13&gt;E13,Calculation1!$B$84,""))</f>
        <v/>
      </c>
      <c r="J13" s="1150"/>
      <c r="K13" s="1150"/>
      <c r="L13" s="1150"/>
      <c r="M13" s="1150"/>
      <c r="N13" s="1150"/>
      <c r="O13" s="1150"/>
      <c r="P13" s="1150"/>
      <c r="Q13" s="1150"/>
      <c r="R13" s="1150"/>
      <c r="S13" s="1150"/>
      <c r="T13" s="1150"/>
      <c r="U13" s="1150"/>
      <c r="V13" s="1150"/>
      <c r="W13" s="1150"/>
      <c r="X13" s="1150"/>
      <c r="Y13" s="1150"/>
      <c r="Z13" s="1150"/>
      <c r="AA13" s="1150"/>
      <c r="AB13" s="1150"/>
      <c r="AC13" s="1150"/>
      <c r="AD13" s="1150"/>
      <c r="AE13" s="1150"/>
      <c r="AF13" s="1150"/>
      <c r="AG13" s="1150"/>
      <c r="AH13" s="1150"/>
      <c r="AI13" s="1150"/>
      <c r="AJ13" s="1150"/>
      <c r="AK13" s="1150"/>
      <c r="AL13" s="1150"/>
      <c r="AM13" s="1150"/>
      <c r="AN13" s="1150"/>
      <c r="AO13" s="1150"/>
    </row>
    <row r="14" spans="1:255" s="912" customFormat="1" ht="25.5">
      <c r="A14" s="938" t="s">
        <v>977</v>
      </c>
      <c r="B14" s="857" t="s">
        <v>1027</v>
      </c>
      <c r="C14" s="857"/>
      <c r="D14" s="939" t="s">
        <v>2104</v>
      </c>
      <c r="E14" s="940" t="s">
        <v>1308</v>
      </c>
      <c r="F14" s="946" t="s">
        <v>1308</v>
      </c>
      <c r="G14" s="946" t="s">
        <v>1308</v>
      </c>
      <c r="H14" s="2062"/>
      <c r="I14" s="1151" t="str">
        <f>IF(OR(ISTEXT(F14)=TRUE,ISTEXT(G14)=TRUE),Calculation1!$B$87,IF(F14+G14&gt;E14,Calculation1!$B$84,""))</f>
        <v>ERROR, text not valid!</v>
      </c>
      <c r="J14" s="1144"/>
      <c r="K14" s="1144"/>
      <c r="L14" s="1144"/>
      <c r="M14" s="1144"/>
      <c r="N14" s="1144"/>
      <c r="O14" s="1144"/>
      <c r="P14" s="1144"/>
      <c r="Q14" s="1144"/>
      <c r="R14" s="1144"/>
      <c r="S14" s="1144"/>
      <c r="T14" s="1144"/>
      <c r="U14" s="1144"/>
      <c r="V14" s="1144"/>
      <c r="W14" s="1144"/>
      <c r="X14" s="1144"/>
      <c r="Y14" s="1144"/>
      <c r="Z14" s="1144"/>
      <c r="AA14" s="1144"/>
      <c r="AB14" s="1144"/>
      <c r="AC14" s="1144"/>
      <c r="AD14" s="1144"/>
      <c r="AE14" s="1144"/>
      <c r="AF14" s="1144"/>
      <c r="AG14" s="1144"/>
      <c r="AH14" s="1144"/>
      <c r="AI14" s="1144"/>
      <c r="AJ14" s="1144"/>
      <c r="AK14" s="1144"/>
      <c r="AL14" s="1144"/>
      <c r="AM14" s="1144"/>
      <c r="AN14" s="1144"/>
      <c r="AO14" s="114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4"/>
      <c r="BY14" s="274"/>
      <c r="BZ14" s="274"/>
      <c r="CA14" s="274"/>
      <c r="CB14" s="274"/>
      <c r="CC14" s="274"/>
      <c r="CD14" s="274"/>
      <c r="CE14" s="274"/>
      <c r="CF14" s="274"/>
      <c r="CG14" s="274"/>
      <c r="CH14" s="274"/>
      <c r="CI14" s="274"/>
      <c r="CJ14" s="274"/>
      <c r="CK14" s="274"/>
      <c r="CL14" s="274"/>
      <c r="CM14" s="274"/>
      <c r="CN14" s="274"/>
      <c r="CO14" s="274"/>
      <c r="CP14" s="274"/>
      <c r="CQ14" s="274"/>
      <c r="CR14" s="274"/>
      <c r="CS14" s="274"/>
      <c r="CT14" s="274"/>
      <c r="CU14" s="274"/>
      <c r="CV14" s="274"/>
      <c r="CW14" s="274"/>
      <c r="CX14" s="274"/>
      <c r="CY14" s="274"/>
      <c r="CZ14" s="274"/>
      <c r="DA14" s="274"/>
      <c r="DB14" s="274"/>
      <c r="DC14" s="274"/>
      <c r="DD14" s="274"/>
      <c r="DE14" s="274"/>
      <c r="DF14" s="274"/>
      <c r="DG14" s="274"/>
      <c r="DH14" s="274"/>
      <c r="DI14" s="274"/>
      <c r="DJ14" s="274"/>
      <c r="DK14" s="274"/>
      <c r="DL14" s="274"/>
      <c r="DM14" s="274"/>
      <c r="DN14" s="274"/>
      <c r="DO14" s="274"/>
      <c r="DP14" s="274"/>
      <c r="DQ14" s="274"/>
      <c r="DR14" s="274"/>
      <c r="DS14" s="274"/>
      <c r="DT14" s="274"/>
      <c r="DU14" s="274"/>
      <c r="DV14" s="274"/>
      <c r="DW14" s="274"/>
      <c r="DX14" s="274"/>
      <c r="DY14" s="274"/>
      <c r="DZ14" s="274"/>
      <c r="EA14" s="274"/>
      <c r="EB14" s="274"/>
      <c r="EC14" s="274"/>
      <c r="ED14" s="274"/>
      <c r="EE14" s="274"/>
      <c r="EF14" s="274"/>
      <c r="EG14" s="274"/>
      <c r="EH14" s="274"/>
      <c r="EI14" s="274"/>
      <c r="EJ14" s="274"/>
      <c r="EK14" s="274"/>
      <c r="EL14" s="274"/>
      <c r="EM14" s="274"/>
      <c r="EN14" s="274"/>
      <c r="EO14" s="274"/>
      <c r="EP14" s="274"/>
      <c r="EQ14" s="274"/>
      <c r="ER14" s="274"/>
      <c r="ES14" s="274"/>
      <c r="ET14" s="274"/>
      <c r="EU14" s="274"/>
      <c r="EV14" s="274"/>
      <c r="EW14" s="274"/>
      <c r="EX14" s="274"/>
      <c r="EY14" s="274"/>
      <c r="EZ14" s="274"/>
      <c r="FA14" s="274"/>
      <c r="FB14" s="274"/>
      <c r="FC14" s="274"/>
      <c r="FD14" s="274"/>
      <c r="FE14" s="274"/>
      <c r="FF14" s="274"/>
      <c r="FG14" s="274"/>
      <c r="FH14" s="274"/>
      <c r="FI14" s="274"/>
      <c r="FJ14" s="274"/>
      <c r="FK14" s="274"/>
      <c r="FL14" s="274"/>
      <c r="FM14" s="274"/>
      <c r="FN14" s="274"/>
      <c r="FO14" s="274"/>
      <c r="FP14" s="274"/>
      <c r="FQ14" s="274"/>
      <c r="FR14" s="274"/>
      <c r="FS14" s="274"/>
      <c r="FT14" s="274"/>
      <c r="FU14" s="274"/>
      <c r="FV14" s="274"/>
      <c r="FW14" s="274"/>
      <c r="FX14" s="274"/>
      <c r="FY14" s="274"/>
      <c r="FZ14" s="274"/>
      <c r="GA14" s="274"/>
      <c r="GB14" s="274"/>
      <c r="GC14" s="274"/>
      <c r="GD14" s="274"/>
      <c r="GE14" s="274"/>
      <c r="GF14" s="274"/>
      <c r="GG14" s="274"/>
      <c r="GH14" s="274"/>
      <c r="GI14" s="274"/>
      <c r="GJ14" s="274"/>
      <c r="GK14" s="274"/>
      <c r="GL14" s="274"/>
      <c r="GM14" s="274"/>
      <c r="GN14" s="274"/>
      <c r="GO14" s="274"/>
      <c r="GP14" s="274"/>
      <c r="GQ14" s="274"/>
      <c r="GR14" s="274"/>
      <c r="GS14" s="274"/>
      <c r="GT14" s="274"/>
      <c r="GU14" s="274"/>
      <c r="GV14" s="274"/>
      <c r="GW14" s="274"/>
      <c r="GX14" s="274"/>
      <c r="GY14" s="274"/>
      <c r="GZ14" s="274"/>
      <c r="HA14" s="274"/>
      <c r="HB14" s="274"/>
      <c r="HC14" s="274"/>
      <c r="HD14" s="274"/>
      <c r="HE14" s="274"/>
      <c r="HF14" s="274"/>
      <c r="HG14" s="274"/>
      <c r="HH14" s="274"/>
      <c r="HI14" s="274"/>
      <c r="HJ14" s="274"/>
      <c r="HK14" s="274"/>
      <c r="HL14" s="274"/>
      <c r="HM14" s="274"/>
      <c r="HN14" s="274"/>
      <c r="HO14" s="274"/>
      <c r="HP14" s="274"/>
      <c r="HQ14" s="274"/>
      <c r="HR14" s="274"/>
      <c r="HS14" s="274"/>
      <c r="HT14" s="274"/>
      <c r="HU14" s="274"/>
      <c r="HV14" s="274"/>
      <c r="HW14" s="274"/>
      <c r="HX14" s="274"/>
      <c r="HY14" s="274"/>
      <c r="HZ14" s="274"/>
      <c r="IA14" s="274"/>
      <c r="IB14" s="274"/>
      <c r="IC14" s="274"/>
      <c r="ID14" s="274"/>
      <c r="IE14" s="274"/>
      <c r="IF14" s="274"/>
      <c r="IG14" s="274"/>
      <c r="IH14" s="274"/>
      <c r="II14" s="274"/>
      <c r="IJ14" s="274"/>
      <c r="IK14" s="274"/>
      <c r="IL14" s="274"/>
      <c r="IM14" s="274"/>
      <c r="IN14" s="274"/>
      <c r="IO14" s="274"/>
      <c r="IP14" s="274"/>
      <c r="IQ14" s="274"/>
      <c r="IR14" s="274"/>
      <c r="IS14" s="274"/>
      <c r="IT14" s="274"/>
      <c r="IU14" s="274"/>
    </row>
    <row r="15" spans="1:255" ht="256.5" customHeight="1" thickBot="1">
      <c r="A15" s="248" t="s">
        <v>444</v>
      </c>
      <c r="B15" s="1156" t="s">
        <v>1028</v>
      </c>
      <c r="C15" s="1155" t="s">
        <v>2060</v>
      </c>
      <c r="D15" s="1158" t="s">
        <v>2100</v>
      </c>
      <c r="E15" s="2003">
        <f>IF(F15="na",0,2)</f>
        <v>2</v>
      </c>
      <c r="F15" s="2057"/>
      <c r="G15" s="2116"/>
      <c r="H15" s="2063"/>
      <c r="I15" s="1151" t="str">
        <f>IF(OR(ISTEXT(F15)=TRUE,ISTEXT(G15)=TRUE),Calculation1!$B$87,IF(F15+G15&gt;E15,Calculation1!$B$84,""))</f>
        <v/>
      </c>
    </row>
    <row r="16" spans="1:255" ht="18.75" thickBot="1">
      <c r="A16" s="1197"/>
      <c r="B16" s="1198"/>
      <c r="C16" s="1198"/>
      <c r="D16" s="1199" t="s">
        <v>1035</v>
      </c>
      <c r="E16" s="1200">
        <f>SUM(E5:E15)</f>
        <v>18</v>
      </c>
      <c r="F16" s="1200">
        <f>SUM(F5:F15)</f>
        <v>0</v>
      </c>
      <c r="G16" s="1200">
        <f>SUM(G5:G15)</f>
        <v>0</v>
      </c>
      <c r="H16" s="1201"/>
    </row>
    <row r="17" spans="1:1" ht="12.75" customHeight="1"/>
    <row r="18" spans="1:1" ht="12.75" customHeight="1"/>
    <row r="19" spans="1:1" ht="12.75" customHeight="1"/>
    <row r="20" spans="1:1" ht="12.75" customHeight="1">
      <c r="A20" s="595" t="str">
        <f>Calculation1!$B$93</f>
        <v>Project Teams are to refer to the Green Star SA Public Building PILOT Technical Manual for explicit credit criteria and documentation requirements.</v>
      </c>
    </row>
    <row r="21" spans="1:1" ht="12.75" customHeight="1">
      <c r="A21" s="595" t="str">
        <f>Calculation1!$B$94</f>
        <v>The Green Star Technical Clarifications (TC) and Credit Interpretation Request (CIR) rulings provide an essential source of information to all</v>
      </c>
    </row>
    <row r="22" spans="1:1" ht="12.75" customHeight="1">
      <c r="A22" s="595" t="str">
        <f>Calculation1!$B$95</f>
        <v>projects undertaking Green Star assessment. They are available on the GBCSA website http://www.gbcsa.org.za . Technical Clarifications</v>
      </c>
    </row>
    <row r="23" spans="1:1" ht="12.75" customHeight="1">
      <c r="A23" s="595" t="str">
        <f>Calculation1!$B$96</f>
        <v xml:space="preserve">often represent the GBCSA answers to technical queries and complement Green Star SA Technical Manuals. They do not amend but clarify </v>
      </c>
    </row>
    <row r="24" spans="1:1" ht="12.75" customHeight="1">
      <c r="A24" s="595" t="str">
        <f>Calculation1!$B$97</f>
        <v xml:space="preserve">Credit Criteria or Compliance Requirements. They are an extension of the Technical Manual; it is the responsibility of the project teams to stay </v>
      </c>
    </row>
    <row r="25" spans="1:1" ht="12.75" customHeight="1">
      <c r="A25" s="595" t="str">
        <f>Calculation1!$B$98</f>
        <v xml:space="preserve">up-to-date with this section of the GBCSA website. The CIR rulings offer alternative compliance options whenever those have been deemed </v>
      </c>
    </row>
    <row r="26" spans="1:1" ht="12.75" customHeight="1">
      <c r="A26" s="595" t="str">
        <f>Calculation1!$B$99</f>
        <v>equivalent in meeting the Aim of Credit.</v>
      </c>
    </row>
    <row r="27" spans="1:1" ht="12.75" customHeight="1">
      <c r="A27" s="595"/>
    </row>
    <row r="28" spans="1:1">
      <c r="A28" s="595"/>
    </row>
  </sheetData>
  <sheetProtection password="AD9B" sheet="1" objects="1" scenarios="1"/>
  <mergeCells count="14">
    <mergeCell ref="H11:H12"/>
    <mergeCell ref="H8:H9"/>
    <mergeCell ref="E8:E9"/>
    <mergeCell ref="F8:F9"/>
    <mergeCell ref="G8:G9"/>
    <mergeCell ref="E11:E12"/>
    <mergeCell ref="F11:F12"/>
    <mergeCell ref="G11:G12"/>
    <mergeCell ref="C7:C9"/>
    <mergeCell ref="B7:B9"/>
    <mergeCell ref="A7:A9"/>
    <mergeCell ref="A10:A12"/>
    <mergeCell ref="B10:B12"/>
    <mergeCell ref="C10:C12"/>
  </mergeCells>
  <phoneticPr fontId="0" type="noConversion"/>
  <printOptions horizontalCentered="1"/>
  <pageMargins left="0.59055118110236227" right="0.59055118110236227" top="0.47244094488188981" bottom="0.47244094488188981" header="0.23622047244094491" footer="0.35433070866141736"/>
  <pageSetup paperSize="9" scale="59" fitToHeight="3" orientation="landscape" blackAndWhite="1" r:id="rId1"/>
  <headerFooter alignWithMargins="0">
    <oddHeader>&amp;LGreen Building Council of South Africa&amp;R&amp;T   &amp;D</oddHeader>
    <oddFooter>&amp;L&amp;F&amp;CPage &amp;P of &amp;N&amp;RCategory: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1545" r:id="rId4" name="Button 9">
              <controlPr defaultSize="0" print="0" autoFill="0" autoPict="0" macro="[0]!GoToCreditSummary">
                <anchor moveWithCells="1" sizeWithCells="1">
                  <from>
                    <xdr:col>4</xdr:col>
                    <xdr:colOff>590550</xdr:colOff>
                    <xdr:row>17</xdr:row>
                    <xdr:rowOff>76200</xdr:rowOff>
                  </from>
                  <to>
                    <xdr:col>7</xdr:col>
                    <xdr:colOff>9525</xdr:colOff>
                    <xdr:row>20</xdr:row>
                    <xdr:rowOff>66675</xdr:rowOff>
                  </to>
                </anchor>
              </controlPr>
            </control>
          </mc:Choice>
        </mc:AlternateContent>
        <mc:AlternateContent xmlns:mc="http://schemas.openxmlformats.org/markup-compatibility/2006">
          <mc:Choice Requires="x14">
            <control shapeId="321547" r:id="rId5" name="Button 11">
              <controlPr defaultSize="0" print="0" autoFill="0" autoPict="0" macro="[0]!GoToTransportCalc">
                <anchor moveWithCells="1" sizeWithCells="1">
                  <from>
                    <xdr:col>3</xdr:col>
                    <xdr:colOff>990600</xdr:colOff>
                    <xdr:row>9</xdr:row>
                    <xdr:rowOff>3390900</xdr:rowOff>
                  </from>
                  <to>
                    <xdr:col>3</xdr:col>
                    <xdr:colOff>3533775</xdr:colOff>
                    <xdr:row>9</xdr:row>
                    <xdr:rowOff>3667125</xdr:rowOff>
                  </to>
                </anchor>
              </controlPr>
            </control>
          </mc:Choice>
        </mc:AlternateContent>
        <mc:AlternateContent xmlns:mc="http://schemas.openxmlformats.org/markup-compatibility/2006">
          <mc:Choice Requires="x14">
            <control shapeId="321554" r:id="rId6" name="Check Box 18">
              <controlPr defaultSize="0" autoFill="0" autoLine="0" autoPict="0">
                <anchor moveWithCells="1">
                  <from>
                    <xdr:col>3</xdr:col>
                    <xdr:colOff>2247900</xdr:colOff>
                    <xdr:row>11</xdr:row>
                    <xdr:rowOff>19050</xdr:rowOff>
                  </from>
                  <to>
                    <xdr:col>3</xdr:col>
                    <xdr:colOff>2619375</xdr:colOff>
                    <xdr:row>11</xdr:row>
                    <xdr:rowOff>276225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autoPageBreaks="0" fitToPage="1"/>
  </sheetPr>
  <dimension ref="A1:AW69"/>
  <sheetViews>
    <sheetView zoomScale="80" zoomScaleNormal="100" zoomScaleSheetLayoutView="100" workbookViewId="0">
      <pane ySplit="10" topLeftCell="A11" activePane="bottomLeft" state="frozen"/>
      <selection pane="bottomLeft" activeCell="A63" sqref="A63"/>
    </sheetView>
  </sheetViews>
  <sheetFormatPr defaultColWidth="7.875" defaultRowHeight="12.75"/>
  <cols>
    <col min="1" max="1" width="1.875" style="473" customWidth="1"/>
    <col min="2" max="2" width="17.25" style="576" customWidth="1"/>
    <col min="3" max="6" width="10.125" style="576" customWidth="1"/>
    <col min="7" max="7" width="6.625" style="576" customWidth="1"/>
    <col min="8" max="8" width="14.875" style="576" customWidth="1"/>
    <col min="9" max="12" width="9.375" style="576" customWidth="1"/>
    <col min="13" max="13" width="5.125" style="576" customWidth="1"/>
    <col min="14" max="14" width="8.375" style="576" hidden="1" customWidth="1"/>
    <col min="15" max="15" width="7.875" style="971" hidden="1" customWidth="1"/>
    <col min="16" max="16" width="15.375" style="1016" hidden="1" customWidth="1"/>
    <col min="17" max="17" width="11" style="1016" hidden="1" customWidth="1"/>
    <col min="18" max="18" width="12.625" style="1016" hidden="1" customWidth="1"/>
    <col min="19" max="19" width="11" style="1016" hidden="1" customWidth="1"/>
    <col min="20" max="21" width="13.25" style="971" hidden="1" customWidth="1"/>
    <col min="22" max="22" width="6.625" style="971" hidden="1" customWidth="1"/>
    <col min="23" max="23" width="11.125" style="971" hidden="1" customWidth="1"/>
    <col min="24" max="24" width="10.5" style="971" hidden="1" customWidth="1"/>
    <col min="25" max="29" width="7.875" style="971" hidden="1" customWidth="1"/>
    <col min="30" max="30" width="8.625" style="971" hidden="1" customWidth="1"/>
    <col min="31" max="36" width="7.875" style="971" hidden="1" customWidth="1"/>
    <col min="37" max="37" width="7.875" style="473" hidden="1" customWidth="1"/>
    <col min="38" max="39" width="7.875" style="473" customWidth="1"/>
    <col min="40" max="16384" width="7.875" style="473"/>
  </cols>
  <sheetData>
    <row r="1" spans="1:36" s="553" customFormat="1" ht="27" customHeight="1" thickBot="1">
      <c r="A1" s="932"/>
      <c r="B1" s="325" t="str">
        <f>'Building Input'!B1</f>
        <v>Green Star SA - Public &amp; Education Building v1</v>
      </c>
      <c r="D1" s="554"/>
      <c r="E1" s="554"/>
      <c r="F1" s="554"/>
      <c r="G1" s="554"/>
      <c r="O1" s="974"/>
      <c r="P1" s="974"/>
      <c r="Q1" s="973"/>
      <c r="R1" s="973"/>
      <c r="S1" s="973"/>
      <c r="T1" s="973"/>
      <c r="U1" s="973"/>
      <c r="V1" s="973"/>
      <c r="W1" s="973"/>
      <c r="X1" s="973"/>
      <c r="Y1" s="973"/>
      <c r="Z1" s="973"/>
      <c r="AA1" s="973"/>
      <c r="AB1" s="973"/>
      <c r="AC1" s="973"/>
      <c r="AD1" s="973"/>
      <c r="AE1" s="973"/>
      <c r="AF1" s="973"/>
      <c r="AG1" s="973"/>
      <c r="AH1" s="973"/>
      <c r="AI1" s="973"/>
      <c r="AJ1" s="973"/>
    </row>
    <row r="2" spans="1:36" s="555" customFormat="1" ht="27" customHeight="1" thickBot="1">
      <c r="A2" s="326"/>
      <c r="B2" s="933" t="s">
        <v>105</v>
      </c>
      <c r="C2" s="327"/>
      <c r="H2" s="556"/>
      <c r="I2" s="2427" t="s">
        <v>980</v>
      </c>
      <c r="J2" s="2428"/>
      <c r="K2" s="2429"/>
      <c r="L2" s="475">
        <f>D31</f>
        <v>0</v>
      </c>
      <c r="M2" s="556"/>
      <c r="N2" s="556"/>
      <c r="O2" s="976"/>
      <c r="P2" s="976"/>
      <c r="Q2" s="975"/>
      <c r="R2" s="975"/>
      <c r="S2" s="975"/>
      <c r="T2" s="975"/>
      <c r="U2" s="975"/>
      <c r="V2" s="975"/>
      <c r="W2" s="975"/>
      <c r="X2" s="975"/>
      <c r="Y2" s="975"/>
      <c r="Z2" s="975"/>
      <c r="AA2" s="975"/>
      <c r="AB2" s="975"/>
      <c r="AC2" s="2423"/>
      <c r="AD2" s="2423"/>
      <c r="AE2" s="2423"/>
      <c r="AF2" s="2423"/>
      <c r="AG2" s="977"/>
      <c r="AH2" s="975"/>
      <c r="AI2" s="975"/>
      <c r="AJ2" s="975"/>
    </row>
    <row r="3" spans="1:36" s="557" customFormat="1" ht="27" hidden="1" customHeight="1">
      <c r="A3" s="328"/>
      <c r="C3" s="558"/>
      <c r="D3" s="558"/>
      <c r="E3" s="558"/>
      <c r="F3" s="558"/>
      <c r="G3" s="558"/>
      <c r="H3" s="558"/>
      <c r="I3" s="558"/>
      <c r="J3" s="558"/>
      <c r="K3" s="558"/>
      <c r="L3" s="558"/>
      <c r="M3" s="558"/>
      <c r="N3" s="558"/>
      <c r="O3" s="978"/>
      <c r="P3" s="980" t="s">
        <v>1204</v>
      </c>
      <c r="Q3" s="979"/>
      <c r="R3" s="979"/>
      <c r="S3" s="979"/>
      <c r="T3" s="978"/>
      <c r="U3" s="978"/>
      <c r="V3" s="978"/>
      <c r="W3" s="978"/>
      <c r="X3" s="978"/>
      <c r="Y3" s="978"/>
      <c r="Z3" s="978"/>
      <c r="AA3" s="978"/>
      <c r="AB3" s="978"/>
      <c r="AC3" s="981"/>
      <c r="AD3" s="981"/>
      <c r="AE3" s="981"/>
      <c r="AF3" s="981"/>
      <c r="AG3" s="978"/>
      <c r="AH3" s="978"/>
      <c r="AI3" s="978"/>
      <c r="AJ3" s="978"/>
    </row>
    <row r="4" spans="1:36" s="557" customFormat="1" ht="27" hidden="1" customHeight="1">
      <c r="A4" s="328"/>
      <c r="O4" s="978"/>
      <c r="P4" s="980"/>
      <c r="Q4" s="979"/>
      <c r="R4" s="979"/>
      <c r="S4" s="979"/>
      <c r="T4" s="978"/>
      <c r="U4" s="978"/>
      <c r="V4" s="978"/>
      <c r="W4" s="978"/>
      <c r="X4" s="978"/>
      <c r="Y4" s="978"/>
      <c r="Z4" s="978"/>
      <c r="AA4" s="978"/>
      <c r="AB4" s="978"/>
      <c r="AC4" s="981"/>
      <c r="AD4" s="981"/>
      <c r="AE4" s="981"/>
      <c r="AF4" s="981"/>
      <c r="AG4" s="978"/>
      <c r="AH4" s="978"/>
      <c r="AI4" s="978"/>
      <c r="AJ4" s="978"/>
    </row>
    <row r="5" spans="1:36" s="557" customFormat="1" ht="9" customHeight="1">
      <c r="A5" s="328"/>
      <c r="O5" s="978"/>
      <c r="P5" s="980"/>
      <c r="Q5" s="979"/>
      <c r="R5" s="979"/>
      <c r="S5" s="979"/>
      <c r="T5" s="978"/>
      <c r="U5" s="978"/>
      <c r="V5" s="978"/>
      <c r="W5" s="978"/>
      <c r="X5" s="978"/>
      <c r="Y5" s="978"/>
      <c r="Z5" s="978"/>
      <c r="AA5" s="978"/>
      <c r="AB5" s="978"/>
      <c r="AC5" s="981"/>
      <c r="AD5" s="981" t="b">
        <v>0</v>
      </c>
      <c r="AE5" s="981"/>
      <c r="AF5" s="981"/>
      <c r="AG5" s="978"/>
      <c r="AH5" s="978"/>
      <c r="AI5" s="978"/>
      <c r="AJ5" s="978"/>
    </row>
    <row r="6" spans="1:36" s="557" customFormat="1" ht="16.5" customHeight="1">
      <c r="A6" s="328"/>
      <c r="B6" s="560" t="s">
        <v>507</v>
      </c>
      <c r="O6" s="978"/>
      <c r="P6" s="980"/>
      <c r="Q6" s="979"/>
      <c r="R6" s="979"/>
      <c r="S6" s="979"/>
      <c r="T6" s="978"/>
      <c r="U6" s="978"/>
      <c r="V6" s="978"/>
      <c r="W6" s="978"/>
      <c r="X6" s="978"/>
      <c r="Y6" s="978"/>
      <c r="Z6" s="978"/>
      <c r="AA6" s="978"/>
      <c r="AB6" s="978"/>
      <c r="AC6" s="981"/>
      <c r="AD6" s="981"/>
      <c r="AE6" s="981"/>
      <c r="AF6" s="981"/>
      <c r="AG6" s="978"/>
      <c r="AH6" s="978"/>
      <c r="AI6" s="978"/>
      <c r="AJ6" s="978"/>
    </row>
    <row r="7" spans="1:36" s="557" customFormat="1" ht="18.75" customHeight="1">
      <c r="A7" s="328"/>
      <c r="B7" s="541" t="s">
        <v>231</v>
      </c>
      <c r="O7" s="978"/>
      <c r="P7" s="980"/>
      <c r="Q7" s="979"/>
      <c r="R7" s="979"/>
      <c r="S7" s="979"/>
      <c r="T7" s="978"/>
      <c r="U7" s="978"/>
      <c r="V7" s="978"/>
      <c r="W7" s="978"/>
      <c r="X7" s="978"/>
      <c r="Y7" s="978"/>
      <c r="Z7" s="978"/>
      <c r="AA7" s="978"/>
      <c r="AB7" s="978"/>
      <c r="AC7" s="981"/>
      <c r="AD7" s="981"/>
      <c r="AE7" s="981"/>
      <c r="AF7" s="981"/>
      <c r="AG7" s="978"/>
      <c r="AH7" s="978"/>
      <c r="AI7" s="978"/>
      <c r="AJ7" s="978"/>
    </row>
    <row r="8" spans="1:36" s="557" customFormat="1" ht="15.75" customHeight="1">
      <c r="A8" s="328"/>
      <c r="B8" s="541" t="s">
        <v>407</v>
      </c>
      <c r="O8" s="978"/>
      <c r="P8" s="980"/>
      <c r="Q8" s="979"/>
      <c r="R8" s="979"/>
      <c r="S8" s="979"/>
      <c r="T8" s="978"/>
      <c r="U8" s="978"/>
      <c r="V8" s="978"/>
      <c r="W8" s="978"/>
      <c r="X8" s="978"/>
      <c r="Y8" s="978"/>
      <c r="Z8" s="978"/>
      <c r="AA8" s="978"/>
      <c r="AB8" s="978"/>
      <c r="AC8" s="981"/>
      <c r="AD8" s="981"/>
      <c r="AE8" s="981"/>
      <c r="AF8" s="981"/>
      <c r="AG8" s="978"/>
      <c r="AH8" s="978"/>
      <c r="AI8" s="978"/>
      <c r="AJ8" s="978"/>
    </row>
    <row r="9" spans="1:36" s="557" customFormat="1" ht="15.75" customHeight="1">
      <c r="A9" s="328"/>
      <c r="B9" s="541"/>
      <c r="O9" s="978"/>
      <c r="P9" s="980"/>
      <c r="Q9" s="979"/>
      <c r="R9" s="979"/>
      <c r="S9" s="979"/>
      <c r="T9" s="978"/>
      <c r="U9" s="978"/>
      <c r="V9" s="978"/>
      <c r="W9" s="978"/>
      <c r="X9" s="978"/>
      <c r="Y9" s="978"/>
      <c r="Z9" s="978"/>
      <c r="AA9" s="978"/>
      <c r="AB9" s="978"/>
      <c r="AC9" s="981"/>
      <c r="AD9" s="981"/>
      <c r="AE9" s="981"/>
      <c r="AF9" s="981"/>
      <c r="AG9" s="978"/>
      <c r="AH9" s="978"/>
      <c r="AI9" s="978"/>
      <c r="AJ9" s="978"/>
    </row>
    <row r="10" spans="1:36" s="557" customFormat="1" ht="6" customHeight="1">
      <c r="A10" s="328"/>
      <c r="O10" s="978"/>
      <c r="P10" s="980"/>
      <c r="Q10" s="979"/>
      <c r="R10" s="979"/>
      <c r="S10" s="979"/>
      <c r="T10" s="978"/>
      <c r="U10" s="978"/>
      <c r="V10" s="978"/>
      <c r="W10" s="978"/>
      <c r="X10" s="978"/>
      <c r="Y10" s="978"/>
      <c r="Z10" s="978"/>
      <c r="AA10" s="978"/>
      <c r="AB10" s="978"/>
      <c r="AC10" s="981"/>
      <c r="AD10" s="981"/>
      <c r="AE10" s="981"/>
      <c r="AF10" s="981"/>
      <c r="AG10" s="978"/>
      <c r="AH10" s="978"/>
      <c r="AI10" s="978"/>
      <c r="AJ10" s="978"/>
    </row>
    <row r="11" spans="1:36" s="557" customFormat="1" ht="20.25" customHeight="1" thickBot="1">
      <c r="A11" s="328"/>
      <c r="B11" s="561" t="s">
        <v>330</v>
      </c>
      <c r="C11" s="926"/>
      <c r="D11" s="926"/>
      <c r="E11" s="926"/>
      <c r="F11" s="926"/>
      <c r="G11" s="926"/>
      <c r="H11" s="561" t="s">
        <v>1324</v>
      </c>
      <c r="I11" s="926"/>
      <c r="J11" s="926"/>
      <c r="K11" s="926"/>
      <c r="L11" s="926"/>
      <c r="M11" s="926"/>
      <c r="N11" s="926"/>
      <c r="O11" s="1084"/>
      <c r="P11" s="980" t="s">
        <v>325</v>
      </c>
      <c r="Q11" s="979"/>
      <c r="R11" s="979"/>
      <c r="S11" s="979"/>
      <c r="T11" s="978"/>
      <c r="U11" s="978"/>
      <c r="V11" s="978"/>
      <c r="W11" s="978"/>
      <c r="X11" s="978"/>
      <c r="Y11" s="978"/>
      <c r="Z11" s="978"/>
      <c r="AA11" s="978"/>
      <c r="AB11" s="978"/>
      <c r="AC11" s="981"/>
      <c r="AD11" s="981"/>
      <c r="AE11" s="981"/>
      <c r="AF11" s="981"/>
      <c r="AG11" s="978"/>
      <c r="AH11" s="978"/>
      <c r="AI11" s="978"/>
      <c r="AJ11" s="978"/>
    </row>
    <row r="12" spans="1:36" s="559" customFormat="1" ht="21.75" customHeight="1" thickBot="1">
      <c r="B12" s="2424" t="s">
        <v>769</v>
      </c>
      <c r="C12" s="2371"/>
      <c r="D12" s="2371"/>
      <c r="E12" s="2371"/>
      <c r="F12" s="2372"/>
      <c r="H12" s="2424" t="s">
        <v>769</v>
      </c>
      <c r="I12" s="2371"/>
      <c r="J12" s="2371"/>
      <c r="K12" s="2371"/>
      <c r="L12" s="2372"/>
      <c r="O12" s="981"/>
      <c r="P12" s="983" t="s">
        <v>748</v>
      </c>
      <c r="Q12" s="965"/>
      <c r="R12" s="965"/>
      <c r="S12" s="965"/>
      <c r="T12" s="965"/>
      <c r="U12" s="965"/>
      <c r="V12" s="965"/>
      <c r="W12" s="965"/>
      <c r="X12" s="965"/>
      <c r="Y12" s="965"/>
      <c r="Z12" s="981"/>
      <c r="AA12" s="981"/>
      <c r="AB12" s="981"/>
      <c r="AC12" s="562"/>
      <c r="AD12" s="563"/>
      <c r="AE12" s="563"/>
      <c r="AF12" s="563"/>
      <c r="AG12" s="563"/>
      <c r="AH12" s="563"/>
      <c r="AI12" s="563"/>
      <c r="AJ12" s="563"/>
    </row>
    <row r="13" spans="1:36" s="559" customFormat="1" ht="21.75" customHeight="1" thickBot="1">
      <c r="B13" s="1237"/>
      <c r="C13" s="2425" t="s">
        <v>685</v>
      </c>
      <c r="D13" s="2426"/>
      <c r="E13" s="2425" t="s">
        <v>115</v>
      </c>
      <c r="F13" s="2426"/>
      <c r="G13" s="926"/>
      <c r="H13" s="1237"/>
      <c r="I13" s="2425" t="s">
        <v>685</v>
      </c>
      <c r="J13" s="2426"/>
      <c r="K13" s="2425" t="s">
        <v>115</v>
      </c>
      <c r="L13" s="2426"/>
      <c r="O13" s="984"/>
      <c r="P13" s="983"/>
      <c r="Q13" s="965"/>
      <c r="R13" s="965"/>
      <c r="S13" s="965"/>
      <c r="T13" s="965"/>
      <c r="U13" s="965"/>
      <c r="V13" s="965"/>
      <c r="W13" s="965"/>
      <c r="X13" s="965"/>
      <c r="Y13" s="965"/>
      <c r="Z13" s="981"/>
      <c r="AA13" s="981"/>
      <c r="AB13" s="981"/>
      <c r="AC13" s="565"/>
      <c r="AD13" s="566"/>
      <c r="AE13" s="566"/>
      <c r="AF13" s="566"/>
      <c r="AG13" s="566"/>
      <c r="AH13" s="566"/>
      <c r="AI13" s="566"/>
      <c r="AJ13" s="566"/>
    </row>
    <row r="14" spans="1:36" s="559" customFormat="1" ht="41.25" customHeight="1" thickBot="1">
      <c r="B14" s="2417" t="s">
        <v>1125</v>
      </c>
      <c r="C14" s="2415" t="s">
        <v>1126</v>
      </c>
      <c r="D14" s="2416"/>
      <c r="E14" s="2415" t="s">
        <v>1126</v>
      </c>
      <c r="F14" s="2416"/>
      <c r="G14" s="926"/>
      <c r="H14" s="2417" t="s">
        <v>1125</v>
      </c>
      <c r="I14" s="2415" t="s">
        <v>1126</v>
      </c>
      <c r="J14" s="2416"/>
      <c r="K14" s="2415" t="s">
        <v>1126</v>
      </c>
      <c r="L14" s="2416"/>
      <c r="O14" s="985"/>
      <c r="P14" s="965" t="s">
        <v>1466</v>
      </c>
      <c r="Q14" s="965"/>
      <c r="R14" s="965"/>
      <c r="S14" s="965"/>
      <c r="T14" s="965"/>
      <c r="U14" s="965"/>
      <c r="V14" s="965"/>
      <c r="W14" s="965"/>
      <c r="X14" s="965"/>
      <c r="Y14" s="965"/>
      <c r="Z14" s="981"/>
      <c r="AA14" s="981"/>
      <c r="AB14" s="981"/>
      <c r="AC14" s="567"/>
      <c r="AD14" s="568"/>
      <c r="AE14" s="568"/>
      <c r="AF14" s="568"/>
      <c r="AG14" s="568"/>
      <c r="AH14" s="568"/>
      <c r="AI14" s="568"/>
      <c r="AJ14" s="568"/>
    </row>
    <row r="15" spans="1:36" s="560" customFormat="1" ht="41.25" customHeight="1" thickBot="1">
      <c r="B15" s="2418"/>
      <c r="C15" s="1238" t="s">
        <v>605</v>
      </c>
      <c r="D15" s="1239" t="s">
        <v>606</v>
      </c>
      <c r="E15" s="1238" t="s">
        <v>605</v>
      </c>
      <c r="F15" s="1239" t="s">
        <v>606</v>
      </c>
      <c r="H15" s="2418"/>
      <c r="I15" s="1238" t="s">
        <v>605</v>
      </c>
      <c r="J15" s="1239" t="s">
        <v>606</v>
      </c>
      <c r="K15" s="1238" t="s">
        <v>605</v>
      </c>
      <c r="L15" s="1239" t="s">
        <v>606</v>
      </c>
      <c r="M15" s="559"/>
      <c r="N15" s="559"/>
      <c r="O15" s="986"/>
      <c r="P15" s="965"/>
      <c r="Q15" s="965"/>
      <c r="R15" s="965"/>
      <c r="S15" s="965"/>
      <c r="T15" s="965"/>
      <c r="U15" s="965"/>
      <c r="V15" s="965"/>
      <c r="W15" s="965"/>
      <c r="X15" s="965"/>
      <c r="Y15" s="965"/>
      <c r="Z15" s="982"/>
      <c r="AA15" s="982"/>
      <c r="AB15" s="982"/>
      <c r="AC15" s="567"/>
      <c r="AD15" s="568"/>
      <c r="AE15" s="568"/>
      <c r="AF15" s="568"/>
      <c r="AG15" s="568"/>
      <c r="AH15" s="568"/>
      <c r="AI15" s="568"/>
      <c r="AJ15" s="568"/>
    </row>
    <row r="16" spans="1:36" s="569" customFormat="1" ht="20.100000000000001" customHeight="1" thickBot="1">
      <c r="B16" s="1240" t="s">
        <v>607</v>
      </c>
      <c r="C16" s="839"/>
      <c r="D16" s="840"/>
      <c r="E16" s="839"/>
      <c r="F16" s="840"/>
      <c r="G16" s="570"/>
      <c r="H16" s="1240" t="s">
        <v>607</v>
      </c>
      <c r="I16" s="839"/>
      <c r="J16" s="840"/>
      <c r="K16" s="839"/>
      <c r="L16" s="840"/>
      <c r="M16" s="559"/>
      <c r="N16" s="559"/>
      <c r="O16" s="988"/>
      <c r="P16" s="989" t="s">
        <v>608</v>
      </c>
      <c r="Q16" s="990"/>
      <c r="R16" s="990"/>
      <c r="S16" s="991"/>
      <c r="T16" s="992" t="s">
        <v>328</v>
      </c>
      <c r="U16" s="992" t="s">
        <v>1325</v>
      </c>
      <c r="V16" s="987"/>
      <c r="W16" s="989" t="s">
        <v>609</v>
      </c>
      <c r="X16" s="991"/>
      <c r="Y16" s="969"/>
      <c r="Z16" s="987"/>
      <c r="AA16" s="987"/>
      <c r="AB16" s="987"/>
      <c r="AC16" s="571"/>
      <c r="AD16" s="572"/>
      <c r="AE16" s="572"/>
      <c r="AF16" s="572"/>
      <c r="AG16" s="572"/>
      <c r="AH16" s="572"/>
      <c r="AI16" s="572"/>
      <c r="AJ16" s="572"/>
    </row>
    <row r="17" spans="1:49" s="569" customFormat="1" ht="20.100000000000001" customHeight="1" thickBot="1">
      <c r="B17" s="1240" t="s">
        <v>610</v>
      </c>
      <c r="C17" s="839"/>
      <c r="D17" s="840"/>
      <c r="E17" s="839"/>
      <c r="F17" s="1241"/>
      <c r="G17" s="570"/>
      <c r="H17" s="1240" t="s">
        <v>610</v>
      </c>
      <c r="I17" s="839"/>
      <c r="J17" s="840"/>
      <c r="K17" s="839"/>
      <c r="L17" s="1242"/>
      <c r="M17" s="559"/>
      <c r="N17" s="559"/>
      <c r="O17" s="988"/>
      <c r="P17" s="993"/>
      <c r="Q17" s="967"/>
      <c r="R17" s="967"/>
      <c r="S17" s="994"/>
      <c r="T17" s="1082" t="s">
        <v>201</v>
      </c>
      <c r="U17" s="1082" t="s">
        <v>201</v>
      </c>
      <c r="V17" s="987"/>
      <c r="W17" s="2410" t="s">
        <v>329</v>
      </c>
      <c r="X17" s="2411"/>
      <c r="Y17" s="969"/>
      <c r="Z17" s="987"/>
      <c r="AA17" s="987"/>
      <c r="AB17" s="987"/>
      <c r="AC17" s="571"/>
      <c r="AD17" s="572"/>
      <c r="AE17" s="572"/>
      <c r="AF17" s="572"/>
      <c r="AG17" s="572"/>
      <c r="AH17" s="572"/>
      <c r="AI17" s="572"/>
      <c r="AJ17" s="572"/>
    </row>
    <row r="18" spans="1:49" s="569" customFormat="1" ht="20.100000000000001" customHeight="1">
      <c r="B18" s="1240" t="s">
        <v>611</v>
      </c>
      <c r="C18" s="839"/>
      <c r="D18" s="840"/>
      <c r="E18" s="839"/>
      <c r="F18" s="1241"/>
      <c r="G18" s="570"/>
      <c r="H18" s="1240" t="s">
        <v>611</v>
      </c>
      <c r="I18" s="839"/>
      <c r="J18" s="840"/>
      <c r="K18" s="839"/>
      <c r="L18" s="1242"/>
      <c r="M18" s="559"/>
      <c r="N18" s="559"/>
      <c r="O18" s="988"/>
      <c r="P18" s="995" t="s">
        <v>482</v>
      </c>
      <c r="Q18" s="996"/>
      <c r="R18" s="2412" t="s">
        <v>483</v>
      </c>
      <c r="S18" s="2413"/>
      <c r="T18" s="997"/>
      <c r="U18" s="994"/>
      <c r="V18" s="987"/>
      <c r="W18" s="1080" t="s">
        <v>438</v>
      </c>
      <c r="X18" s="1082" t="s">
        <v>658</v>
      </c>
      <c r="Y18" s="969"/>
      <c r="Z18" s="987"/>
      <c r="AA18" s="987"/>
      <c r="AB18" s="987"/>
      <c r="AC18" s="987"/>
      <c r="AD18" s="987"/>
      <c r="AE18" s="987"/>
      <c r="AF18" s="987"/>
      <c r="AG18" s="987"/>
      <c r="AH18" s="987"/>
      <c r="AI18" s="987"/>
      <c r="AJ18" s="987"/>
    </row>
    <row r="19" spans="1:49" s="569" customFormat="1" ht="20.100000000000001" customHeight="1" thickBot="1">
      <c r="B19" s="1243" t="s">
        <v>650</v>
      </c>
      <c r="C19" s="841"/>
      <c r="D19" s="842"/>
      <c r="E19" s="1244"/>
      <c r="F19" s="1245"/>
      <c r="G19" s="570"/>
      <c r="H19" s="1243" t="s">
        <v>650</v>
      </c>
      <c r="I19" s="841"/>
      <c r="J19" s="842"/>
      <c r="K19" s="1246"/>
      <c r="L19" s="1247"/>
      <c r="M19" s="559"/>
      <c r="N19" s="559"/>
      <c r="O19" s="968"/>
      <c r="P19" s="998" t="s">
        <v>651</v>
      </c>
      <c r="Q19" s="1081" t="s">
        <v>652</v>
      </c>
      <c r="R19" s="1081" t="s">
        <v>651</v>
      </c>
      <c r="S19" s="1082" t="s">
        <v>652</v>
      </c>
      <c r="T19" s="994"/>
      <c r="U19" s="999"/>
      <c r="V19" s="987"/>
      <c r="W19" s="1000">
        <v>10</v>
      </c>
      <c r="X19" s="999">
        <v>1</v>
      </c>
      <c r="Y19" s="969"/>
      <c r="Z19" s="987"/>
      <c r="AA19" s="987"/>
      <c r="AB19" s="987"/>
      <c r="AC19" s="987"/>
      <c r="AD19" s="987"/>
      <c r="AE19" s="987"/>
      <c r="AF19" s="987"/>
      <c r="AG19" s="987"/>
      <c r="AH19" s="987"/>
      <c r="AI19" s="987"/>
      <c r="AJ19" s="987"/>
    </row>
    <row r="20" spans="1:49" s="559" customFormat="1" ht="15" customHeight="1" thickBot="1">
      <c r="B20" s="926"/>
      <c r="C20" s="926"/>
      <c r="D20" s="926"/>
      <c r="E20" s="926"/>
      <c r="F20" s="926"/>
      <c r="G20" s="926"/>
      <c r="H20" s="561"/>
      <c r="I20" s="561"/>
      <c r="J20" s="561"/>
      <c r="K20" s="561"/>
      <c r="L20" s="561"/>
      <c r="M20" s="561"/>
      <c r="N20" s="561"/>
      <c r="O20" s="1001"/>
      <c r="P20" s="1002">
        <v>6</v>
      </c>
      <c r="Q20" s="970">
        <v>4</v>
      </c>
      <c r="R20" s="970">
        <v>3</v>
      </c>
      <c r="S20" s="1003">
        <v>1</v>
      </c>
      <c r="T20" s="1003">
        <f>C16*P20+D16*Q20 +E16*R20+F16*S20</f>
        <v>0</v>
      </c>
      <c r="U20" s="1003">
        <f>I16*P20+J16*Q20 +K16*R20+L16*S20</f>
        <v>0</v>
      </c>
      <c r="V20" s="981"/>
      <c r="W20" s="1002">
        <v>20</v>
      </c>
      <c r="X20" s="1003">
        <v>2</v>
      </c>
      <c r="Y20" s="965"/>
      <c r="Z20" s="981"/>
      <c r="AA20" s="981"/>
      <c r="AB20" s="981"/>
      <c r="AC20" s="981"/>
      <c r="AD20" s="981"/>
      <c r="AE20" s="981"/>
      <c r="AF20" s="981"/>
      <c r="AG20" s="981"/>
      <c r="AH20" s="981"/>
      <c r="AI20" s="981"/>
      <c r="AJ20" s="981"/>
    </row>
    <row r="21" spans="1:49" s="559" customFormat="1" ht="15.75" customHeight="1" thickBot="1">
      <c r="B21" s="561" t="s">
        <v>330</v>
      </c>
      <c r="D21" s="926"/>
      <c r="E21" s="926"/>
      <c r="F21" s="926"/>
      <c r="G21" s="926"/>
      <c r="H21" s="561" t="s">
        <v>1324</v>
      </c>
      <c r="I21" s="561"/>
      <c r="J21" s="561"/>
      <c r="K21" s="561"/>
      <c r="L21" s="561"/>
      <c r="M21" s="561"/>
      <c r="N21" s="561"/>
      <c r="O21" s="1004"/>
      <c r="P21" s="1002">
        <v>5</v>
      </c>
      <c r="Q21" s="970">
        <v>3</v>
      </c>
      <c r="R21" s="970">
        <v>2</v>
      </c>
      <c r="S21" s="1003">
        <v>0</v>
      </c>
      <c r="T21" s="1003">
        <f>C17*P21+D17*Q21+E17*R21+F17*S21</f>
        <v>0</v>
      </c>
      <c r="U21" s="1003">
        <f>I17*P21+J17*Q21 +K17*R21+L17*S21</f>
        <v>0</v>
      </c>
      <c r="V21" s="981"/>
      <c r="W21" s="1002">
        <v>40</v>
      </c>
      <c r="X21" s="1003">
        <v>3</v>
      </c>
      <c r="Y21" s="965"/>
      <c r="Z21" s="981"/>
      <c r="AA21" s="981"/>
      <c r="AB21" s="981"/>
      <c r="AC21" s="981"/>
      <c r="AD21" s="981"/>
      <c r="AE21" s="981"/>
      <c r="AF21" s="981"/>
      <c r="AG21" s="981"/>
      <c r="AH21" s="981"/>
      <c r="AI21" s="981"/>
      <c r="AJ21" s="981"/>
    </row>
    <row r="22" spans="1:49" s="559" customFormat="1" ht="16.5" customHeight="1" thickBot="1">
      <c r="B22" s="1248" t="s">
        <v>770</v>
      </c>
      <c r="C22" s="1249"/>
      <c r="D22" s="1250"/>
      <c r="E22" s="926"/>
      <c r="F22" s="926"/>
      <c r="G22" s="926"/>
      <c r="H22" s="1248" t="s">
        <v>770</v>
      </c>
      <c r="I22" s="1249"/>
      <c r="J22" s="1250"/>
      <c r="O22" s="573"/>
      <c r="P22" s="1002">
        <v>4</v>
      </c>
      <c r="Q22" s="970">
        <v>2</v>
      </c>
      <c r="R22" s="970">
        <v>1</v>
      </c>
      <c r="S22" s="1003">
        <v>0</v>
      </c>
      <c r="T22" s="1003">
        <f>C18*P22+D18*Q22+E18*R22+F18*S22</f>
        <v>0</v>
      </c>
      <c r="U22" s="1003">
        <f>I18*P22+J18*Q22 +K18*R22+L18*S22</f>
        <v>0</v>
      </c>
      <c r="V22" s="981"/>
      <c r="W22" s="1005">
        <v>60</v>
      </c>
      <c r="X22" s="1006">
        <v>4</v>
      </c>
      <c r="Y22" s="965"/>
      <c r="Z22" s="981"/>
      <c r="AA22" s="981"/>
      <c r="AB22" s="981"/>
      <c r="AC22" s="981"/>
      <c r="AD22" s="981"/>
      <c r="AE22" s="981"/>
      <c r="AF22" s="981"/>
      <c r="AG22" s="981"/>
      <c r="AH22" s="981"/>
      <c r="AI22" s="981"/>
      <c r="AJ22" s="981"/>
    </row>
    <row r="23" spans="1:49" s="559" customFormat="1" ht="41.25" customHeight="1">
      <c r="B23" s="2417" t="s">
        <v>1125</v>
      </c>
      <c r="C23" s="2415" t="s">
        <v>1126</v>
      </c>
      <c r="D23" s="2416"/>
      <c r="E23" s="926"/>
      <c r="F23" s="926"/>
      <c r="G23" s="926"/>
      <c r="H23" s="2417" t="s">
        <v>1125</v>
      </c>
      <c r="I23" s="2415" t="s">
        <v>1126</v>
      </c>
      <c r="J23" s="2416"/>
      <c r="O23" s="574"/>
      <c r="P23" s="1002">
        <v>3</v>
      </c>
      <c r="Q23" s="970">
        <v>1</v>
      </c>
      <c r="R23" s="970">
        <v>0</v>
      </c>
      <c r="S23" s="1003">
        <v>0</v>
      </c>
      <c r="T23" s="1003">
        <f>C19*P23+D19*Q23+E19*R23+F19*S23</f>
        <v>0</v>
      </c>
      <c r="U23" s="1003">
        <f>I19*P23+J19*Q23 +K19*R23+L19*S23</f>
        <v>0</v>
      </c>
      <c r="V23" s="981"/>
      <c r="W23" s="1007"/>
      <c r="X23" s="1008"/>
      <c r="Y23" s="965"/>
      <c r="Z23" s="981"/>
      <c r="AA23" s="981"/>
      <c r="AB23" s="981"/>
      <c r="AC23" s="981"/>
      <c r="AD23" s="981"/>
      <c r="AE23" s="981"/>
      <c r="AF23" s="981"/>
      <c r="AG23" s="981"/>
      <c r="AH23" s="981"/>
      <c r="AI23" s="981"/>
      <c r="AJ23" s="981"/>
    </row>
    <row r="24" spans="1:49" s="559" customFormat="1" ht="41.25" customHeight="1" thickBot="1">
      <c r="B24" s="2418"/>
      <c r="C24" s="1251" t="s">
        <v>605</v>
      </c>
      <c r="D24" s="1239" t="s">
        <v>606</v>
      </c>
      <c r="E24" s="926"/>
      <c r="F24" s="926"/>
      <c r="G24" s="926"/>
      <c r="H24" s="2418"/>
      <c r="I24" s="1251" t="s">
        <v>605</v>
      </c>
      <c r="J24" s="1239" t="s">
        <v>606</v>
      </c>
      <c r="O24" s="1009"/>
      <c r="P24" s="1010"/>
      <c r="Q24" s="1011"/>
      <c r="R24" s="1011"/>
      <c r="S24" s="1012"/>
      <c r="T24" s="1012"/>
      <c r="U24" s="1012"/>
      <c r="V24" s="981"/>
      <c r="W24" s="2419" t="s">
        <v>1326</v>
      </c>
      <c r="X24" s="2420"/>
      <c r="Y24" s="965"/>
      <c r="Z24" s="981"/>
      <c r="AA24" s="981"/>
      <c r="AB24" s="981"/>
      <c r="AC24" s="981"/>
      <c r="AD24" s="981"/>
      <c r="AE24" s="981"/>
      <c r="AF24" s="981"/>
      <c r="AG24" s="981"/>
      <c r="AH24" s="981"/>
      <c r="AI24" s="981"/>
      <c r="AJ24" s="981"/>
    </row>
    <row r="25" spans="1:49" s="569" customFormat="1" ht="20.100000000000001" customHeight="1">
      <c r="B25" s="1240" t="s">
        <v>607</v>
      </c>
      <c r="C25" s="843"/>
      <c r="D25" s="840"/>
      <c r="E25" s="570"/>
      <c r="F25" s="570"/>
      <c r="G25" s="570"/>
      <c r="H25" s="1240" t="s">
        <v>607</v>
      </c>
      <c r="I25" s="843"/>
      <c r="J25" s="840"/>
      <c r="K25" s="559"/>
      <c r="L25" s="559"/>
      <c r="M25" s="559"/>
      <c r="N25" s="559"/>
      <c r="O25" s="1013"/>
      <c r="P25" s="993"/>
      <c r="Q25" s="967"/>
      <c r="R25" s="967"/>
      <c r="S25" s="994"/>
      <c r="T25" s="994"/>
      <c r="U25" s="999"/>
      <c r="V25" s="987"/>
      <c r="W25" s="1080" t="s">
        <v>438</v>
      </c>
      <c r="X25" s="1082" t="s">
        <v>658</v>
      </c>
      <c r="Y25" s="969"/>
      <c r="Z25" s="987"/>
      <c r="AA25" s="987"/>
      <c r="AB25" s="987"/>
      <c r="AC25" s="987"/>
      <c r="AD25" s="987"/>
      <c r="AE25" s="987"/>
      <c r="AF25" s="987"/>
      <c r="AG25" s="987"/>
      <c r="AH25" s="987"/>
      <c r="AI25" s="987"/>
      <c r="AJ25" s="987"/>
    </row>
    <row r="26" spans="1:49" s="569" customFormat="1" ht="20.100000000000001" customHeight="1">
      <c r="B26" s="1240" t="s">
        <v>610</v>
      </c>
      <c r="C26" s="843"/>
      <c r="D26" s="840"/>
      <c r="E26" s="570"/>
      <c r="F26" s="570"/>
      <c r="G26" s="570"/>
      <c r="H26" s="1240" t="s">
        <v>610</v>
      </c>
      <c r="I26" s="843"/>
      <c r="J26" s="840"/>
      <c r="K26" s="559"/>
      <c r="L26" s="559"/>
      <c r="M26" s="559"/>
      <c r="N26" s="559"/>
      <c r="O26" s="988"/>
      <c r="P26" s="1000"/>
      <c r="Q26" s="996"/>
      <c r="R26" s="996"/>
      <c r="S26" s="999"/>
      <c r="T26" s="999"/>
      <c r="U26" s="999"/>
      <c r="V26" s="987"/>
      <c r="W26" s="1000">
        <v>20</v>
      </c>
      <c r="X26" s="999">
        <v>1</v>
      </c>
      <c r="Y26" s="969"/>
      <c r="Z26" s="987"/>
      <c r="AA26" s="987"/>
      <c r="AB26" s="987"/>
      <c r="AC26" s="987"/>
      <c r="AD26" s="987"/>
      <c r="AE26" s="987"/>
      <c r="AF26" s="987"/>
      <c r="AG26" s="987"/>
      <c r="AH26" s="987"/>
      <c r="AI26" s="987"/>
      <c r="AJ26" s="987"/>
    </row>
    <row r="27" spans="1:49" s="569" customFormat="1" ht="20.100000000000001" customHeight="1" thickBot="1">
      <c r="B27" s="1240" t="s">
        <v>611</v>
      </c>
      <c r="C27" s="843"/>
      <c r="D27" s="840"/>
      <c r="E27" s="570"/>
      <c r="F27" s="570"/>
      <c r="G27" s="570"/>
      <c r="H27" s="1240" t="s">
        <v>611</v>
      </c>
      <c r="I27" s="843"/>
      <c r="J27" s="840"/>
      <c r="K27" s="559"/>
      <c r="L27" s="559"/>
      <c r="M27" s="559"/>
      <c r="N27" s="559"/>
      <c r="O27" s="988"/>
      <c r="P27" s="998" t="s">
        <v>869</v>
      </c>
      <c r="Q27" s="1081"/>
      <c r="R27" s="1081"/>
      <c r="S27" s="1082"/>
      <c r="T27" s="999"/>
      <c r="U27" s="994"/>
      <c r="V27" s="987"/>
      <c r="W27" s="1014" t="s">
        <v>334</v>
      </c>
      <c r="X27" s="1015">
        <f>IF(U33&gt;=W26,X26,0)</f>
        <v>0</v>
      </c>
      <c r="Y27" s="969"/>
      <c r="Z27" s="987"/>
      <c r="AA27" s="987"/>
      <c r="AB27" s="987"/>
      <c r="AC27" s="987"/>
      <c r="AD27" s="987"/>
      <c r="AE27" s="987"/>
      <c r="AF27" s="987"/>
      <c r="AG27" s="987"/>
      <c r="AH27" s="987"/>
      <c r="AI27" s="987"/>
      <c r="AJ27" s="987"/>
    </row>
    <row r="28" spans="1:49" s="569" customFormat="1" ht="20.100000000000001" customHeight="1" thickBot="1">
      <c r="B28" s="1243" t="s">
        <v>650</v>
      </c>
      <c r="C28" s="844"/>
      <c r="D28" s="842"/>
      <c r="E28" s="570"/>
      <c r="F28" s="570"/>
      <c r="G28" s="570"/>
      <c r="H28" s="1243" t="s">
        <v>650</v>
      </c>
      <c r="I28" s="844"/>
      <c r="J28" s="842"/>
      <c r="K28" s="559"/>
      <c r="L28" s="559"/>
      <c r="M28" s="559"/>
      <c r="N28" s="559"/>
      <c r="O28" s="988"/>
      <c r="P28" s="1000">
        <v>7</v>
      </c>
      <c r="Q28" s="996">
        <v>5</v>
      </c>
      <c r="R28" s="996"/>
      <c r="S28" s="999"/>
      <c r="T28" s="999">
        <f>C25*P28+D25*Q28</f>
        <v>0</v>
      </c>
      <c r="U28" s="999">
        <f>I25*P28+J25*Q28</f>
        <v>0</v>
      </c>
      <c r="V28" s="987"/>
      <c r="W28" s="987"/>
      <c r="X28" s="987"/>
      <c r="Y28" s="969"/>
      <c r="Z28" s="987"/>
      <c r="AA28" s="987"/>
      <c r="AB28" s="987"/>
      <c r="AC28" s="987"/>
      <c r="AD28" s="987"/>
      <c r="AE28" s="987"/>
      <c r="AF28" s="987"/>
      <c r="AG28" s="987"/>
      <c r="AH28" s="987"/>
      <c r="AI28" s="987"/>
      <c r="AJ28" s="987"/>
    </row>
    <row r="29" spans="1:49" s="559" customFormat="1" ht="15">
      <c r="B29" s="926"/>
      <c r="C29" s="926"/>
      <c r="D29" s="926"/>
      <c r="E29" s="926"/>
      <c r="F29" s="926"/>
      <c r="G29" s="926"/>
      <c r="H29" s="576"/>
      <c r="I29" s="576"/>
      <c r="J29" s="576"/>
      <c r="O29" s="988"/>
      <c r="P29" s="1002">
        <v>6</v>
      </c>
      <c r="Q29" s="970">
        <v>4</v>
      </c>
      <c r="R29" s="970"/>
      <c r="S29" s="1003"/>
      <c r="T29" s="1003">
        <f>C26*P29+D26*Q29</f>
        <v>0</v>
      </c>
      <c r="U29" s="999">
        <f>I26*P29+J26*Q29</f>
        <v>0</v>
      </c>
      <c r="V29" s="981"/>
      <c r="W29" s="970"/>
      <c r="X29" s="966"/>
      <c r="Y29" s="965"/>
      <c r="Z29" s="981"/>
      <c r="AA29" s="981"/>
      <c r="AB29" s="981"/>
      <c r="AC29" s="981"/>
      <c r="AD29" s="981"/>
      <c r="AE29" s="981"/>
      <c r="AF29" s="981"/>
      <c r="AG29" s="981"/>
      <c r="AH29" s="981"/>
      <c r="AI29" s="981"/>
      <c r="AJ29" s="981"/>
    </row>
    <row r="30" spans="1:49" s="559" customFormat="1" ht="15.75" thickBot="1">
      <c r="B30" s="926"/>
      <c r="C30" s="926"/>
      <c r="D30" s="926"/>
      <c r="E30" s="926"/>
      <c r="F30" s="926"/>
      <c r="G30" s="926"/>
      <c r="H30" s="576"/>
      <c r="I30" s="576"/>
      <c r="J30" s="576"/>
      <c r="O30" s="1017"/>
      <c r="P30" s="1002">
        <v>5</v>
      </c>
      <c r="Q30" s="970">
        <v>3</v>
      </c>
      <c r="R30" s="970"/>
      <c r="S30" s="1003"/>
      <c r="T30" s="1003">
        <f>C27*P30+D27*Q30</f>
        <v>0</v>
      </c>
      <c r="U30" s="999">
        <f>I27*P30+J27*Q30</f>
        <v>0</v>
      </c>
      <c r="V30" s="981"/>
      <c r="W30" s="970"/>
      <c r="X30" s="966"/>
      <c r="Y30" s="965"/>
      <c r="Z30" s="981"/>
      <c r="AA30" s="981"/>
      <c r="AB30" s="981"/>
      <c r="AC30" s="981"/>
      <c r="AD30" s="981"/>
      <c r="AE30" s="981"/>
      <c r="AF30" s="981"/>
      <c r="AG30" s="981"/>
      <c r="AH30" s="981"/>
      <c r="AI30" s="981"/>
      <c r="AJ30" s="981"/>
    </row>
    <row r="31" spans="1:49" s="559" customFormat="1" ht="29.25" customHeight="1" thickBot="1">
      <c r="B31" s="2421" t="s">
        <v>980</v>
      </c>
      <c r="C31" s="2422"/>
      <c r="D31" s="552">
        <f>X35</f>
        <v>0</v>
      </c>
      <c r="E31" s="926"/>
      <c r="F31" s="926"/>
      <c r="G31" s="926"/>
      <c r="H31" s="576"/>
      <c r="I31" s="576"/>
      <c r="J31" s="576"/>
      <c r="O31" s="1018"/>
      <c r="P31" s="1019">
        <v>4</v>
      </c>
      <c r="Q31" s="1020">
        <v>2</v>
      </c>
      <c r="R31" s="1020"/>
      <c r="S31" s="1021"/>
      <c r="T31" s="1003">
        <f>C28*P31+D28*Q31</f>
        <v>0</v>
      </c>
      <c r="U31" s="999">
        <f>I28*P31+J28*Q31</f>
        <v>0</v>
      </c>
      <c r="V31" s="981"/>
      <c r="W31" s="970"/>
      <c r="X31" s="966"/>
      <c r="Y31" s="965"/>
      <c r="Z31" s="981"/>
      <c r="AA31" s="981"/>
      <c r="AB31" s="981"/>
      <c r="AC31" s="981"/>
      <c r="AD31" s="981"/>
      <c r="AE31" s="981"/>
      <c r="AF31" s="981"/>
      <c r="AG31" s="981"/>
      <c r="AH31" s="981"/>
      <c r="AI31" s="981"/>
      <c r="AJ31" s="981"/>
    </row>
    <row r="32" spans="1:49" ht="29.25" customHeight="1" thickBot="1">
      <c r="A32" s="577"/>
      <c r="B32" s="578"/>
      <c r="O32" s="1022"/>
      <c r="P32" s="1023"/>
      <c r="Q32" s="1023"/>
      <c r="R32" s="1023"/>
      <c r="S32" s="1023"/>
      <c r="T32" s="1024" t="s">
        <v>332</v>
      </c>
      <c r="U32" s="1025" t="s">
        <v>333</v>
      </c>
      <c r="V32" s="1022"/>
      <c r="W32" s="1026" t="s">
        <v>1388</v>
      </c>
      <c r="Y32" s="965"/>
      <c r="AM32" s="559"/>
      <c r="AN32" s="559"/>
      <c r="AO32" s="559"/>
      <c r="AP32" s="559"/>
      <c r="AQ32" s="559"/>
      <c r="AR32" s="559"/>
      <c r="AS32" s="559"/>
      <c r="AT32" s="559"/>
      <c r="AU32" s="559"/>
      <c r="AV32" s="559"/>
      <c r="AW32" s="559"/>
    </row>
    <row r="33" spans="1:36" ht="18.75" customHeight="1" thickBot="1">
      <c r="A33" s="581"/>
      <c r="Q33" s="970"/>
      <c r="R33" s="1027" t="s">
        <v>331</v>
      </c>
      <c r="S33" s="1028"/>
      <c r="T33" s="1029">
        <f>SUM(T20:T31)</f>
        <v>0</v>
      </c>
      <c r="U33" s="1030">
        <f>SUM(U20:U31)</f>
        <v>0</v>
      </c>
      <c r="V33" s="1022"/>
      <c r="W33" s="1031" t="s">
        <v>439</v>
      </c>
      <c r="X33" s="1032">
        <f>IF(T33&lt;W19,0,VLOOKUP(T33,W19:X22,2))</f>
        <v>0</v>
      </c>
      <c r="Y33" s="965"/>
    </row>
    <row r="34" spans="1:36" s="361" customFormat="1" ht="15" customHeight="1" thickBot="1">
      <c r="B34" s="582"/>
      <c r="O34" s="965"/>
      <c r="P34" s="1033"/>
      <c r="Q34" s="965"/>
      <c r="R34" s="965"/>
      <c r="S34" s="965"/>
      <c r="T34" s="965"/>
      <c r="U34" s="965"/>
      <c r="V34" s="966"/>
      <c r="W34" s="965"/>
      <c r="X34" s="965"/>
      <c r="Y34" s="965"/>
      <c r="Z34" s="965"/>
      <c r="AA34" s="965"/>
      <c r="AB34" s="965"/>
      <c r="AC34" s="965"/>
      <c r="AD34" s="965"/>
      <c r="AE34" s="965"/>
      <c r="AF34" s="965"/>
      <c r="AG34" s="965"/>
      <c r="AH34" s="965"/>
      <c r="AI34" s="965"/>
      <c r="AJ34" s="965"/>
    </row>
    <row r="35" spans="1:36" s="361" customFormat="1" ht="18" customHeight="1" thickBot="1">
      <c r="A35" s="584"/>
      <c r="B35" s="2414"/>
      <c r="C35" s="2414"/>
      <c r="D35" s="2414"/>
      <c r="E35" s="2414"/>
      <c r="F35" s="2414"/>
      <c r="G35" s="2414"/>
      <c r="H35" s="2414"/>
      <c r="I35" s="2414"/>
      <c r="J35" s="2414"/>
      <c r="K35" s="2414"/>
      <c r="L35" s="2414"/>
      <c r="M35" s="2414"/>
      <c r="N35" s="2414"/>
      <c r="O35" s="1083"/>
      <c r="P35" s="965"/>
      <c r="Q35" s="965"/>
      <c r="R35" s="965"/>
      <c r="S35" s="965"/>
      <c r="T35" s="965"/>
      <c r="U35" s="965"/>
      <c r="V35" s="959" t="s">
        <v>1389</v>
      </c>
      <c r="W35" s="958"/>
      <c r="X35" s="1028">
        <f>X33+X27</f>
        <v>0</v>
      </c>
      <c r="Y35" s="965"/>
      <c r="Z35" s="965"/>
      <c r="AA35" s="965"/>
      <c r="AB35" s="965"/>
      <c r="AC35" s="965"/>
      <c r="AD35" s="965"/>
      <c r="AE35" s="965"/>
      <c r="AF35" s="965"/>
      <c r="AG35" s="965"/>
      <c r="AH35" s="965"/>
      <c r="AI35" s="965"/>
      <c r="AJ35" s="965"/>
    </row>
    <row r="36" spans="1:36" s="361" customFormat="1" ht="54.75" customHeight="1">
      <c r="A36" s="584"/>
      <c r="B36" s="2414"/>
      <c r="C36" s="2414"/>
      <c r="D36" s="2414"/>
      <c r="E36" s="2414"/>
      <c r="F36" s="2414"/>
      <c r="G36" s="2414"/>
      <c r="H36" s="2414"/>
      <c r="I36" s="2414"/>
      <c r="J36" s="2414"/>
      <c r="K36" s="2414"/>
      <c r="L36" s="2414"/>
      <c r="M36" s="2414"/>
      <c r="N36" s="923"/>
      <c r="O36" s="1083"/>
      <c r="P36" s="965"/>
      <c r="Q36" s="965"/>
      <c r="R36" s="965"/>
      <c r="S36" s="965"/>
      <c r="T36" s="965"/>
      <c r="U36" s="965"/>
      <c r="V36" s="965"/>
      <c r="W36" s="965"/>
      <c r="X36" s="965"/>
      <c r="Y36" s="965"/>
      <c r="Z36" s="965"/>
      <c r="AA36" s="965"/>
      <c r="AB36" s="965"/>
      <c r="AC36" s="965"/>
      <c r="AD36" s="965"/>
      <c r="AE36" s="965"/>
      <c r="AF36" s="965"/>
      <c r="AG36" s="965"/>
      <c r="AH36" s="965"/>
      <c r="AI36" s="965"/>
      <c r="AJ36" s="965"/>
    </row>
    <row r="37" spans="1:36" s="361" customFormat="1" ht="45.75" customHeight="1">
      <c r="A37" s="584"/>
      <c r="B37" s="2414"/>
      <c r="C37" s="2414"/>
      <c r="D37" s="2414"/>
      <c r="E37" s="2414"/>
      <c r="F37" s="2414"/>
      <c r="G37" s="2414"/>
      <c r="H37" s="2414"/>
      <c r="I37" s="2414"/>
      <c r="J37" s="2414"/>
      <c r="K37" s="2414"/>
      <c r="L37" s="2414"/>
      <c r="M37" s="2414"/>
      <c r="N37" s="923"/>
      <c r="O37" s="1083"/>
      <c r="P37" s="965"/>
      <c r="Q37" s="965"/>
      <c r="R37" s="965"/>
      <c r="S37" s="965"/>
      <c r="T37" s="965"/>
      <c r="U37" s="965"/>
      <c r="V37" s="965"/>
      <c r="W37" s="965"/>
      <c r="X37" s="965"/>
      <c r="Y37" s="965"/>
      <c r="Z37" s="965"/>
      <c r="AA37" s="965"/>
      <c r="AB37" s="965"/>
      <c r="AC37" s="965"/>
      <c r="AD37" s="965"/>
      <c r="AE37" s="965"/>
      <c r="AF37" s="965"/>
      <c r="AG37" s="965"/>
      <c r="AH37" s="965"/>
      <c r="AI37" s="965"/>
      <c r="AJ37" s="965"/>
    </row>
    <row r="38" spans="1:36" s="361" customFormat="1" ht="44.25" customHeight="1">
      <c r="A38" s="584"/>
      <c r="B38" s="2414"/>
      <c r="C38" s="2414"/>
      <c r="D38" s="2414"/>
      <c r="E38" s="2414"/>
      <c r="F38" s="2414"/>
      <c r="G38" s="2414"/>
      <c r="H38" s="2414"/>
      <c r="I38" s="2414"/>
      <c r="J38" s="2414"/>
      <c r="K38" s="2414"/>
      <c r="L38" s="2414"/>
      <c r="M38" s="2414"/>
      <c r="N38" s="923"/>
      <c r="O38" s="1083"/>
      <c r="P38" s="965"/>
      <c r="Q38" s="965"/>
      <c r="R38" s="965"/>
      <c r="S38" s="965"/>
      <c r="T38" s="965"/>
      <c r="U38" s="965"/>
      <c r="V38" s="965"/>
      <c r="W38" s="965"/>
      <c r="X38" s="965"/>
      <c r="Y38" s="965"/>
      <c r="Z38" s="965"/>
      <c r="AA38" s="965"/>
      <c r="AB38" s="965"/>
      <c r="AC38" s="965"/>
      <c r="AD38" s="965"/>
      <c r="AE38" s="965"/>
      <c r="AF38" s="965"/>
      <c r="AG38" s="965"/>
      <c r="AH38" s="965"/>
      <c r="AI38" s="965"/>
      <c r="AJ38" s="965"/>
    </row>
    <row r="39" spans="1:36" s="361" customFormat="1" ht="15.75" customHeight="1">
      <c r="A39" s="584"/>
      <c r="N39" s="923"/>
      <c r="O39" s="1083"/>
      <c r="P39" s="965"/>
      <c r="Q39" s="965"/>
      <c r="R39" s="965"/>
      <c r="S39" s="965"/>
      <c r="T39" s="965"/>
      <c r="U39" s="965"/>
      <c r="V39" s="965"/>
      <c r="W39" s="965"/>
      <c r="X39" s="965"/>
      <c r="Y39" s="965"/>
      <c r="Z39" s="965"/>
      <c r="AA39" s="965"/>
      <c r="AB39" s="965"/>
      <c r="AC39" s="965"/>
      <c r="AD39" s="965"/>
      <c r="AE39" s="965"/>
      <c r="AF39" s="965"/>
      <c r="AG39" s="965"/>
      <c r="AH39" s="965"/>
      <c r="AI39" s="965"/>
      <c r="AJ39" s="965"/>
    </row>
    <row r="40" spans="1:36" s="361" customFormat="1" ht="15" customHeight="1">
      <c r="B40" s="582"/>
      <c r="C40" s="585"/>
      <c r="D40" s="585"/>
      <c r="E40" s="585"/>
      <c r="F40" s="585"/>
      <c r="G40" s="585"/>
      <c r="H40" s="585"/>
      <c r="I40" s="585"/>
      <c r="J40" s="585"/>
      <c r="K40" s="585"/>
      <c r="L40" s="585"/>
      <c r="M40" s="585"/>
      <c r="N40" s="585"/>
      <c r="O40" s="965"/>
      <c r="P40" s="965"/>
      <c r="Q40" s="965"/>
      <c r="R40" s="965"/>
      <c r="S40" s="965"/>
      <c r="T40" s="965"/>
      <c r="U40" s="965"/>
      <c r="V40" s="965"/>
      <c r="W40" s="965"/>
      <c r="X40" s="965"/>
      <c r="Y40" s="965"/>
      <c r="Z40" s="965"/>
      <c r="AA40" s="965"/>
      <c r="AB40" s="965"/>
      <c r="AC40" s="965"/>
      <c r="AD40" s="965"/>
      <c r="AE40" s="965"/>
      <c r="AF40" s="965"/>
      <c r="AG40" s="965"/>
      <c r="AH40" s="965"/>
      <c r="AI40" s="965"/>
      <c r="AJ40" s="965"/>
    </row>
    <row r="41" spans="1:36" s="361" customFormat="1" ht="104.25" customHeight="1">
      <c r="A41" s="584"/>
      <c r="B41" s="2414"/>
      <c r="C41" s="2414"/>
      <c r="D41" s="2414"/>
      <c r="E41" s="2414"/>
      <c r="F41" s="2414"/>
      <c r="G41" s="2414"/>
      <c r="H41" s="2414"/>
      <c r="I41" s="2414"/>
      <c r="J41" s="2414"/>
      <c r="K41" s="2414"/>
      <c r="L41" s="2414"/>
      <c r="M41" s="2414"/>
      <c r="N41" s="923"/>
      <c r="O41" s="1083"/>
      <c r="P41" s="965"/>
      <c r="Q41" s="965"/>
      <c r="R41" s="965"/>
      <c r="S41" s="965"/>
      <c r="T41" s="965"/>
      <c r="U41" s="965"/>
      <c r="V41" s="965"/>
      <c r="W41" s="965"/>
      <c r="X41" s="965"/>
      <c r="Y41" s="965"/>
      <c r="Z41" s="965"/>
      <c r="AA41" s="965"/>
      <c r="AB41" s="965"/>
      <c r="AC41" s="965"/>
      <c r="AD41" s="965"/>
      <c r="AE41" s="965"/>
      <c r="AF41" s="965"/>
      <c r="AG41" s="965"/>
      <c r="AH41" s="965"/>
      <c r="AI41" s="965"/>
      <c r="AJ41" s="965"/>
    </row>
    <row r="42" spans="1:36" s="361" customFormat="1">
      <c r="A42" s="584"/>
      <c r="B42" s="2414"/>
      <c r="C42" s="2414"/>
      <c r="D42" s="2414"/>
      <c r="E42" s="2414"/>
      <c r="F42" s="2414"/>
      <c r="G42" s="2414"/>
      <c r="H42" s="2414"/>
      <c r="I42" s="2414"/>
      <c r="J42" s="2414"/>
      <c r="K42" s="2414"/>
      <c r="L42" s="2414"/>
      <c r="M42" s="2414"/>
      <c r="N42" s="923"/>
      <c r="O42" s="1083"/>
      <c r="P42" s="965"/>
      <c r="Q42" s="965"/>
      <c r="R42" s="965"/>
      <c r="S42" s="965"/>
      <c r="T42" s="965"/>
      <c r="U42" s="965"/>
      <c r="V42" s="965"/>
      <c r="W42" s="965"/>
      <c r="X42" s="965"/>
      <c r="Y42" s="965"/>
      <c r="Z42" s="965"/>
      <c r="AA42" s="965"/>
      <c r="AB42" s="965"/>
      <c r="AC42" s="965"/>
      <c r="AD42" s="965"/>
      <c r="AE42" s="965"/>
      <c r="AF42" s="965"/>
      <c r="AG42" s="965"/>
      <c r="AH42" s="965"/>
      <c r="AI42" s="965"/>
      <c r="AJ42" s="965"/>
    </row>
    <row r="43" spans="1:36">
      <c r="A43" s="584"/>
      <c r="B43" s="2414"/>
      <c r="C43" s="2414"/>
      <c r="D43" s="2414"/>
      <c r="E43" s="2414"/>
      <c r="F43" s="2414"/>
      <c r="G43" s="2414"/>
      <c r="H43" s="2414"/>
      <c r="I43" s="2414"/>
      <c r="J43" s="2414"/>
      <c r="K43" s="2414"/>
      <c r="L43" s="2414"/>
      <c r="M43" s="2414"/>
      <c r="N43" s="923"/>
      <c r="O43" s="1083"/>
    </row>
    <row r="44" spans="1:36" ht="51.75" customHeight="1">
      <c r="A44" s="584"/>
      <c r="B44" s="2414"/>
      <c r="C44" s="2414"/>
      <c r="D44" s="2414"/>
      <c r="E44" s="2414"/>
      <c r="F44" s="2414"/>
      <c r="G44" s="2414"/>
      <c r="H44" s="2414"/>
      <c r="I44" s="2414"/>
      <c r="J44" s="2414"/>
      <c r="K44" s="2414"/>
      <c r="L44" s="2414"/>
      <c r="M44" s="2414"/>
      <c r="N44" s="923"/>
      <c r="O44" s="1083"/>
    </row>
    <row r="45" spans="1:36" ht="27.75" customHeight="1">
      <c r="A45" s="584"/>
      <c r="B45" s="2414"/>
      <c r="C45" s="2414"/>
      <c r="D45" s="2414"/>
      <c r="E45" s="2414"/>
      <c r="F45" s="2414"/>
      <c r="G45" s="2414"/>
      <c r="H45" s="2414"/>
      <c r="I45" s="2414"/>
      <c r="J45" s="2414"/>
      <c r="K45" s="2414"/>
      <c r="L45" s="2414"/>
      <c r="M45" s="2414"/>
      <c r="N45" s="924"/>
      <c r="O45" s="972"/>
    </row>
    <row r="46" spans="1:36">
      <c r="A46" s="584"/>
      <c r="B46" s="2414"/>
      <c r="C46" s="2414"/>
      <c r="D46" s="2414"/>
      <c r="E46" s="2414"/>
      <c r="F46" s="2414"/>
      <c r="G46" s="2414"/>
      <c r="H46" s="2414"/>
      <c r="I46" s="2414"/>
      <c r="J46" s="2414"/>
      <c r="K46" s="2414"/>
      <c r="L46" s="2414"/>
      <c r="M46" s="2414"/>
      <c r="N46" s="924"/>
      <c r="O46" s="972"/>
    </row>
    <row r="47" spans="1:36" ht="14.25" customHeight="1">
      <c r="A47" s="2431"/>
      <c r="B47" s="2431"/>
      <c r="C47" s="2431"/>
      <c r="D47" s="2431"/>
      <c r="E47" s="2431"/>
      <c r="F47" s="2431"/>
      <c r="G47" s="2431"/>
      <c r="H47" s="2431"/>
      <c r="I47" s="2431"/>
      <c r="J47" s="2431"/>
      <c r="K47" s="2431"/>
      <c r="L47" s="2431"/>
      <c r="M47" s="2431"/>
      <c r="N47" s="2431"/>
    </row>
    <row r="48" spans="1:36" ht="27.75" customHeight="1">
      <c r="A48" s="2431"/>
      <c r="B48" s="2431"/>
      <c r="C48" s="2431"/>
      <c r="D48" s="2431"/>
      <c r="E48" s="2431"/>
      <c r="F48" s="2431"/>
      <c r="G48" s="2431"/>
      <c r="H48" s="2431"/>
      <c r="I48" s="2431"/>
      <c r="J48" s="2431"/>
      <c r="K48" s="2431"/>
      <c r="L48" s="2431"/>
      <c r="M48" s="2431"/>
      <c r="N48" s="2431"/>
    </row>
    <row r="49" spans="1:14">
      <c r="A49" s="579"/>
      <c r="B49" s="579"/>
      <c r="C49" s="579"/>
      <c r="D49" s="579"/>
      <c r="E49" s="579"/>
      <c r="F49" s="579"/>
      <c r="G49" s="579"/>
      <c r="H49" s="579"/>
      <c r="I49" s="579"/>
      <c r="J49" s="579"/>
      <c r="K49" s="579"/>
      <c r="L49" s="579"/>
      <c r="M49" s="579"/>
      <c r="N49" s="579"/>
    </row>
    <row r="50" spans="1:14">
      <c r="A50" s="2431"/>
      <c r="B50" s="2431"/>
      <c r="C50" s="2431"/>
      <c r="D50" s="2431"/>
      <c r="E50" s="2431"/>
      <c r="F50" s="2431"/>
      <c r="G50" s="2431"/>
      <c r="H50" s="2431"/>
      <c r="I50" s="2431"/>
      <c r="J50" s="2431"/>
      <c r="K50" s="2431"/>
      <c r="L50" s="2431"/>
      <c r="M50" s="2431"/>
      <c r="N50" s="2431"/>
    </row>
    <row r="51" spans="1:14">
      <c r="A51" s="579"/>
      <c r="B51" s="580"/>
      <c r="C51" s="580"/>
      <c r="D51" s="580"/>
      <c r="E51" s="580"/>
      <c r="F51" s="580"/>
      <c r="G51" s="580"/>
      <c r="H51" s="580"/>
      <c r="I51" s="580"/>
      <c r="J51" s="580"/>
      <c r="K51" s="580"/>
      <c r="L51" s="580"/>
      <c r="M51" s="580"/>
      <c r="N51" s="580"/>
    </row>
    <row r="52" spans="1:14" ht="15.75">
      <c r="A52" s="579"/>
      <c r="B52" s="587"/>
      <c r="C52" s="564"/>
      <c r="D52" s="564"/>
      <c r="E52" s="564"/>
      <c r="F52" s="564"/>
      <c r="G52" s="580"/>
      <c r="H52" s="580"/>
      <c r="I52" s="580"/>
      <c r="J52" s="580"/>
      <c r="K52" s="580"/>
      <c r="L52" s="580"/>
      <c r="M52" s="580"/>
      <c r="N52" s="580"/>
    </row>
    <row r="53" spans="1:14">
      <c r="A53" s="579"/>
      <c r="B53" s="2430"/>
      <c r="C53" s="2432"/>
      <c r="D53" s="2432"/>
      <c r="E53" s="925"/>
      <c r="F53" s="925"/>
      <c r="G53" s="580"/>
      <c r="H53" s="580"/>
      <c r="I53" s="580"/>
      <c r="J53" s="580"/>
      <c r="K53" s="580"/>
      <c r="L53" s="580"/>
      <c r="M53" s="580"/>
      <c r="N53" s="580"/>
    </row>
    <row r="54" spans="1:14" ht="40.5" customHeight="1">
      <c r="A54" s="579"/>
      <c r="B54" s="2431"/>
      <c r="C54" s="588"/>
      <c r="D54" s="588"/>
      <c r="E54" s="588"/>
      <c r="F54" s="588"/>
      <c r="G54" s="580"/>
      <c r="H54" s="580"/>
      <c r="I54" s="580"/>
      <c r="J54" s="580"/>
      <c r="K54" s="580"/>
      <c r="L54" s="580"/>
      <c r="M54" s="580"/>
      <c r="N54" s="580"/>
    </row>
    <row r="55" spans="1:14" ht="15">
      <c r="A55" s="579"/>
      <c r="B55" s="575"/>
      <c r="C55" s="564"/>
      <c r="D55" s="564"/>
      <c r="E55" s="564"/>
      <c r="F55" s="564"/>
      <c r="G55" s="580"/>
      <c r="H55" s="580"/>
      <c r="I55" s="580"/>
      <c r="J55" s="580"/>
      <c r="K55" s="580"/>
      <c r="L55" s="580"/>
      <c r="M55" s="580"/>
      <c r="N55" s="580"/>
    </row>
    <row r="56" spans="1:14" ht="15">
      <c r="A56" s="579"/>
      <c r="B56" s="575"/>
      <c r="C56" s="564"/>
      <c r="D56" s="564"/>
      <c r="E56" s="564"/>
      <c r="F56" s="564"/>
      <c r="G56" s="580"/>
      <c r="H56" s="580"/>
      <c r="I56" s="580"/>
      <c r="J56" s="580"/>
      <c r="K56" s="580"/>
      <c r="L56" s="580"/>
      <c r="M56" s="580"/>
      <c r="N56" s="580"/>
    </row>
    <row r="57" spans="1:14" ht="15">
      <c r="A57" s="579"/>
      <c r="B57" s="575"/>
      <c r="C57" s="564"/>
      <c r="D57" s="564"/>
      <c r="E57" s="564"/>
      <c r="F57" s="564"/>
      <c r="G57" s="580"/>
      <c r="H57" s="580"/>
      <c r="I57" s="580"/>
      <c r="J57" s="580"/>
      <c r="K57" s="580"/>
      <c r="L57" s="580"/>
      <c r="M57" s="580"/>
      <c r="N57" s="580"/>
    </row>
    <row r="58" spans="1:14" ht="15">
      <c r="A58" s="579"/>
      <c r="B58" s="575"/>
      <c r="C58" s="564"/>
      <c r="D58" s="564"/>
      <c r="E58" s="564"/>
      <c r="F58" s="564"/>
      <c r="G58" s="580"/>
      <c r="H58" s="580"/>
      <c r="I58" s="580"/>
      <c r="J58" s="580"/>
      <c r="K58" s="580"/>
      <c r="L58" s="580"/>
      <c r="M58" s="580"/>
      <c r="N58" s="580"/>
    </row>
    <row r="59" spans="1:14" ht="15">
      <c r="A59" s="579"/>
      <c r="B59" s="564"/>
      <c r="C59" s="564"/>
      <c r="D59" s="564"/>
      <c r="E59" s="564"/>
      <c r="F59" s="564"/>
      <c r="G59" s="580"/>
      <c r="H59" s="580"/>
      <c r="I59" s="580"/>
      <c r="J59" s="580"/>
      <c r="K59" s="580"/>
      <c r="L59" s="580"/>
      <c r="M59" s="580"/>
      <c r="N59" s="580"/>
    </row>
    <row r="60" spans="1:14" ht="15.75">
      <c r="A60" s="579"/>
      <c r="B60" s="587"/>
      <c r="C60" s="564"/>
      <c r="D60" s="564"/>
      <c r="E60" s="564"/>
      <c r="F60" s="564"/>
      <c r="G60" s="580"/>
      <c r="H60" s="580"/>
      <c r="I60" s="580"/>
      <c r="J60" s="580"/>
      <c r="K60" s="580"/>
      <c r="L60" s="580"/>
      <c r="M60" s="580"/>
      <c r="N60" s="580"/>
    </row>
    <row r="61" spans="1:14">
      <c r="A61" s="579"/>
      <c r="B61" s="2430"/>
      <c r="C61" s="2432"/>
      <c r="D61" s="2432"/>
      <c r="E61" s="925"/>
      <c r="F61" s="925"/>
      <c r="G61" s="580"/>
      <c r="H61" s="580"/>
      <c r="I61" s="580"/>
      <c r="J61" s="580"/>
      <c r="K61" s="580"/>
      <c r="L61" s="580"/>
      <c r="M61" s="580"/>
      <c r="N61" s="580"/>
    </row>
    <row r="62" spans="1:14" ht="45" customHeight="1">
      <c r="A62" s="579"/>
      <c r="B62" s="2431"/>
      <c r="C62" s="588"/>
      <c r="D62" s="588"/>
      <c r="E62" s="588"/>
      <c r="F62" s="588"/>
      <c r="G62" s="580"/>
      <c r="H62" s="580"/>
      <c r="I62" s="580"/>
      <c r="J62" s="580"/>
      <c r="K62" s="580"/>
      <c r="L62" s="580"/>
      <c r="M62" s="580"/>
      <c r="N62" s="580"/>
    </row>
    <row r="63" spans="1:14" ht="15">
      <c r="A63" s="579"/>
      <c r="B63" s="575"/>
      <c r="C63" s="564"/>
      <c r="D63" s="564"/>
      <c r="E63" s="564"/>
      <c r="F63" s="564"/>
      <c r="G63" s="580"/>
      <c r="H63" s="580"/>
      <c r="I63" s="580"/>
      <c r="J63" s="580"/>
      <c r="K63" s="580"/>
      <c r="L63" s="580"/>
      <c r="M63" s="580"/>
      <c r="N63" s="580"/>
    </row>
    <row r="64" spans="1:14" ht="15">
      <c r="A64" s="579"/>
      <c r="B64" s="575"/>
      <c r="C64" s="564"/>
      <c r="D64" s="564"/>
      <c r="E64" s="564"/>
      <c r="F64" s="564"/>
      <c r="G64" s="580"/>
      <c r="H64" s="580"/>
      <c r="I64" s="580"/>
      <c r="J64" s="580"/>
      <c r="K64" s="580"/>
      <c r="L64" s="580"/>
      <c r="M64" s="580"/>
      <c r="N64" s="580"/>
    </row>
    <row r="65" spans="1:14" ht="15">
      <c r="A65" s="579"/>
      <c r="B65" s="575"/>
      <c r="C65" s="564"/>
      <c r="D65" s="564"/>
      <c r="E65" s="564"/>
      <c r="F65" s="564"/>
      <c r="G65" s="580"/>
      <c r="H65" s="580"/>
      <c r="I65" s="580"/>
      <c r="J65" s="580"/>
      <c r="K65" s="580"/>
      <c r="L65" s="580"/>
      <c r="M65" s="580"/>
      <c r="N65" s="580"/>
    </row>
    <row r="66" spans="1:14" ht="15">
      <c r="A66" s="579"/>
      <c r="B66" s="575"/>
      <c r="C66" s="564"/>
      <c r="D66" s="564"/>
      <c r="E66" s="564"/>
      <c r="F66" s="564"/>
      <c r="G66" s="580"/>
      <c r="H66" s="580"/>
      <c r="I66" s="580"/>
      <c r="J66" s="580"/>
      <c r="K66" s="580"/>
      <c r="L66" s="580"/>
      <c r="M66" s="580"/>
      <c r="N66" s="580"/>
    </row>
    <row r="67" spans="1:14" ht="15">
      <c r="A67" s="579"/>
      <c r="B67" s="564"/>
      <c r="C67" s="564"/>
      <c r="D67" s="564"/>
      <c r="E67" s="564"/>
      <c r="F67" s="564"/>
      <c r="G67" s="580"/>
      <c r="H67" s="580"/>
      <c r="I67" s="580"/>
      <c r="J67" s="580"/>
      <c r="K67" s="580"/>
      <c r="L67" s="580"/>
      <c r="M67" s="580"/>
      <c r="N67" s="580"/>
    </row>
    <row r="68" spans="1:14" ht="18">
      <c r="A68" s="579"/>
      <c r="B68" s="589"/>
      <c r="C68" s="590"/>
      <c r="D68" s="591"/>
      <c r="E68" s="591"/>
      <c r="F68" s="591"/>
      <c r="G68" s="580"/>
      <c r="H68" s="580"/>
      <c r="I68" s="580"/>
      <c r="J68" s="580"/>
      <c r="K68" s="580"/>
      <c r="L68" s="580"/>
      <c r="M68" s="580"/>
      <c r="N68" s="580"/>
    </row>
    <row r="69" spans="1:14">
      <c r="A69" s="579"/>
      <c r="B69" s="580"/>
      <c r="C69" s="580"/>
      <c r="D69" s="580"/>
      <c r="E69" s="580"/>
      <c r="F69" s="580"/>
      <c r="G69" s="580"/>
      <c r="H69" s="580"/>
      <c r="I69" s="580"/>
      <c r="J69" s="580"/>
      <c r="K69" s="580"/>
      <c r="L69" s="580"/>
      <c r="M69" s="580"/>
      <c r="N69" s="580"/>
    </row>
  </sheetData>
  <sheetProtection password="AD9B" sheet="1" objects="1" scenarios="1"/>
  <mergeCells count="39">
    <mergeCell ref="B45:M45"/>
    <mergeCell ref="B38:M38"/>
    <mergeCell ref="B41:M41"/>
    <mergeCell ref="A47:N47"/>
    <mergeCell ref="B46:M46"/>
    <mergeCell ref="B61:B62"/>
    <mergeCell ref="C61:D61"/>
    <mergeCell ref="A50:N50"/>
    <mergeCell ref="A48:N48"/>
    <mergeCell ref="B53:B54"/>
    <mergeCell ref="C53:D53"/>
    <mergeCell ref="AC2:AF2"/>
    <mergeCell ref="B12:F12"/>
    <mergeCell ref="H12:L12"/>
    <mergeCell ref="I13:J13"/>
    <mergeCell ref="K13:L13"/>
    <mergeCell ref="E13:F13"/>
    <mergeCell ref="C13:D13"/>
    <mergeCell ref="I2:K2"/>
    <mergeCell ref="B14:B15"/>
    <mergeCell ref="H14:H15"/>
    <mergeCell ref="I14:J14"/>
    <mergeCell ref="K14:L14"/>
    <mergeCell ref="C14:D14"/>
    <mergeCell ref="E14:F14"/>
    <mergeCell ref="W17:X17"/>
    <mergeCell ref="R18:S18"/>
    <mergeCell ref="B43:M43"/>
    <mergeCell ref="B44:M44"/>
    <mergeCell ref="C23:D23"/>
    <mergeCell ref="H23:H24"/>
    <mergeCell ref="I23:J23"/>
    <mergeCell ref="W24:X24"/>
    <mergeCell ref="B42:M42"/>
    <mergeCell ref="B23:B24"/>
    <mergeCell ref="B35:N35"/>
    <mergeCell ref="B36:M36"/>
    <mergeCell ref="B37:M37"/>
    <mergeCell ref="B31:C31"/>
  </mergeCells>
  <phoneticPr fontId="12" type="noConversion"/>
  <conditionalFormatting sqref="O16:O31 O13">
    <cfRule type="expression" dxfId="48" priority="15" stopIfTrue="1">
      <formula>$AD$5=FALSE</formula>
    </cfRule>
  </conditionalFormatting>
  <conditionalFormatting sqref="O14:O15 C25:D28 D20:D24 B12:B20 E13:F28 I13:L19 C13:D19 C20 H12:H19 B22:B28 C22:C24 H22:J28">
    <cfRule type="expression" dxfId="47" priority="16" stopIfTrue="1">
      <formula>$AD$11=TRUE</formula>
    </cfRule>
  </conditionalFormatting>
  <conditionalFormatting sqref="O16:O31 O13">
    <cfRule type="expression" dxfId="46" priority="14" stopIfTrue="1">
      <formula>$AD$5=FALSE</formula>
    </cfRule>
  </conditionalFormatting>
  <conditionalFormatting sqref="O14:O15 C25:D28 D20:D24 B12:B20 E13:F28 I13:L19 C13:D19 C20 H12:H19 B22:B28 C22:C24 H22:J28">
    <cfRule type="expression" dxfId="45" priority="13" stopIfTrue="1">
      <formula>$AD$11=TRUE</formula>
    </cfRule>
  </conditionalFormatting>
  <conditionalFormatting sqref="O16:O31 O13">
    <cfRule type="expression" dxfId="44" priority="12" stopIfTrue="1">
      <formula>$AD$5=FALSE</formula>
    </cfRule>
  </conditionalFormatting>
  <conditionalFormatting sqref="O14:O15">
    <cfRule type="expression" dxfId="43" priority="11" stopIfTrue="1">
      <formula>$AD$11=TRUE</formula>
    </cfRule>
  </conditionalFormatting>
  <conditionalFormatting sqref="O16:O31 O13">
    <cfRule type="expression" dxfId="42" priority="10" stopIfTrue="1">
      <formula>$AD$5=FALSE</formula>
    </cfRule>
  </conditionalFormatting>
  <conditionalFormatting sqref="O14:O15">
    <cfRule type="expression" dxfId="41" priority="9" stopIfTrue="1">
      <formula>$AD$11=TRUE</formula>
    </cfRule>
  </conditionalFormatting>
  <conditionalFormatting sqref="O16:O31 O13">
    <cfRule type="expression" dxfId="40" priority="8" stopIfTrue="1">
      <formula>$AD$5=FALSE</formula>
    </cfRule>
  </conditionalFormatting>
  <conditionalFormatting sqref="O14:O15">
    <cfRule type="expression" dxfId="39" priority="7" stopIfTrue="1">
      <formula>$AD$11=TRUE</formula>
    </cfRule>
  </conditionalFormatting>
  <conditionalFormatting sqref="O16:O31 O13">
    <cfRule type="expression" dxfId="38" priority="6" stopIfTrue="1">
      <formula>$AD$5=FALSE</formula>
    </cfRule>
  </conditionalFormatting>
  <conditionalFormatting sqref="O14:O15">
    <cfRule type="expression" dxfId="37" priority="5" stopIfTrue="1">
      <formula>$AD$11=TRUE</formula>
    </cfRule>
  </conditionalFormatting>
  <conditionalFormatting sqref="O16:O31 O13">
    <cfRule type="expression" dxfId="36" priority="4" stopIfTrue="1">
      <formula>$AD$5=FALSE</formula>
    </cfRule>
  </conditionalFormatting>
  <conditionalFormatting sqref="O14:O15">
    <cfRule type="expression" dxfId="35" priority="3" stopIfTrue="1">
      <formula>$AD$11=TRUE</formula>
    </cfRule>
  </conditionalFormatting>
  <conditionalFormatting sqref="O16:O31 O13">
    <cfRule type="expression" dxfId="34" priority="2" stopIfTrue="1">
      <formula>$AD$5=FALSE</formula>
    </cfRule>
  </conditionalFormatting>
  <conditionalFormatting sqref="O14:O15">
    <cfRule type="expression" dxfId="33" priority="1" stopIfTrue="1">
      <formula>$AD$11=TRUE</formula>
    </cfRule>
  </conditionalFormatting>
  <pageMargins left="0.59055118110236227" right="0.59055118110236227" top="0.47244094488188981" bottom="0.47244094488188981" header="0.23622047244094491" footer="0.35433070866141736"/>
  <pageSetup paperSize="9" scale="61" orientation="portrait" blackAndWhite="1" horizontalDpi="300" verticalDpi="300" r:id="rId1"/>
  <headerFooter alignWithMargins="0">
    <oddHeader>&amp;LGreen Building Council of South Africa&amp;R&amp;T   &amp;D</oddHeader>
    <oddFooter>&amp;L&amp;F&amp;CPage &amp;P of &amp;N&amp;RCategory: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6113" r:id="rId4" name="Button 1">
              <controlPr defaultSize="0" print="0" autoFill="0" autoPict="0" macro="[0]!GoToTransport">
                <anchor moveWithCells="1" sizeWithCells="1">
                  <from>
                    <xdr:col>8</xdr:col>
                    <xdr:colOff>676275</xdr:colOff>
                    <xdr:row>29</xdr:row>
                    <xdr:rowOff>152400</xdr:rowOff>
                  </from>
                  <to>
                    <xdr:col>11</xdr:col>
                    <xdr:colOff>695325</xdr:colOff>
                    <xdr:row>31</xdr:row>
                    <xdr:rowOff>57150</xdr:rowOff>
                  </to>
                </anchor>
              </controlPr>
            </control>
          </mc:Choice>
        </mc:AlternateContent>
        <mc:AlternateContent xmlns:mc="http://schemas.openxmlformats.org/markup-compatibility/2006">
          <mc:Choice Requires="x14">
            <control shapeId="346114" r:id="rId5" name="Button 2">
              <controlPr defaultSize="0" print="0" autoFill="0" autoPict="0" macro="[0]!GoToTransport">
                <anchor moveWithCells="1" sizeWithCells="1">
                  <from>
                    <xdr:col>8</xdr:col>
                    <xdr:colOff>676275</xdr:colOff>
                    <xdr:row>29</xdr:row>
                    <xdr:rowOff>152400</xdr:rowOff>
                  </from>
                  <to>
                    <xdr:col>11</xdr:col>
                    <xdr:colOff>695325</xdr:colOff>
                    <xdr:row>31</xdr:row>
                    <xdr:rowOff>57150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IU27"/>
  <sheetViews>
    <sheetView zoomScale="80" zoomScaleNormal="85" zoomScaleSheetLayoutView="85" workbookViewId="0">
      <pane xSplit="2" ySplit="4" topLeftCell="C5" activePane="bottomRight" state="frozen"/>
      <selection pane="topRight"/>
      <selection pane="bottomLeft"/>
      <selection pane="bottomRight" activeCell="A60" sqref="A60"/>
    </sheetView>
  </sheetViews>
  <sheetFormatPr defaultColWidth="7.875" defaultRowHeight="15"/>
  <cols>
    <col min="1" max="1" width="7.25" style="315" customWidth="1"/>
    <col min="2" max="2" width="15.125" style="315" customWidth="1"/>
    <col min="3" max="3" width="25.625" style="315" customWidth="1"/>
    <col min="4" max="4" width="64.875" style="315" customWidth="1"/>
    <col min="5" max="7" width="12.625" style="331" customWidth="1"/>
    <col min="8" max="8" width="31" style="317" customWidth="1"/>
    <col min="9" max="9" width="10.875" style="315" hidden="1" customWidth="1"/>
    <col min="10" max="11" width="8.875" style="315" customWidth="1"/>
    <col min="12" max="16384" width="7.875" style="315"/>
  </cols>
  <sheetData>
    <row r="1" spans="1:255" s="596" customFormat="1" ht="24" customHeight="1" thickBot="1">
      <c r="A1" s="455" t="str">
        <f>'Building Input'!B1</f>
        <v>Green Star SA - Public &amp; Education Building v1</v>
      </c>
      <c r="D1" s="1150"/>
      <c r="E1" s="275"/>
      <c r="F1" s="444" t="s">
        <v>134</v>
      </c>
      <c r="G1" s="445">
        <f>'Credit Summary'!J59</f>
        <v>0.12</v>
      </c>
      <c r="H1" s="443" t="s">
        <v>136</v>
      </c>
      <c r="I1" s="452"/>
    </row>
    <row r="2" spans="1:255" s="450" customFormat="1" ht="30" customHeight="1" thickBot="1">
      <c r="A2" s="272" t="s">
        <v>317</v>
      </c>
      <c r="D2" s="442" t="s">
        <v>135</v>
      </c>
      <c r="E2" s="1190">
        <f>E16</f>
        <v>15</v>
      </c>
      <c r="F2" s="1191">
        <f>F16</f>
        <v>0</v>
      </c>
      <c r="G2" s="1190">
        <f>G16</f>
        <v>0</v>
      </c>
      <c r="H2" s="1192">
        <f>'Credit Summary'!K59</f>
        <v>0</v>
      </c>
      <c r="I2" s="452"/>
    </row>
    <row r="3" spans="1:255" s="462" customFormat="1" ht="19.5" customHeight="1" thickBot="1">
      <c r="A3" s="458" t="s">
        <v>1037</v>
      </c>
      <c r="B3" s="459"/>
      <c r="C3" s="458" t="str">
        <f>IF('Building Input'!$C$5=0,"",'Building Input'!$C$5)</f>
        <v/>
      </c>
      <c r="D3" s="460"/>
      <c r="E3" s="275"/>
      <c r="F3" s="448" t="str">
        <f>IF(OR((I3=Calculation1!$B$84),(I3=Calculation1!$B$85),((F2+G2)&gt;E2)),Calculation1!$B$86,"")</f>
        <v/>
      </c>
      <c r="G3" s="275"/>
      <c r="H3" s="460"/>
      <c r="I3" s="467" t="str">
        <f>T(I5:I11)</f>
        <v/>
      </c>
    </row>
    <row r="4" spans="1:255" ht="33" customHeight="1" thickBot="1">
      <c r="A4" s="1234" t="s">
        <v>1039</v>
      </c>
      <c r="B4" s="1235" t="s">
        <v>1040</v>
      </c>
      <c r="C4" s="1235" t="s">
        <v>1041</v>
      </c>
      <c r="D4" s="1235" t="s">
        <v>1168</v>
      </c>
      <c r="E4" s="1236" t="s">
        <v>1169</v>
      </c>
      <c r="F4" s="1236" t="s">
        <v>451</v>
      </c>
      <c r="G4" s="1236" t="s">
        <v>452</v>
      </c>
      <c r="H4" s="1196" t="s">
        <v>453</v>
      </c>
    </row>
    <row r="5" spans="1:255" ht="68.25" customHeight="1">
      <c r="A5" s="227" t="s">
        <v>510</v>
      </c>
      <c r="B5" s="1108" t="s">
        <v>1996</v>
      </c>
      <c r="C5" s="1108" t="s">
        <v>2086</v>
      </c>
      <c r="D5" s="944" t="s">
        <v>2020</v>
      </c>
      <c r="E5" s="249">
        <v>12</v>
      </c>
      <c r="F5" s="1094">
        <f>'Potable Water Calculator'!M1</f>
        <v>0</v>
      </c>
      <c r="G5" s="2070"/>
      <c r="H5" s="851"/>
      <c r="I5" s="1151" t="str">
        <f>IF(OR(ISTEXT(F5)=TRUE,ISTEXT(G5)=TRUE),Calculation1!$B$87,IF(F5+G5&gt;E5,Calculation1!$B$84,""))</f>
        <v/>
      </c>
      <c r="J5" s="329"/>
      <c r="K5" s="330"/>
      <c r="L5" s="349"/>
    </row>
    <row r="6" spans="1:255" ht="60.75" customHeight="1">
      <c r="A6" s="2392" t="s">
        <v>511</v>
      </c>
      <c r="B6" s="2434" t="s">
        <v>2080</v>
      </c>
      <c r="C6" s="2434" t="s">
        <v>2087</v>
      </c>
      <c r="D6" s="1130" t="s">
        <v>2021</v>
      </c>
      <c r="E6" s="904">
        <v>1</v>
      </c>
      <c r="F6" s="2050"/>
      <c r="G6" s="2050"/>
      <c r="H6" s="2010"/>
      <c r="I6" s="1151" t="str">
        <f>IF(OR(ISTEXT(F6)=TRUE,ISTEXT(G6)=TRUE),Calculation1!$B$87,IF(F6+G6&gt;E6,Calculation1!$B$84,""))</f>
        <v/>
      </c>
      <c r="J6" s="329"/>
      <c r="K6" s="330"/>
      <c r="L6" s="349"/>
    </row>
    <row r="7" spans="1:255" ht="80.25" customHeight="1">
      <c r="A7" s="2393"/>
      <c r="B7" s="2435"/>
      <c r="C7" s="2435"/>
      <c r="D7" s="1130" t="s">
        <v>2022</v>
      </c>
      <c r="E7" s="2439">
        <v>2</v>
      </c>
      <c r="F7" s="2255"/>
      <c r="G7" s="2255"/>
      <c r="H7" s="2437"/>
      <c r="I7" s="1151"/>
      <c r="J7" s="329"/>
      <c r="K7" s="330"/>
      <c r="L7" s="349"/>
    </row>
    <row r="8" spans="1:255" ht="84.75" customHeight="1">
      <c r="A8" s="2433"/>
      <c r="B8" s="2436"/>
      <c r="C8" s="2436"/>
      <c r="D8" s="1157" t="s">
        <v>2023</v>
      </c>
      <c r="E8" s="2440"/>
      <c r="F8" s="2256"/>
      <c r="G8" s="2256"/>
      <c r="H8" s="2438"/>
      <c r="I8" s="1151" t="str">
        <f>IF(OR(ISTEXT(F8)=TRUE,ISTEXT(G8)=TRUE),Calculation1!$B$87,IF(F8+G8&gt;E8,Calculation1!$B$84,""))</f>
        <v/>
      </c>
      <c r="J8" s="329"/>
      <c r="K8" s="330"/>
      <c r="L8" s="349"/>
    </row>
    <row r="9" spans="1:255" s="964" customFormat="1" ht="30" customHeight="1">
      <c r="A9" s="938" t="s">
        <v>512</v>
      </c>
      <c r="B9" s="857" t="s">
        <v>490</v>
      </c>
      <c r="C9" s="857"/>
      <c r="D9" s="939" t="s">
        <v>2104</v>
      </c>
      <c r="E9" s="940" t="s">
        <v>1308</v>
      </c>
      <c r="F9" s="946" t="s">
        <v>1308</v>
      </c>
      <c r="G9" s="946" t="s">
        <v>1308</v>
      </c>
      <c r="H9" s="2047"/>
      <c r="I9" s="1151" t="str">
        <f>IF(ISBLANK(F9),IF(G9&gt;E9,Calculation1!$B$84,""),IF(F9="na","",IF(OR(F9="na",ISNUMBER(F9)),IF(F9+G9&gt;E9,Calculation1!$B$84,""),Calculation1!$B$85)))</f>
        <v>ERROR, Value entered in 'No. of points achieved' must be a number or 'na'</v>
      </c>
      <c r="J9" s="1144"/>
      <c r="K9" s="1144"/>
      <c r="L9" s="1144"/>
      <c r="M9" s="1144"/>
      <c r="N9" s="1144"/>
      <c r="O9" s="1144"/>
      <c r="P9" s="1144"/>
      <c r="Q9" s="1144"/>
      <c r="R9" s="1144"/>
      <c r="S9" s="1144"/>
      <c r="T9" s="1144"/>
      <c r="U9" s="1144"/>
      <c r="V9" s="1144"/>
      <c r="W9" s="1144"/>
      <c r="X9" s="1144"/>
      <c r="Y9" s="1144"/>
      <c r="Z9" s="1144"/>
      <c r="AA9" s="1144"/>
      <c r="AB9" s="1144"/>
      <c r="AC9" s="1144"/>
      <c r="AD9" s="1144"/>
      <c r="AE9" s="1144"/>
      <c r="AF9" s="1144"/>
      <c r="AG9" s="1144"/>
      <c r="AH9" s="1144"/>
      <c r="AI9" s="1144"/>
      <c r="AJ9" s="1144"/>
      <c r="AK9" s="1144"/>
      <c r="AL9" s="1144"/>
      <c r="AM9" s="1144"/>
      <c r="AN9" s="1144"/>
      <c r="AO9" s="1144"/>
      <c r="AP9" s="1144"/>
      <c r="AQ9" s="1144"/>
      <c r="AR9" s="1144"/>
      <c r="AS9" s="1144"/>
      <c r="AT9" s="1144"/>
      <c r="AU9" s="1144"/>
      <c r="AV9" s="1144"/>
      <c r="AW9" s="1144"/>
      <c r="AX9" s="1144"/>
      <c r="AY9" s="1144"/>
      <c r="AZ9" s="1144"/>
      <c r="BA9" s="1144"/>
      <c r="BB9" s="1144"/>
      <c r="BC9" s="1144"/>
      <c r="BD9" s="1144"/>
      <c r="BE9" s="1144"/>
      <c r="BF9" s="1144"/>
      <c r="BG9" s="1144"/>
      <c r="BH9" s="1144"/>
      <c r="BI9" s="1144"/>
      <c r="BJ9" s="1144"/>
      <c r="BK9" s="1144"/>
      <c r="BL9" s="1144"/>
      <c r="BM9" s="1144"/>
      <c r="BN9" s="1144"/>
      <c r="BO9" s="1144"/>
      <c r="BP9" s="1144"/>
      <c r="BQ9" s="1144"/>
      <c r="BR9" s="1144"/>
      <c r="BS9" s="1144"/>
      <c r="BT9" s="1144"/>
      <c r="BU9" s="1144"/>
      <c r="BV9" s="1144"/>
      <c r="BW9" s="1144"/>
      <c r="BX9" s="1144"/>
      <c r="BY9" s="1144"/>
      <c r="BZ9" s="1144"/>
      <c r="CA9" s="1144"/>
      <c r="CB9" s="1144"/>
      <c r="CC9" s="1144"/>
      <c r="CD9" s="1144"/>
      <c r="CE9" s="1144"/>
      <c r="CF9" s="1144"/>
      <c r="CG9" s="1144"/>
      <c r="CH9" s="1144"/>
      <c r="CI9" s="1144"/>
      <c r="CJ9" s="1144"/>
      <c r="CK9" s="1144"/>
      <c r="CL9" s="1144"/>
      <c r="CM9" s="1144"/>
      <c r="CN9" s="1144"/>
      <c r="CO9" s="1144"/>
      <c r="CP9" s="1144"/>
      <c r="CQ9" s="1144"/>
      <c r="CR9" s="1144"/>
      <c r="CS9" s="1144"/>
      <c r="CT9" s="1144"/>
      <c r="CU9" s="1144"/>
      <c r="CV9" s="1144"/>
      <c r="CW9" s="1144"/>
      <c r="CX9" s="1144"/>
      <c r="CY9" s="1144"/>
      <c r="CZ9" s="1144"/>
      <c r="DA9" s="1144"/>
      <c r="DB9" s="1144"/>
      <c r="DC9" s="1144"/>
      <c r="DD9" s="1144"/>
      <c r="DE9" s="1144"/>
      <c r="DF9" s="1144"/>
      <c r="DG9" s="1144"/>
      <c r="DH9" s="1144"/>
      <c r="DI9" s="1144"/>
      <c r="DJ9" s="1144"/>
      <c r="DK9" s="1144"/>
      <c r="DL9" s="1144"/>
      <c r="DM9" s="1144"/>
      <c r="DN9" s="1144"/>
      <c r="DO9" s="1144"/>
      <c r="DP9" s="1144"/>
      <c r="DQ9" s="1144"/>
      <c r="DR9" s="1144"/>
      <c r="DS9" s="1144"/>
      <c r="DT9" s="1144"/>
      <c r="DU9" s="1144"/>
      <c r="DV9" s="1144"/>
      <c r="DW9" s="952"/>
      <c r="DX9" s="952"/>
      <c r="DY9" s="952"/>
      <c r="DZ9" s="952"/>
      <c r="EA9" s="952"/>
      <c r="EB9" s="952"/>
      <c r="EC9" s="952"/>
      <c r="ED9" s="952"/>
      <c r="EE9" s="952"/>
      <c r="EF9" s="952"/>
      <c r="EG9" s="952"/>
      <c r="EH9" s="952"/>
      <c r="EI9" s="952"/>
      <c r="EJ9" s="952"/>
      <c r="EK9" s="952"/>
      <c r="EL9" s="952"/>
      <c r="EM9" s="952"/>
      <c r="EN9" s="952"/>
      <c r="EO9" s="952"/>
      <c r="EP9" s="952"/>
      <c r="EQ9" s="952"/>
      <c r="ER9" s="952"/>
      <c r="ES9" s="952"/>
      <c r="ET9" s="952"/>
      <c r="EU9" s="952"/>
      <c r="EV9" s="952"/>
      <c r="EW9" s="952"/>
      <c r="EX9" s="952"/>
      <c r="EY9" s="952"/>
      <c r="EZ9" s="952"/>
      <c r="FA9" s="952"/>
      <c r="FB9" s="952"/>
      <c r="FC9" s="952"/>
      <c r="FD9" s="952"/>
      <c r="FE9" s="952"/>
      <c r="FF9" s="952"/>
      <c r="FG9" s="952"/>
      <c r="FH9" s="952"/>
      <c r="FI9" s="952"/>
      <c r="FJ9" s="952"/>
      <c r="FK9" s="952"/>
      <c r="FL9" s="952"/>
      <c r="FM9" s="952"/>
      <c r="FN9" s="952"/>
      <c r="FO9" s="952"/>
      <c r="FP9" s="952"/>
      <c r="FQ9" s="952"/>
      <c r="FR9" s="952"/>
      <c r="FS9" s="952"/>
      <c r="FT9" s="952"/>
      <c r="FU9" s="952"/>
      <c r="FV9" s="952"/>
      <c r="FW9" s="952"/>
      <c r="FX9" s="952"/>
      <c r="FY9" s="952"/>
      <c r="FZ9" s="952"/>
      <c r="GA9" s="952"/>
      <c r="GB9" s="952"/>
      <c r="GC9" s="952"/>
      <c r="GD9" s="952"/>
      <c r="GE9" s="952"/>
      <c r="GF9" s="952"/>
      <c r="GG9" s="952"/>
      <c r="GH9" s="952"/>
      <c r="GI9" s="952"/>
      <c r="GJ9" s="952"/>
      <c r="GK9" s="952"/>
      <c r="GL9" s="952"/>
      <c r="GM9" s="952"/>
      <c r="GN9" s="952"/>
      <c r="GO9" s="952"/>
      <c r="GP9" s="952"/>
      <c r="GQ9" s="952"/>
      <c r="GR9" s="952"/>
      <c r="GS9" s="952"/>
      <c r="GT9" s="952"/>
      <c r="GU9" s="952"/>
      <c r="GV9" s="952"/>
      <c r="GW9" s="952"/>
      <c r="GX9" s="952"/>
      <c r="GY9" s="952"/>
      <c r="GZ9" s="952"/>
      <c r="HA9" s="952"/>
      <c r="HB9" s="952"/>
      <c r="HC9" s="952"/>
      <c r="HD9" s="952"/>
      <c r="HE9" s="952"/>
      <c r="HF9" s="952"/>
      <c r="HG9" s="952"/>
      <c r="HH9" s="952"/>
      <c r="HI9" s="952"/>
      <c r="HJ9" s="952"/>
      <c r="HK9" s="952"/>
      <c r="HL9" s="952"/>
      <c r="HM9" s="952"/>
      <c r="HN9" s="952"/>
      <c r="HO9" s="952"/>
      <c r="HP9" s="952"/>
      <c r="HQ9" s="952"/>
      <c r="HR9" s="952"/>
      <c r="HS9" s="952"/>
      <c r="HT9" s="952"/>
      <c r="HU9" s="952"/>
      <c r="HV9" s="952"/>
      <c r="HW9" s="952"/>
      <c r="HX9" s="952"/>
      <c r="HY9" s="952"/>
      <c r="HZ9" s="952"/>
      <c r="IA9" s="952"/>
      <c r="IB9" s="952"/>
      <c r="IC9" s="952"/>
      <c r="ID9" s="952"/>
      <c r="IE9" s="952"/>
      <c r="IF9" s="952"/>
      <c r="IG9" s="952"/>
      <c r="IH9" s="952"/>
      <c r="II9" s="952"/>
      <c r="IJ9" s="952"/>
      <c r="IK9" s="952"/>
      <c r="IL9" s="952"/>
      <c r="IM9" s="952"/>
      <c r="IN9" s="952"/>
      <c r="IO9" s="952"/>
      <c r="IP9" s="952"/>
      <c r="IQ9" s="952"/>
      <c r="IR9" s="952"/>
      <c r="IS9" s="952"/>
      <c r="IT9" s="952"/>
      <c r="IU9" s="952"/>
    </row>
    <row r="10" spans="1:255" s="964" customFormat="1" ht="30" customHeight="1">
      <c r="A10" s="938" t="s">
        <v>513</v>
      </c>
      <c r="B10" s="857" t="s">
        <v>491</v>
      </c>
      <c r="C10" s="857"/>
      <c r="D10" s="939" t="s">
        <v>2104</v>
      </c>
      <c r="E10" s="940" t="s">
        <v>1308</v>
      </c>
      <c r="F10" s="946" t="s">
        <v>1308</v>
      </c>
      <c r="G10" s="946" t="s">
        <v>1308</v>
      </c>
      <c r="H10" s="2047"/>
      <c r="I10" s="1151" t="str">
        <f>IF(OR(ISTEXT(F10)=TRUE,ISTEXT(G10)=TRUE),Calculation1!$B$87,IF(F10+G10&gt;E10,Calculation1!$B$84,""))</f>
        <v>ERROR, text not valid!</v>
      </c>
      <c r="J10" s="1144"/>
      <c r="K10" s="1144"/>
      <c r="L10" s="1144"/>
      <c r="M10" s="1144"/>
      <c r="N10" s="1144"/>
      <c r="O10" s="1144"/>
      <c r="P10" s="1144"/>
      <c r="Q10" s="1144"/>
      <c r="R10" s="1144"/>
      <c r="S10" s="1144"/>
      <c r="T10" s="1144"/>
      <c r="U10" s="1144"/>
      <c r="V10" s="1144"/>
      <c r="W10" s="1144"/>
      <c r="X10" s="1144"/>
      <c r="Y10" s="1144"/>
      <c r="Z10" s="1144"/>
      <c r="AA10" s="1144"/>
      <c r="AB10" s="1144"/>
      <c r="AC10" s="1144"/>
      <c r="AD10" s="1144"/>
      <c r="AE10" s="1144"/>
      <c r="AF10" s="1144"/>
      <c r="AG10" s="1144"/>
      <c r="AH10" s="1144"/>
      <c r="AI10" s="1144"/>
      <c r="AJ10" s="1144"/>
      <c r="AK10" s="1144"/>
      <c r="AL10" s="1144"/>
      <c r="AM10" s="1144"/>
      <c r="AN10" s="1144"/>
      <c r="AO10" s="1144"/>
      <c r="AP10" s="1144"/>
      <c r="AQ10" s="1144"/>
      <c r="AR10" s="1144"/>
      <c r="AS10" s="1144"/>
      <c r="AT10" s="1144"/>
      <c r="AU10" s="1144"/>
      <c r="AV10" s="1144"/>
      <c r="AW10" s="1144"/>
      <c r="AX10" s="1144"/>
      <c r="AY10" s="1144"/>
      <c r="AZ10" s="1144"/>
      <c r="BA10" s="1144"/>
      <c r="BB10" s="1144"/>
      <c r="BC10" s="1144"/>
      <c r="BD10" s="1144"/>
      <c r="BE10" s="1144"/>
      <c r="BF10" s="1144"/>
      <c r="BG10" s="1144"/>
      <c r="BH10" s="1144"/>
      <c r="BI10" s="1144"/>
      <c r="BJ10" s="1144"/>
      <c r="BK10" s="1144"/>
      <c r="BL10" s="1144"/>
      <c r="BM10" s="1144"/>
      <c r="BN10" s="1144"/>
      <c r="BO10" s="1144"/>
      <c r="BP10" s="1144"/>
      <c r="BQ10" s="1144"/>
      <c r="BR10" s="1144"/>
      <c r="BS10" s="1144"/>
      <c r="BT10" s="1144"/>
      <c r="BU10" s="1144"/>
      <c r="BV10" s="1144"/>
      <c r="BW10" s="1144"/>
      <c r="BX10" s="1144"/>
      <c r="BY10" s="1144"/>
      <c r="BZ10" s="1144"/>
      <c r="CA10" s="1144"/>
      <c r="CB10" s="1144"/>
      <c r="CC10" s="1144"/>
      <c r="CD10" s="1144"/>
      <c r="CE10" s="1144"/>
      <c r="CF10" s="1144"/>
      <c r="CG10" s="1144"/>
      <c r="CH10" s="1144"/>
      <c r="CI10" s="1144"/>
      <c r="CJ10" s="1144"/>
      <c r="CK10" s="1144"/>
      <c r="CL10" s="1144"/>
      <c r="CM10" s="1144"/>
      <c r="CN10" s="1144"/>
      <c r="CO10" s="1144"/>
      <c r="CP10" s="1144"/>
      <c r="CQ10" s="1144"/>
      <c r="CR10" s="1144"/>
      <c r="CS10" s="1144"/>
      <c r="CT10" s="1144"/>
      <c r="CU10" s="1144"/>
      <c r="CV10" s="1144"/>
      <c r="CW10" s="1144"/>
      <c r="CX10" s="1144"/>
      <c r="CY10" s="1144"/>
      <c r="CZ10" s="1144"/>
      <c r="DA10" s="1144"/>
      <c r="DB10" s="1144"/>
      <c r="DC10" s="1144"/>
      <c r="DD10" s="1144"/>
      <c r="DE10" s="1144"/>
      <c r="DF10" s="1144"/>
      <c r="DG10" s="1144"/>
      <c r="DH10" s="1144"/>
      <c r="DI10" s="1144"/>
      <c r="DJ10" s="1144"/>
      <c r="DK10" s="1144"/>
      <c r="DL10" s="1144"/>
      <c r="DM10" s="1144"/>
      <c r="DN10" s="1144"/>
      <c r="DO10" s="1144"/>
      <c r="DP10" s="1144"/>
      <c r="DQ10" s="1144"/>
      <c r="DR10" s="1144"/>
      <c r="DS10" s="1144"/>
      <c r="DT10" s="1144"/>
      <c r="DU10" s="1144"/>
      <c r="DV10" s="1144"/>
      <c r="DW10" s="952"/>
      <c r="DX10" s="952"/>
      <c r="DY10" s="952"/>
      <c r="DZ10" s="952"/>
      <c r="EA10" s="952"/>
      <c r="EB10" s="952"/>
      <c r="EC10" s="952"/>
      <c r="ED10" s="952"/>
      <c r="EE10" s="952"/>
      <c r="EF10" s="952"/>
      <c r="EG10" s="952"/>
      <c r="EH10" s="952"/>
      <c r="EI10" s="952"/>
      <c r="EJ10" s="952"/>
      <c r="EK10" s="952"/>
      <c r="EL10" s="952"/>
      <c r="EM10" s="952"/>
      <c r="EN10" s="952"/>
      <c r="EO10" s="952"/>
      <c r="EP10" s="952"/>
      <c r="EQ10" s="952"/>
      <c r="ER10" s="952"/>
      <c r="ES10" s="952"/>
      <c r="ET10" s="952"/>
      <c r="EU10" s="952"/>
      <c r="EV10" s="952"/>
      <c r="EW10" s="952"/>
      <c r="EX10" s="952"/>
      <c r="EY10" s="952"/>
      <c r="EZ10" s="952"/>
      <c r="FA10" s="952"/>
      <c r="FB10" s="952"/>
      <c r="FC10" s="952"/>
      <c r="FD10" s="952"/>
      <c r="FE10" s="952"/>
      <c r="FF10" s="952"/>
      <c r="FG10" s="952"/>
      <c r="FH10" s="952"/>
      <c r="FI10" s="952"/>
      <c r="FJ10" s="952"/>
      <c r="FK10" s="952"/>
      <c r="FL10" s="952"/>
      <c r="FM10" s="952"/>
      <c r="FN10" s="952"/>
      <c r="FO10" s="952"/>
      <c r="FP10" s="952"/>
      <c r="FQ10" s="952"/>
      <c r="FR10" s="952"/>
      <c r="FS10" s="952"/>
      <c r="FT10" s="952"/>
      <c r="FU10" s="952"/>
      <c r="FV10" s="952"/>
      <c r="FW10" s="952"/>
      <c r="FX10" s="952"/>
      <c r="FY10" s="952"/>
      <c r="FZ10" s="952"/>
      <c r="GA10" s="952"/>
      <c r="GB10" s="952"/>
      <c r="GC10" s="952"/>
      <c r="GD10" s="952"/>
      <c r="GE10" s="952"/>
      <c r="GF10" s="952"/>
      <c r="GG10" s="952"/>
      <c r="GH10" s="952"/>
      <c r="GI10" s="952"/>
      <c r="GJ10" s="952"/>
      <c r="GK10" s="952"/>
      <c r="GL10" s="952"/>
      <c r="GM10" s="952"/>
      <c r="GN10" s="952"/>
      <c r="GO10" s="952"/>
      <c r="GP10" s="952"/>
      <c r="GQ10" s="952"/>
      <c r="GR10" s="952"/>
      <c r="GS10" s="952"/>
      <c r="GT10" s="952"/>
      <c r="GU10" s="952"/>
      <c r="GV10" s="952"/>
      <c r="GW10" s="952"/>
      <c r="GX10" s="952"/>
      <c r="GY10" s="952"/>
      <c r="GZ10" s="952"/>
      <c r="HA10" s="952"/>
      <c r="HB10" s="952"/>
      <c r="HC10" s="952"/>
      <c r="HD10" s="952"/>
      <c r="HE10" s="952"/>
      <c r="HF10" s="952"/>
      <c r="HG10" s="952"/>
      <c r="HH10" s="952"/>
      <c r="HI10" s="952"/>
      <c r="HJ10" s="952"/>
      <c r="HK10" s="952"/>
      <c r="HL10" s="952"/>
      <c r="HM10" s="952"/>
      <c r="HN10" s="952"/>
      <c r="HO10" s="952"/>
      <c r="HP10" s="952"/>
      <c r="HQ10" s="952"/>
      <c r="HR10" s="952"/>
      <c r="HS10" s="952"/>
      <c r="HT10" s="952"/>
      <c r="HU10" s="952"/>
      <c r="HV10" s="952"/>
      <c r="HW10" s="952"/>
      <c r="HX10" s="952"/>
      <c r="HY10" s="952"/>
      <c r="HZ10" s="952"/>
      <c r="IA10" s="952"/>
      <c r="IB10" s="952"/>
      <c r="IC10" s="952"/>
      <c r="ID10" s="952"/>
      <c r="IE10" s="952"/>
      <c r="IF10" s="952"/>
      <c r="IG10" s="952"/>
      <c r="IH10" s="952"/>
      <c r="II10" s="952"/>
      <c r="IJ10" s="952"/>
      <c r="IK10" s="952"/>
      <c r="IL10" s="952"/>
      <c r="IM10" s="952"/>
      <c r="IN10" s="952"/>
      <c r="IO10" s="952"/>
      <c r="IP10" s="952"/>
      <c r="IQ10" s="952"/>
      <c r="IR10" s="952"/>
      <c r="IS10" s="952"/>
      <c r="IT10" s="952"/>
      <c r="IU10" s="952"/>
    </row>
    <row r="11" spans="1:255" ht="30" customHeight="1">
      <c r="A11" s="938" t="s">
        <v>514</v>
      </c>
      <c r="B11" s="857" t="s">
        <v>914</v>
      </c>
      <c r="C11" s="857"/>
      <c r="D11" s="939" t="s">
        <v>2104</v>
      </c>
      <c r="E11" s="940" t="s">
        <v>1308</v>
      </c>
      <c r="F11" s="946" t="s">
        <v>1308</v>
      </c>
      <c r="G11" s="946" t="s">
        <v>1308</v>
      </c>
      <c r="H11" s="2047"/>
      <c r="I11" s="592" t="str">
        <f>IF(ISBLANK(F11),IF(G11&gt;E11,Calculation1!$B$84,""),IF(F11="na","",IF(OR(F11="na",ISNUMBER(F11)),IF(F11+G11&gt;E11,Calculation1!$B$84,""),Calculation1!$B$85)))</f>
        <v>ERROR, Value entered in 'No. of points achieved' must be a number or 'na'</v>
      </c>
    </row>
    <row r="12" spans="1:255" s="912" customFormat="1" ht="40.5" customHeight="1">
      <c r="A12" s="938" t="s">
        <v>1365</v>
      </c>
      <c r="B12" s="857" t="s">
        <v>1368</v>
      </c>
      <c r="C12" s="857"/>
      <c r="D12" s="939" t="s">
        <v>2104</v>
      </c>
      <c r="E12" s="940" t="s">
        <v>1308</v>
      </c>
      <c r="F12" s="946" t="s">
        <v>1308</v>
      </c>
      <c r="G12" s="946" t="s">
        <v>1308</v>
      </c>
      <c r="H12" s="2047"/>
      <c r="I12" s="1151" t="str">
        <f>IF(OR(ISTEXT(F12)=TRUE,ISTEXT(G12)=TRUE),Calculation1!$B$87,IF(F12+G12&gt;E12,Calculation1!$B$84,""))</f>
        <v>ERROR, text not valid!</v>
      </c>
      <c r="J12" s="1144"/>
      <c r="K12" s="1144"/>
      <c r="L12" s="1144"/>
      <c r="M12" s="1144"/>
      <c r="N12" s="1144"/>
      <c r="O12" s="1144"/>
      <c r="P12" s="1144"/>
      <c r="Q12" s="1144"/>
      <c r="R12" s="1144"/>
      <c r="S12" s="1144"/>
      <c r="T12" s="1144"/>
      <c r="U12" s="1144"/>
      <c r="V12" s="1144"/>
      <c r="W12" s="1144"/>
      <c r="X12" s="1144"/>
      <c r="Y12" s="1144"/>
      <c r="Z12" s="1144"/>
      <c r="AA12" s="1144"/>
      <c r="AB12" s="1144"/>
      <c r="AC12" s="1144"/>
      <c r="AD12" s="1144"/>
      <c r="AE12" s="1144"/>
      <c r="AF12" s="1144"/>
      <c r="AG12" s="1144"/>
      <c r="AH12" s="1144"/>
      <c r="AI12" s="1144"/>
      <c r="AJ12" s="1144"/>
      <c r="AK12" s="1144"/>
      <c r="AL12" s="1144"/>
      <c r="AM12" s="1144"/>
      <c r="AN12" s="1144"/>
      <c r="AO12" s="1144"/>
      <c r="AP12" s="1144"/>
      <c r="AQ12" s="1144"/>
      <c r="AR12" s="1144"/>
      <c r="AS12" s="1144"/>
      <c r="AT12" s="1144"/>
      <c r="AU12" s="1144"/>
      <c r="AV12" s="1144"/>
      <c r="AW12" s="1144"/>
      <c r="AX12" s="1144"/>
      <c r="AY12" s="1144"/>
      <c r="AZ12" s="1144"/>
      <c r="BA12" s="1144"/>
      <c r="BB12" s="1144"/>
      <c r="BC12" s="1144"/>
      <c r="BD12" s="1144"/>
      <c r="BE12" s="1144"/>
      <c r="BF12" s="1144"/>
      <c r="BG12" s="1144"/>
      <c r="BH12" s="1144"/>
      <c r="BI12" s="1144"/>
      <c r="BJ12" s="1144"/>
      <c r="BK12" s="1144"/>
      <c r="BL12" s="1144"/>
      <c r="BM12" s="1144"/>
      <c r="BN12" s="1144"/>
      <c r="BO12" s="1144"/>
      <c r="BP12" s="1144"/>
      <c r="BQ12" s="1144"/>
      <c r="BR12" s="1144"/>
      <c r="BS12" s="1144"/>
      <c r="BT12" s="1144"/>
      <c r="BU12" s="1144"/>
      <c r="BV12" s="1144"/>
      <c r="BW12" s="1144"/>
      <c r="BX12" s="1144"/>
      <c r="BY12" s="1144"/>
      <c r="BZ12" s="1144"/>
      <c r="CA12" s="1144"/>
      <c r="CB12" s="1144"/>
      <c r="CC12" s="1144"/>
      <c r="CD12" s="1144"/>
      <c r="CE12" s="1144"/>
      <c r="CF12" s="1144"/>
      <c r="CG12" s="1144"/>
      <c r="CH12" s="1144"/>
      <c r="CI12" s="1144"/>
      <c r="CJ12" s="1144"/>
      <c r="CK12" s="1144"/>
      <c r="CL12" s="1144"/>
      <c r="CM12" s="1144"/>
      <c r="CN12" s="1144"/>
      <c r="CO12" s="1144"/>
      <c r="CP12" s="1144"/>
      <c r="CQ12" s="1144"/>
      <c r="CR12" s="1144"/>
      <c r="CS12" s="1144"/>
      <c r="CT12" s="1144"/>
      <c r="CU12" s="1144"/>
      <c r="CV12" s="1144"/>
      <c r="CW12" s="1144"/>
      <c r="CX12" s="1144"/>
      <c r="CY12" s="1144"/>
      <c r="CZ12" s="1144"/>
      <c r="DA12" s="1144"/>
      <c r="DB12" s="1144"/>
      <c r="DC12" s="1144"/>
      <c r="DD12" s="1144"/>
      <c r="DE12" s="1144"/>
      <c r="DF12" s="1144"/>
      <c r="DG12" s="1144"/>
      <c r="DH12" s="1144"/>
      <c r="DI12" s="1144"/>
      <c r="DJ12" s="1144"/>
      <c r="DK12" s="1144"/>
      <c r="DL12" s="1144"/>
      <c r="DM12" s="1144"/>
      <c r="DN12" s="1144"/>
      <c r="DO12" s="1144"/>
      <c r="DP12" s="1144"/>
      <c r="DQ12" s="1144"/>
      <c r="DR12" s="1144"/>
      <c r="DS12" s="1144"/>
      <c r="DT12" s="1144"/>
      <c r="DU12" s="1144"/>
      <c r="DV12" s="1144"/>
      <c r="DW12" s="274"/>
      <c r="DX12" s="274"/>
      <c r="DY12" s="274"/>
      <c r="DZ12" s="274"/>
      <c r="EA12" s="274"/>
      <c r="EB12" s="274"/>
      <c r="EC12" s="274"/>
      <c r="ED12" s="274"/>
      <c r="EE12" s="274"/>
      <c r="EF12" s="274"/>
      <c r="EG12" s="274"/>
      <c r="EH12" s="274"/>
      <c r="EI12" s="274"/>
      <c r="EJ12" s="274"/>
      <c r="EK12" s="274"/>
      <c r="EL12" s="274"/>
      <c r="EM12" s="274"/>
      <c r="EN12" s="274"/>
      <c r="EO12" s="274"/>
      <c r="EP12" s="274"/>
      <c r="EQ12" s="274"/>
      <c r="ER12" s="274"/>
      <c r="ES12" s="274"/>
      <c r="ET12" s="274"/>
      <c r="EU12" s="274"/>
      <c r="EV12" s="274"/>
      <c r="EW12" s="274"/>
      <c r="EX12" s="274"/>
      <c r="EY12" s="274"/>
      <c r="EZ12" s="274"/>
      <c r="FA12" s="274"/>
      <c r="FB12" s="274"/>
      <c r="FC12" s="274"/>
      <c r="FD12" s="274"/>
      <c r="FE12" s="274"/>
      <c r="FF12" s="274"/>
      <c r="FG12" s="274"/>
      <c r="FH12" s="274"/>
      <c r="FI12" s="274"/>
      <c r="FJ12" s="274"/>
      <c r="FK12" s="274"/>
      <c r="FL12" s="274"/>
      <c r="FM12" s="274"/>
      <c r="FN12" s="274"/>
      <c r="FO12" s="274"/>
      <c r="FP12" s="274"/>
      <c r="FQ12" s="274"/>
      <c r="FR12" s="274"/>
      <c r="FS12" s="274"/>
      <c r="FT12" s="274"/>
      <c r="FU12" s="274"/>
      <c r="FV12" s="274"/>
      <c r="FW12" s="274"/>
      <c r="FX12" s="274"/>
      <c r="FY12" s="274"/>
      <c r="FZ12" s="274"/>
      <c r="GA12" s="274"/>
      <c r="GB12" s="274"/>
      <c r="GC12" s="274"/>
      <c r="GD12" s="274"/>
      <c r="GE12" s="274"/>
      <c r="GF12" s="274"/>
      <c r="GG12" s="274"/>
      <c r="GH12" s="274"/>
      <c r="GI12" s="274"/>
      <c r="GJ12" s="274"/>
      <c r="GK12" s="274"/>
      <c r="GL12" s="274"/>
      <c r="GM12" s="274"/>
      <c r="GN12" s="274"/>
      <c r="GO12" s="274"/>
      <c r="GP12" s="274"/>
      <c r="GQ12" s="274"/>
      <c r="GR12" s="274"/>
      <c r="GS12" s="274"/>
      <c r="GT12" s="274"/>
      <c r="GU12" s="274"/>
      <c r="GV12" s="274"/>
      <c r="GW12" s="274"/>
      <c r="GX12" s="274"/>
      <c r="GY12" s="274"/>
      <c r="GZ12" s="274"/>
      <c r="HA12" s="274"/>
      <c r="HB12" s="274"/>
      <c r="HC12" s="274"/>
      <c r="HD12" s="274"/>
      <c r="HE12" s="274"/>
      <c r="HF12" s="274"/>
      <c r="HG12" s="274"/>
      <c r="HH12" s="274"/>
      <c r="HI12" s="274"/>
      <c r="HJ12" s="274"/>
      <c r="HK12" s="274"/>
      <c r="HL12" s="274"/>
      <c r="HM12" s="274"/>
      <c r="HN12" s="274"/>
      <c r="HO12" s="274"/>
      <c r="HP12" s="274"/>
      <c r="HQ12" s="274"/>
      <c r="HR12" s="274"/>
      <c r="HS12" s="274"/>
      <c r="HT12" s="274"/>
      <c r="HU12" s="274"/>
      <c r="HV12" s="274"/>
      <c r="HW12" s="274"/>
      <c r="HX12" s="274"/>
      <c r="HY12" s="274"/>
      <c r="HZ12" s="274"/>
      <c r="IA12" s="274"/>
      <c r="IB12" s="274"/>
      <c r="IC12" s="274"/>
      <c r="ID12" s="274"/>
      <c r="IE12" s="274"/>
      <c r="IF12" s="274"/>
      <c r="IG12" s="274"/>
      <c r="IH12" s="274"/>
      <c r="II12" s="274"/>
      <c r="IJ12" s="274"/>
      <c r="IK12" s="274"/>
      <c r="IL12" s="274"/>
      <c r="IM12" s="274"/>
      <c r="IN12" s="274"/>
      <c r="IO12" s="274"/>
      <c r="IP12" s="274"/>
      <c r="IQ12" s="274"/>
      <c r="IR12" s="274"/>
      <c r="IS12" s="274"/>
      <c r="IT12" s="274"/>
      <c r="IU12" s="274"/>
    </row>
    <row r="13" spans="1:255" s="912" customFormat="1" ht="40.5" customHeight="1">
      <c r="A13" s="938" t="s">
        <v>1366</v>
      </c>
      <c r="B13" s="857" t="s">
        <v>1369</v>
      </c>
      <c r="C13" s="857"/>
      <c r="D13" s="939" t="s">
        <v>2104</v>
      </c>
      <c r="E13" s="940" t="s">
        <v>1308</v>
      </c>
      <c r="F13" s="946" t="s">
        <v>1308</v>
      </c>
      <c r="G13" s="946" t="s">
        <v>1308</v>
      </c>
      <c r="H13" s="2047"/>
      <c r="I13" s="1151" t="str">
        <f>IF(OR(ISTEXT(F13)=TRUE,ISTEXT(G13)=TRUE),Calculation1!$B$87,IF(F13+G13&gt;E13,Calculation1!$B$84,""))</f>
        <v>ERROR, text not valid!</v>
      </c>
      <c r="J13" s="1144"/>
      <c r="K13" s="1144"/>
      <c r="L13" s="1144"/>
      <c r="M13" s="1144"/>
      <c r="N13" s="1144"/>
      <c r="O13" s="1144"/>
      <c r="P13" s="1144"/>
      <c r="Q13" s="1144"/>
      <c r="R13" s="1144"/>
      <c r="S13" s="1144"/>
      <c r="T13" s="1144"/>
      <c r="U13" s="1144"/>
      <c r="V13" s="1144"/>
      <c r="W13" s="1144"/>
      <c r="X13" s="1144"/>
      <c r="Y13" s="1144"/>
      <c r="Z13" s="1144"/>
      <c r="AA13" s="1144"/>
      <c r="AB13" s="1144"/>
      <c r="AC13" s="1144"/>
      <c r="AD13" s="1144"/>
      <c r="AE13" s="1144"/>
      <c r="AF13" s="1144"/>
      <c r="AG13" s="1144"/>
      <c r="AH13" s="1144"/>
      <c r="AI13" s="1144"/>
      <c r="AJ13" s="1144"/>
      <c r="AK13" s="1144"/>
      <c r="AL13" s="1144"/>
      <c r="AM13" s="1144"/>
      <c r="AN13" s="1144"/>
      <c r="AO13" s="1144"/>
      <c r="AP13" s="1144"/>
      <c r="AQ13" s="1144"/>
      <c r="AR13" s="1144"/>
      <c r="AS13" s="1144"/>
      <c r="AT13" s="1144"/>
      <c r="AU13" s="1144"/>
      <c r="AV13" s="1144"/>
      <c r="AW13" s="1144"/>
      <c r="AX13" s="1144"/>
      <c r="AY13" s="1144"/>
      <c r="AZ13" s="1144"/>
      <c r="BA13" s="1144"/>
      <c r="BB13" s="1144"/>
      <c r="BC13" s="1144"/>
      <c r="BD13" s="1144"/>
      <c r="BE13" s="1144"/>
      <c r="BF13" s="1144"/>
      <c r="BG13" s="1144"/>
      <c r="BH13" s="1144"/>
      <c r="BI13" s="1144"/>
      <c r="BJ13" s="1144"/>
      <c r="BK13" s="1144"/>
      <c r="BL13" s="1144"/>
      <c r="BM13" s="1144"/>
      <c r="BN13" s="1144"/>
      <c r="BO13" s="1144"/>
      <c r="BP13" s="1144"/>
      <c r="BQ13" s="1144"/>
      <c r="BR13" s="1144"/>
      <c r="BS13" s="1144"/>
      <c r="BT13" s="1144"/>
      <c r="BU13" s="1144"/>
      <c r="BV13" s="1144"/>
      <c r="BW13" s="1144"/>
      <c r="BX13" s="1144"/>
      <c r="BY13" s="1144"/>
      <c r="BZ13" s="1144"/>
      <c r="CA13" s="1144"/>
      <c r="CB13" s="1144"/>
      <c r="CC13" s="1144"/>
      <c r="CD13" s="1144"/>
      <c r="CE13" s="1144"/>
      <c r="CF13" s="1144"/>
      <c r="CG13" s="1144"/>
      <c r="CH13" s="1144"/>
      <c r="CI13" s="1144"/>
      <c r="CJ13" s="1144"/>
      <c r="CK13" s="1144"/>
      <c r="CL13" s="1144"/>
      <c r="CM13" s="1144"/>
      <c r="CN13" s="1144"/>
      <c r="CO13" s="1144"/>
      <c r="CP13" s="1144"/>
      <c r="CQ13" s="1144"/>
      <c r="CR13" s="1144"/>
      <c r="CS13" s="1144"/>
      <c r="CT13" s="1144"/>
      <c r="CU13" s="1144"/>
      <c r="CV13" s="1144"/>
      <c r="CW13" s="1144"/>
      <c r="CX13" s="1144"/>
      <c r="CY13" s="1144"/>
      <c r="CZ13" s="1144"/>
      <c r="DA13" s="1144"/>
      <c r="DB13" s="1144"/>
      <c r="DC13" s="1144"/>
      <c r="DD13" s="1144"/>
      <c r="DE13" s="1144"/>
      <c r="DF13" s="1144"/>
      <c r="DG13" s="1144"/>
      <c r="DH13" s="1144"/>
      <c r="DI13" s="1144"/>
      <c r="DJ13" s="1144"/>
      <c r="DK13" s="1144"/>
      <c r="DL13" s="1144"/>
      <c r="DM13" s="1144"/>
      <c r="DN13" s="1144"/>
      <c r="DO13" s="1144"/>
      <c r="DP13" s="1144"/>
      <c r="DQ13" s="1144"/>
      <c r="DR13" s="1144"/>
      <c r="DS13" s="1144"/>
      <c r="DT13" s="1144"/>
      <c r="DU13" s="1144"/>
      <c r="DV13" s="1144"/>
      <c r="DW13" s="274"/>
      <c r="DX13" s="274"/>
      <c r="DY13" s="274"/>
      <c r="DZ13" s="274"/>
      <c r="EA13" s="274"/>
      <c r="EB13" s="274"/>
      <c r="EC13" s="274"/>
      <c r="ED13" s="274"/>
      <c r="EE13" s="274"/>
      <c r="EF13" s="274"/>
      <c r="EG13" s="274"/>
      <c r="EH13" s="274"/>
      <c r="EI13" s="274"/>
      <c r="EJ13" s="274"/>
      <c r="EK13" s="274"/>
      <c r="EL13" s="274"/>
      <c r="EM13" s="274"/>
      <c r="EN13" s="274"/>
      <c r="EO13" s="274"/>
      <c r="EP13" s="274"/>
      <c r="EQ13" s="274"/>
      <c r="ER13" s="274"/>
      <c r="ES13" s="274"/>
      <c r="ET13" s="274"/>
      <c r="EU13" s="274"/>
      <c r="EV13" s="274"/>
      <c r="EW13" s="274"/>
      <c r="EX13" s="274"/>
      <c r="EY13" s="274"/>
      <c r="EZ13" s="274"/>
      <c r="FA13" s="274"/>
      <c r="FB13" s="274"/>
      <c r="FC13" s="274"/>
      <c r="FD13" s="274"/>
      <c r="FE13" s="274"/>
      <c r="FF13" s="274"/>
      <c r="FG13" s="274"/>
      <c r="FH13" s="274"/>
      <c r="FI13" s="274"/>
      <c r="FJ13" s="274"/>
      <c r="FK13" s="274"/>
      <c r="FL13" s="274"/>
      <c r="FM13" s="274"/>
      <c r="FN13" s="274"/>
      <c r="FO13" s="274"/>
      <c r="FP13" s="274"/>
      <c r="FQ13" s="274"/>
      <c r="FR13" s="274"/>
      <c r="FS13" s="274"/>
      <c r="FT13" s="274"/>
      <c r="FU13" s="274"/>
      <c r="FV13" s="274"/>
      <c r="FW13" s="274"/>
      <c r="FX13" s="274"/>
      <c r="FY13" s="274"/>
      <c r="FZ13" s="274"/>
      <c r="GA13" s="274"/>
      <c r="GB13" s="274"/>
      <c r="GC13" s="274"/>
      <c r="GD13" s="274"/>
      <c r="GE13" s="274"/>
      <c r="GF13" s="274"/>
      <c r="GG13" s="274"/>
      <c r="GH13" s="274"/>
      <c r="GI13" s="274"/>
      <c r="GJ13" s="274"/>
      <c r="GK13" s="274"/>
      <c r="GL13" s="274"/>
      <c r="GM13" s="274"/>
      <c r="GN13" s="274"/>
      <c r="GO13" s="274"/>
      <c r="GP13" s="274"/>
      <c r="GQ13" s="274"/>
      <c r="GR13" s="274"/>
      <c r="GS13" s="274"/>
      <c r="GT13" s="274"/>
      <c r="GU13" s="274"/>
      <c r="GV13" s="274"/>
      <c r="GW13" s="274"/>
      <c r="GX13" s="274"/>
      <c r="GY13" s="274"/>
      <c r="GZ13" s="274"/>
      <c r="HA13" s="274"/>
      <c r="HB13" s="274"/>
      <c r="HC13" s="274"/>
      <c r="HD13" s="274"/>
      <c r="HE13" s="274"/>
      <c r="HF13" s="274"/>
      <c r="HG13" s="274"/>
      <c r="HH13" s="274"/>
      <c r="HI13" s="274"/>
      <c r="HJ13" s="274"/>
      <c r="HK13" s="274"/>
      <c r="HL13" s="274"/>
      <c r="HM13" s="274"/>
      <c r="HN13" s="274"/>
      <c r="HO13" s="274"/>
      <c r="HP13" s="274"/>
      <c r="HQ13" s="274"/>
      <c r="HR13" s="274"/>
      <c r="HS13" s="274"/>
      <c r="HT13" s="274"/>
      <c r="HU13" s="274"/>
      <c r="HV13" s="274"/>
      <c r="HW13" s="274"/>
      <c r="HX13" s="274"/>
      <c r="HY13" s="274"/>
      <c r="HZ13" s="274"/>
      <c r="IA13" s="274"/>
      <c r="IB13" s="274"/>
      <c r="IC13" s="274"/>
      <c r="ID13" s="274"/>
      <c r="IE13" s="274"/>
      <c r="IF13" s="274"/>
      <c r="IG13" s="274"/>
      <c r="IH13" s="274"/>
      <c r="II13" s="274"/>
      <c r="IJ13" s="274"/>
      <c r="IK13" s="274"/>
      <c r="IL13" s="274"/>
      <c r="IM13" s="274"/>
      <c r="IN13" s="274"/>
      <c r="IO13" s="274"/>
      <c r="IP13" s="274"/>
      <c r="IQ13" s="274"/>
      <c r="IR13" s="274"/>
      <c r="IS13" s="274"/>
      <c r="IT13" s="274"/>
      <c r="IU13" s="274"/>
    </row>
    <row r="14" spans="1:255" s="912" customFormat="1" ht="40.5" customHeight="1">
      <c r="A14" s="938" t="s">
        <v>1367</v>
      </c>
      <c r="B14" s="857" t="s">
        <v>1370</v>
      </c>
      <c r="C14" s="857"/>
      <c r="D14" s="939" t="s">
        <v>2104</v>
      </c>
      <c r="E14" s="940" t="s">
        <v>1308</v>
      </c>
      <c r="F14" s="946" t="s">
        <v>1308</v>
      </c>
      <c r="G14" s="946" t="s">
        <v>1308</v>
      </c>
      <c r="H14" s="2047"/>
      <c r="I14" s="1151" t="str">
        <f>IF(OR(ISTEXT(F14)=TRUE,ISTEXT(G14)=TRUE),Calculation1!$B$87,IF(F14+G14&gt;E14,Calculation1!$B$84,""))</f>
        <v>ERROR, text not valid!</v>
      </c>
      <c r="J14" s="1144"/>
      <c r="K14" s="1144"/>
      <c r="L14" s="1144"/>
      <c r="M14" s="1144"/>
      <c r="N14" s="1144"/>
      <c r="O14" s="1144"/>
      <c r="P14" s="1144"/>
      <c r="Q14" s="1144"/>
      <c r="R14" s="1144"/>
      <c r="S14" s="1144"/>
      <c r="T14" s="1144"/>
      <c r="U14" s="1144"/>
      <c r="V14" s="1144"/>
      <c r="W14" s="1144"/>
      <c r="X14" s="1144"/>
      <c r="Y14" s="1144"/>
      <c r="Z14" s="1144"/>
      <c r="AA14" s="1144"/>
      <c r="AB14" s="1144"/>
      <c r="AC14" s="1144"/>
      <c r="AD14" s="1144"/>
      <c r="AE14" s="1144"/>
      <c r="AF14" s="1144"/>
      <c r="AG14" s="1144"/>
      <c r="AH14" s="1144"/>
      <c r="AI14" s="1144"/>
      <c r="AJ14" s="1144"/>
      <c r="AK14" s="1144"/>
      <c r="AL14" s="1144"/>
      <c r="AM14" s="1144"/>
      <c r="AN14" s="1144"/>
      <c r="AO14" s="1144"/>
      <c r="AP14" s="1144"/>
      <c r="AQ14" s="1144"/>
      <c r="AR14" s="1144"/>
      <c r="AS14" s="1144"/>
      <c r="AT14" s="1144"/>
      <c r="AU14" s="1144"/>
      <c r="AV14" s="1144"/>
      <c r="AW14" s="1144"/>
      <c r="AX14" s="1144"/>
      <c r="AY14" s="1144"/>
      <c r="AZ14" s="1144"/>
      <c r="BA14" s="1144"/>
      <c r="BB14" s="1144"/>
      <c r="BC14" s="1144"/>
      <c r="BD14" s="1144"/>
      <c r="BE14" s="1144"/>
      <c r="BF14" s="1144"/>
      <c r="BG14" s="1144"/>
      <c r="BH14" s="1144"/>
      <c r="BI14" s="1144"/>
      <c r="BJ14" s="1144"/>
      <c r="BK14" s="1144"/>
      <c r="BL14" s="1144"/>
      <c r="BM14" s="1144"/>
      <c r="BN14" s="1144"/>
      <c r="BO14" s="1144"/>
      <c r="BP14" s="1144"/>
      <c r="BQ14" s="1144"/>
      <c r="BR14" s="1144"/>
      <c r="BS14" s="1144"/>
      <c r="BT14" s="1144"/>
      <c r="BU14" s="1144"/>
      <c r="BV14" s="1144"/>
      <c r="BW14" s="1144"/>
      <c r="BX14" s="1144"/>
      <c r="BY14" s="1144"/>
      <c r="BZ14" s="1144"/>
      <c r="CA14" s="1144"/>
      <c r="CB14" s="1144"/>
      <c r="CC14" s="1144"/>
      <c r="CD14" s="1144"/>
      <c r="CE14" s="1144"/>
      <c r="CF14" s="1144"/>
      <c r="CG14" s="1144"/>
      <c r="CH14" s="1144"/>
      <c r="CI14" s="1144"/>
      <c r="CJ14" s="1144"/>
      <c r="CK14" s="1144"/>
      <c r="CL14" s="1144"/>
      <c r="CM14" s="1144"/>
      <c r="CN14" s="1144"/>
      <c r="CO14" s="1144"/>
      <c r="CP14" s="1144"/>
      <c r="CQ14" s="1144"/>
      <c r="CR14" s="1144"/>
      <c r="CS14" s="1144"/>
      <c r="CT14" s="1144"/>
      <c r="CU14" s="1144"/>
      <c r="CV14" s="1144"/>
      <c r="CW14" s="1144"/>
      <c r="CX14" s="1144"/>
      <c r="CY14" s="1144"/>
      <c r="CZ14" s="1144"/>
      <c r="DA14" s="1144"/>
      <c r="DB14" s="1144"/>
      <c r="DC14" s="1144"/>
      <c r="DD14" s="1144"/>
      <c r="DE14" s="1144"/>
      <c r="DF14" s="1144"/>
      <c r="DG14" s="1144"/>
      <c r="DH14" s="1144"/>
      <c r="DI14" s="1144"/>
      <c r="DJ14" s="1144"/>
      <c r="DK14" s="1144"/>
      <c r="DL14" s="1144"/>
      <c r="DM14" s="1144"/>
      <c r="DN14" s="1144"/>
      <c r="DO14" s="1144"/>
      <c r="DP14" s="1144"/>
      <c r="DQ14" s="1144"/>
      <c r="DR14" s="1144"/>
      <c r="DS14" s="1144"/>
      <c r="DT14" s="1144"/>
      <c r="DU14" s="1144"/>
      <c r="DV14" s="1144"/>
      <c r="DW14" s="274"/>
      <c r="DX14" s="274"/>
      <c r="DY14" s="274"/>
      <c r="DZ14" s="274"/>
      <c r="EA14" s="274"/>
      <c r="EB14" s="274"/>
      <c r="EC14" s="274"/>
      <c r="ED14" s="274"/>
      <c r="EE14" s="274"/>
      <c r="EF14" s="274"/>
      <c r="EG14" s="274"/>
      <c r="EH14" s="274"/>
      <c r="EI14" s="274"/>
      <c r="EJ14" s="274"/>
      <c r="EK14" s="274"/>
      <c r="EL14" s="274"/>
      <c r="EM14" s="274"/>
      <c r="EN14" s="274"/>
      <c r="EO14" s="274"/>
      <c r="EP14" s="274"/>
      <c r="EQ14" s="274"/>
      <c r="ER14" s="274"/>
      <c r="ES14" s="274"/>
      <c r="ET14" s="274"/>
      <c r="EU14" s="274"/>
      <c r="EV14" s="274"/>
      <c r="EW14" s="274"/>
      <c r="EX14" s="274"/>
      <c r="EY14" s="274"/>
      <c r="EZ14" s="274"/>
      <c r="FA14" s="274"/>
      <c r="FB14" s="274"/>
      <c r="FC14" s="274"/>
      <c r="FD14" s="274"/>
      <c r="FE14" s="274"/>
      <c r="FF14" s="274"/>
      <c r="FG14" s="274"/>
      <c r="FH14" s="274"/>
      <c r="FI14" s="274"/>
      <c r="FJ14" s="274"/>
      <c r="FK14" s="274"/>
      <c r="FL14" s="274"/>
      <c r="FM14" s="274"/>
      <c r="FN14" s="274"/>
      <c r="FO14" s="274"/>
      <c r="FP14" s="274"/>
      <c r="FQ14" s="274"/>
      <c r="FR14" s="274"/>
      <c r="FS14" s="274"/>
      <c r="FT14" s="274"/>
      <c r="FU14" s="274"/>
      <c r="FV14" s="274"/>
      <c r="FW14" s="274"/>
      <c r="FX14" s="274"/>
      <c r="FY14" s="274"/>
      <c r="FZ14" s="274"/>
      <c r="GA14" s="274"/>
      <c r="GB14" s="274"/>
      <c r="GC14" s="274"/>
      <c r="GD14" s="274"/>
      <c r="GE14" s="274"/>
      <c r="GF14" s="274"/>
      <c r="GG14" s="274"/>
      <c r="GH14" s="274"/>
      <c r="GI14" s="274"/>
      <c r="GJ14" s="274"/>
      <c r="GK14" s="274"/>
      <c r="GL14" s="274"/>
      <c r="GM14" s="274"/>
      <c r="GN14" s="274"/>
      <c r="GO14" s="274"/>
      <c r="GP14" s="274"/>
      <c r="GQ14" s="274"/>
      <c r="GR14" s="274"/>
      <c r="GS14" s="274"/>
      <c r="GT14" s="274"/>
      <c r="GU14" s="274"/>
      <c r="GV14" s="274"/>
      <c r="GW14" s="274"/>
      <c r="GX14" s="274"/>
      <c r="GY14" s="274"/>
      <c r="GZ14" s="274"/>
      <c r="HA14" s="274"/>
      <c r="HB14" s="274"/>
      <c r="HC14" s="274"/>
      <c r="HD14" s="274"/>
      <c r="HE14" s="274"/>
      <c r="HF14" s="274"/>
      <c r="HG14" s="274"/>
      <c r="HH14" s="274"/>
      <c r="HI14" s="274"/>
      <c r="HJ14" s="274"/>
      <c r="HK14" s="274"/>
      <c r="HL14" s="274"/>
      <c r="HM14" s="274"/>
      <c r="HN14" s="274"/>
      <c r="HO14" s="274"/>
      <c r="HP14" s="274"/>
      <c r="HQ14" s="274"/>
      <c r="HR14" s="274"/>
      <c r="HS14" s="274"/>
      <c r="HT14" s="274"/>
      <c r="HU14" s="274"/>
      <c r="HV14" s="274"/>
      <c r="HW14" s="274"/>
      <c r="HX14" s="274"/>
      <c r="HY14" s="274"/>
      <c r="HZ14" s="274"/>
      <c r="IA14" s="274"/>
      <c r="IB14" s="274"/>
      <c r="IC14" s="274"/>
      <c r="ID14" s="274"/>
      <c r="IE14" s="274"/>
      <c r="IF14" s="274"/>
      <c r="IG14" s="274"/>
      <c r="IH14" s="274"/>
      <c r="II14" s="274"/>
      <c r="IJ14" s="274"/>
      <c r="IK14" s="274"/>
      <c r="IL14" s="274"/>
      <c r="IM14" s="274"/>
      <c r="IN14" s="274"/>
      <c r="IO14" s="274"/>
      <c r="IP14" s="274"/>
      <c r="IQ14" s="274"/>
      <c r="IR14" s="274"/>
      <c r="IS14" s="274"/>
      <c r="IT14" s="274"/>
      <c r="IU14" s="274"/>
    </row>
    <row r="15" spans="1:255" ht="30" customHeight="1" thickBot="1">
      <c r="A15" s="938" t="s">
        <v>1340</v>
      </c>
      <c r="B15" s="857" t="s">
        <v>1302</v>
      </c>
      <c r="C15" s="857"/>
      <c r="D15" s="939" t="s">
        <v>2104</v>
      </c>
      <c r="E15" s="940" t="s">
        <v>1308</v>
      </c>
      <c r="F15" s="946" t="s">
        <v>1308</v>
      </c>
      <c r="G15" s="946" t="s">
        <v>1308</v>
      </c>
      <c r="H15" s="2047"/>
      <c r="I15" s="897"/>
    </row>
    <row r="16" spans="1:255" ht="18.75" thickBot="1">
      <c r="A16" s="1197"/>
      <c r="B16" s="1198"/>
      <c r="C16" s="1198"/>
      <c r="D16" s="1199" t="s">
        <v>1035</v>
      </c>
      <c r="E16" s="1200">
        <f>SUM(E5:E15)</f>
        <v>15</v>
      </c>
      <c r="F16" s="1200">
        <f>SUM(F5:F15)</f>
        <v>0</v>
      </c>
      <c r="G16" s="1200">
        <f>SUM(G5:G15)</f>
        <v>0</v>
      </c>
      <c r="H16" s="1232"/>
      <c r="I16" s="316"/>
    </row>
    <row r="17" spans="1:1">
      <c r="A17" s="1150"/>
    </row>
    <row r="18" spans="1:1">
      <c r="A18" s="1150"/>
    </row>
    <row r="19" spans="1:1">
      <c r="A19" s="1150"/>
    </row>
    <row r="20" spans="1:1">
      <c r="A20" s="595" t="str">
        <f>Calculation1!$B$93</f>
        <v>Project Teams are to refer to the Green Star SA Public Building PILOT Technical Manual for explicit credit criteria and documentation requirements.</v>
      </c>
    </row>
    <row r="21" spans="1:1">
      <c r="A21" s="595" t="str">
        <f>Calculation1!$B$94</f>
        <v>The Green Star Technical Clarifications (TC) and Credit Interpretation Request (CIR) rulings provide an essential source of information to all</v>
      </c>
    </row>
    <row r="22" spans="1:1">
      <c r="A22" s="595" t="str">
        <f>Calculation1!$B$95</f>
        <v>projects undertaking Green Star assessment. They are available on the GBCSA website http://www.gbcsa.org.za . Technical Clarifications</v>
      </c>
    </row>
    <row r="23" spans="1:1">
      <c r="A23" s="595" t="str">
        <f>Calculation1!$B$96</f>
        <v xml:space="preserve">often represent the GBCSA answers to technical queries and complement Green Star SA Technical Manuals. They do not amend but clarify </v>
      </c>
    </row>
    <row r="24" spans="1:1">
      <c r="A24" s="595" t="str">
        <f>Calculation1!$B$97</f>
        <v xml:space="preserve">Credit Criteria or Compliance Requirements. They are an extension of the Technical Manual; it is the responsibility of the project teams to stay </v>
      </c>
    </row>
    <row r="25" spans="1:1">
      <c r="A25" s="595" t="str">
        <f>Calculation1!$B$98</f>
        <v xml:space="preserve">up-to-date with this section of the GBCSA website. The CIR rulings offer alternative compliance options whenever those have been deemed </v>
      </c>
    </row>
    <row r="26" spans="1:1">
      <c r="A26" s="595" t="str">
        <f>Calculation1!$B$99</f>
        <v>equivalent in meeting the Aim of Credit.</v>
      </c>
    </row>
    <row r="27" spans="1:1">
      <c r="A27" s="595"/>
    </row>
  </sheetData>
  <sheetProtection password="AD9B" sheet="1" objects="1" scenarios="1"/>
  <mergeCells count="7">
    <mergeCell ref="A6:A8"/>
    <mergeCell ref="C6:C8"/>
    <mergeCell ref="B6:B8"/>
    <mergeCell ref="H7:H8"/>
    <mergeCell ref="E7:E8"/>
    <mergeCell ref="F7:F8"/>
    <mergeCell ref="G7:G8"/>
  </mergeCells>
  <phoneticPr fontId="0"/>
  <printOptions horizontalCentered="1"/>
  <pageMargins left="0.59055118110236227" right="0.59055118110236227" top="0.47244094488188981" bottom="0.47244094488188981" header="0.23622047244094491" footer="0.35433070866141736"/>
  <pageSetup paperSize="9" scale="38" fitToHeight="2" orientation="landscape" blackAndWhite="1" r:id="rId1"/>
  <headerFooter alignWithMargins="0">
    <oddHeader>&amp;LGreen Building Council of South Africa&amp;R&amp;T   &amp;D</oddHeader>
    <oddFooter>&amp;L&amp;F&amp;CPage &amp;P of &amp;N&amp;RCategory: &amp;A</oddFooter>
  </headerFooter>
  <ignoredErrors>
    <ignoredError sqref="I1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5058" r:id="rId4" name="Button 2">
              <controlPr defaultSize="0" print="0" autoFill="0" autoPict="0" macro="[0]!GoToWaterCalc">
                <anchor moveWithCells="1" sizeWithCells="1">
                  <from>
                    <xdr:col>3</xdr:col>
                    <xdr:colOff>457200</xdr:colOff>
                    <xdr:row>4</xdr:row>
                    <xdr:rowOff>504825</xdr:rowOff>
                  </from>
                  <to>
                    <xdr:col>3</xdr:col>
                    <xdr:colOff>3448050</xdr:colOff>
                    <xdr:row>4</xdr:row>
                    <xdr:rowOff>809625</xdr:rowOff>
                  </to>
                </anchor>
              </controlPr>
            </control>
          </mc:Choice>
        </mc:AlternateContent>
        <mc:AlternateContent xmlns:mc="http://schemas.openxmlformats.org/markup-compatibility/2006">
          <mc:Choice Requires="x14">
            <control shapeId="45061" r:id="rId5" name="Button 5">
              <controlPr defaultSize="0" print="0" autoFill="0" autoPict="0" macro="[0]!GoToCreditSummary">
                <anchor moveWithCells="1" sizeWithCells="1">
                  <from>
                    <xdr:col>4</xdr:col>
                    <xdr:colOff>533400</xdr:colOff>
                    <xdr:row>16</xdr:row>
                    <xdr:rowOff>180975</xdr:rowOff>
                  </from>
                  <to>
                    <xdr:col>7</xdr:col>
                    <xdr:colOff>9525</xdr:colOff>
                    <xdr:row>19</xdr:row>
                    <xdr:rowOff>85725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EW529"/>
  <sheetViews>
    <sheetView zoomScale="80" zoomScaleNormal="80" workbookViewId="0">
      <pane ySplit="6" topLeftCell="A7" activePane="bottomLeft" state="frozen"/>
      <selection pane="bottomLeft"/>
    </sheetView>
  </sheetViews>
  <sheetFormatPr defaultColWidth="9" defaultRowHeight="15" outlineLevelCol="1"/>
  <cols>
    <col min="1" max="1" width="1.375" style="1455" customWidth="1"/>
    <col min="2" max="2" width="19.25" style="1422" customWidth="1"/>
    <col min="3" max="3" width="14.25" style="1422" customWidth="1"/>
    <col min="4" max="4" width="14.125" style="1422" customWidth="1"/>
    <col min="5" max="5" width="14.375" style="1422" customWidth="1"/>
    <col min="6" max="6" width="13.75" style="1422" customWidth="1"/>
    <col min="7" max="7" width="17.875" style="1422" customWidth="1"/>
    <col min="8" max="8" width="19.25" style="1422" customWidth="1"/>
    <col min="9" max="9" width="15.625" style="1440" customWidth="1"/>
    <col min="10" max="10" width="18.125" style="1440" customWidth="1"/>
    <col min="11" max="11" width="14.375" style="1440" customWidth="1"/>
    <col min="12" max="12" width="14.75" style="1422" customWidth="1"/>
    <col min="13" max="13" width="13.875" style="1422" customWidth="1"/>
    <col min="14" max="16" width="8.75" style="1430" hidden="1" customWidth="1" outlineLevel="1"/>
    <col min="17" max="39" width="15.125" style="1430" hidden="1" customWidth="1" outlineLevel="1"/>
    <col min="40" max="49" width="12.5" style="1430" hidden="1" customWidth="1" outlineLevel="1"/>
    <col min="50" max="50" width="13.875" style="1430" hidden="1" customWidth="1" outlineLevel="1"/>
    <col min="51" max="55" width="12.5" style="1430" hidden="1" customWidth="1" outlineLevel="1"/>
    <col min="56" max="56" width="3.5" style="1422" hidden="1" customWidth="1" outlineLevel="1"/>
    <col min="57" max="57" width="4.5" style="1530" hidden="1" customWidth="1" outlineLevel="1" collapsed="1"/>
    <col min="58" max="58" width="8" style="1530" hidden="1" customWidth="1" outlineLevel="1"/>
    <col min="59" max="59" width="3.25" style="1530" hidden="1" customWidth="1" outlineLevel="1"/>
    <col min="60" max="60" width="7.125" style="1530" hidden="1" customWidth="1" outlineLevel="1"/>
    <col min="61" max="63" width="6.5" style="1930" hidden="1" customWidth="1" outlineLevel="1"/>
    <col min="64" max="64" width="6.625" style="1930" hidden="1" customWidth="1" outlineLevel="1"/>
    <col min="65" max="66" width="8.875" style="1930" hidden="1" customWidth="1" outlineLevel="1"/>
    <col min="67" max="67" width="9.25" style="1930" hidden="1" customWidth="1" outlineLevel="1"/>
    <col min="68" max="68" width="8.875" style="1930" hidden="1" customWidth="1" outlineLevel="1"/>
    <col min="69" max="69" width="7.125" style="1930" hidden="1" customWidth="1" outlineLevel="1"/>
    <col min="70" max="71" width="6.75" style="1930" hidden="1" customWidth="1" outlineLevel="1"/>
    <col min="72" max="72" width="7.25" style="1930" hidden="1" customWidth="1" outlineLevel="1"/>
    <col min="73" max="74" width="6.75" style="1930" hidden="1" customWidth="1" outlineLevel="1"/>
    <col min="75" max="78" width="7.25" style="1930" hidden="1" customWidth="1" outlineLevel="1"/>
    <col min="79" max="80" width="6.75" style="1930" hidden="1" customWidth="1" outlineLevel="1"/>
    <col min="81" max="81" width="7.25" style="1930" hidden="1" customWidth="1" outlineLevel="1"/>
    <col min="82" max="83" width="6.75" style="1930" hidden="1" customWidth="1" outlineLevel="1"/>
    <col min="84" max="84" width="7.25" style="1930" hidden="1" customWidth="1" outlineLevel="1"/>
    <col min="85" max="86" width="6.75" style="1930" hidden="1" customWidth="1" outlineLevel="1"/>
    <col min="87" max="87" width="7.25" style="1930" hidden="1" customWidth="1" outlineLevel="1"/>
    <col min="88" max="89" width="6.75" style="1930" hidden="1" customWidth="1" outlineLevel="1"/>
    <col min="90" max="90" width="7.25" style="1930" hidden="1" customWidth="1" outlineLevel="1"/>
    <col min="91" max="92" width="6.75" style="1930" hidden="1" customWidth="1" outlineLevel="1"/>
    <col min="93" max="93" width="7.25" style="1930" hidden="1" customWidth="1" outlineLevel="1"/>
    <col min="94" max="95" width="6.75" style="1930" hidden="1" customWidth="1" outlineLevel="1"/>
    <col min="96" max="96" width="7.25" style="1930" hidden="1" customWidth="1" outlineLevel="1"/>
    <col min="97" max="98" width="6.75" style="1930" hidden="1" customWidth="1" outlineLevel="1"/>
    <col min="99" max="99" width="7.25" style="1930" hidden="1" customWidth="1" outlineLevel="1"/>
    <col min="100" max="101" width="6.75" style="1930" hidden="1" customWidth="1" outlineLevel="1"/>
    <col min="102" max="102" width="7.25" style="1930" hidden="1" customWidth="1" outlineLevel="1"/>
    <col min="103" max="103" width="6.75" style="1930" hidden="1" customWidth="1" outlineLevel="1"/>
    <col min="104" max="107" width="8" style="1930" hidden="1" customWidth="1" outlineLevel="1"/>
    <col min="108" max="108" width="13.125" style="1930" hidden="1" customWidth="1" outlineLevel="1"/>
    <col min="109" max="110" width="8" style="1930" hidden="1" customWidth="1" outlineLevel="1"/>
    <col min="111" max="112" width="8" style="1530" hidden="1" customWidth="1" outlineLevel="1"/>
    <col min="113" max="113" width="11" style="1422" customWidth="1" collapsed="1"/>
    <col min="114" max="114" width="19.125" style="1428" customWidth="1" outlineLevel="1"/>
    <col min="115" max="115" width="16.125" style="1428" customWidth="1" outlineLevel="1"/>
    <col min="116" max="117" width="10.75" style="1428" customWidth="1" outlineLevel="1"/>
    <col min="118" max="118" width="20.25" style="1428" customWidth="1" outlineLevel="1"/>
    <col min="119" max="119" width="14.25" style="1428" customWidth="1" outlineLevel="1"/>
    <col min="120" max="120" width="11.375" style="1428" customWidth="1" outlineLevel="1"/>
    <col min="121" max="121" width="5.375" style="1422" customWidth="1"/>
    <col min="122" max="122" width="17.125" style="1428" customWidth="1"/>
    <col min="123" max="150" width="5.875" style="1428" customWidth="1"/>
    <col min="151" max="151" width="14.875" style="1428" customWidth="1"/>
    <col min="152" max="16384" width="9" style="1422"/>
  </cols>
  <sheetData>
    <row r="1" spans="1:153" ht="22.5" customHeight="1" thickBot="1">
      <c r="A1" s="1414"/>
      <c r="B1" s="1415" t="s">
        <v>1467</v>
      </c>
      <c r="C1" s="1416"/>
      <c r="D1" s="2611" t="s">
        <v>2314</v>
      </c>
      <c r="E1" s="2611"/>
      <c r="F1" s="2611"/>
      <c r="G1" s="2612"/>
      <c r="H1" s="1416"/>
      <c r="I1" s="1417"/>
      <c r="J1" s="1417"/>
      <c r="K1" s="2613" t="s">
        <v>258</v>
      </c>
      <c r="L1" s="2614"/>
      <c r="M1" s="1418">
        <f>'Potable Water Calculator'!D477</f>
        <v>0</v>
      </c>
      <c r="N1" s="1419" t="s">
        <v>1260</v>
      </c>
      <c r="O1" s="1416"/>
      <c r="P1" s="2615" t="s">
        <v>1468</v>
      </c>
      <c r="Q1" s="2615"/>
      <c r="R1" s="1416"/>
      <c r="S1" s="1416"/>
      <c r="T1" s="1416"/>
      <c r="U1" s="1416"/>
      <c r="V1" s="1416"/>
      <c r="W1" s="1416"/>
      <c r="X1" s="1416"/>
      <c r="Y1" s="1416"/>
      <c r="Z1" s="1416"/>
      <c r="AA1" s="1416"/>
      <c r="AB1" s="1416"/>
      <c r="AC1" s="1416"/>
      <c r="AD1" s="1416"/>
      <c r="AE1" s="1416"/>
      <c r="AF1" s="1416"/>
      <c r="AG1" s="1416"/>
      <c r="AH1" s="1416"/>
      <c r="AI1" s="1416"/>
      <c r="AJ1" s="1416"/>
      <c r="AK1" s="1416"/>
      <c r="AL1" s="1416"/>
      <c r="AM1" s="1416"/>
      <c r="AN1" s="1416"/>
      <c r="AO1" s="1416"/>
      <c r="AP1" s="1416"/>
      <c r="AQ1" s="1416"/>
      <c r="AR1" s="1416"/>
      <c r="AS1" s="1416"/>
      <c r="AT1" s="1416"/>
      <c r="AU1" s="1416"/>
      <c r="AV1" s="1416"/>
      <c r="AW1" s="1416"/>
      <c r="AX1" s="1416"/>
      <c r="AY1" s="1416"/>
      <c r="AZ1" s="1416"/>
      <c r="BA1" s="1416"/>
      <c r="BB1" s="1416"/>
      <c r="BC1" s="1416"/>
      <c r="BD1" s="1416"/>
      <c r="BE1" s="1420"/>
      <c r="BF1" s="1420" t="str">
        <f>K1</f>
        <v>Points Achieved</v>
      </c>
      <c r="BG1" s="1420"/>
      <c r="BH1" s="1420">
        <f>M1</f>
        <v>0</v>
      </c>
      <c r="BI1" s="1421"/>
      <c r="BJ1" s="1421"/>
      <c r="BK1" s="1421"/>
      <c r="BL1" s="1421"/>
      <c r="BM1" s="1421"/>
      <c r="BN1" s="1421"/>
      <c r="BO1" s="1421"/>
      <c r="BP1" s="1421"/>
      <c r="BQ1" s="1421"/>
      <c r="BR1" s="1421"/>
      <c r="BS1" s="1421"/>
      <c r="BT1" s="1421"/>
      <c r="BU1" s="1421"/>
      <c r="BV1" s="1421"/>
      <c r="BW1" s="1421"/>
      <c r="BX1" s="1421"/>
      <c r="BY1" s="1421"/>
      <c r="BZ1" s="1421"/>
      <c r="CA1" s="1421"/>
      <c r="CB1" s="1421"/>
      <c r="CC1" s="1421"/>
      <c r="CD1" s="1421"/>
      <c r="CE1" s="1421"/>
      <c r="CF1" s="1421"/>
      <c r="CG1" s="1421"/>
      <c r="CH1" s="1421"/>
      <c r="CI1" s="1421"/>
      <c r="CJ1" s="1421"/>
      <c r="CK1" s="1421"/>
      <c r="CL1" s="1421"/>
      <c r="CM1" s="1421"/>
      <c r="CN1" s="1421"/>
      <c r="CO1" s="1421"/>
      <c r="CP1" s="1421"/>
      <c r="CQ1" s="1421"/>
      <c r="CR1" s="1421"/>
      <c r="CS1" s="1421"/>
      <c r="CT1" s="1421"/>
      <c r="CU1" s="1421"/>
      <c r="CV1" s="1421"/>
      <c r="CW1" s="1421"/>
      <c r="CX1" s="1421"/>
      <c r="CY1" s="1421"/>
      <c r="CZ1" s="1421"/>
      <c r="DA1" s="1421"/>
      <c r="DB1" s="1421"/>
      <c r="DC1" s="1421"/>
      <c r="DD1" s="1421"/>
      <c r="DE1" s="1421"/>
      <c r="DF1" s="1421"/>
      <c r="DG1" s="1420"/>
      <c r="DH1" s="1420"/>
      <c r="DJ1" s="1423" t="s">
        <v>1979</v>
      </c>
      <c r="DK1" s="1423"/>
      <c r="DL1" s="1423"/>
      <c r="DM1" s="1423"/>
      <c r="DN1" s="1423"/>
      <c r="DO1" s="1423"/>
      <c r="DP1" s="1423"/>
      <c r="DQ1" s="1424"/>
      <c r="DR1" s="1423"/>
      <c r="DS1" s="1423"/>
      <c r="DT1" s="1423"/>
      <c r="DU1" s="1423"/>
      <c r="DV1" s="1423"/>
      <c r="DW1" s="1423"/>
      <c r="DX1" s="1423"/>
      <c r="DY1" s="1423"/>
      <c r="DZ1" s="1423"/>
      <c r="EA1" s="1423"/>
      <c r="EB1" s="1423"/>
      <c r="EC1" s="1423"/>
      <c r="ED1" s="1423"/>
      <c r="EE1" s="1423"/>
      <c r="EF1" s="1423"/>
      <c r="EG1" s="1423"/>
      <c r="EH1" s="1423"/>
      <c r="EI1" s="1423"/>
      <c r="EJ1" s="1423"/>
      <c r="EK1" s="1423"/>
      <c r="EL1" s="1423"/>
      <c r="EM1" s="1423"/>
      <c r="EN1" s="1423"/>
      <c r="EO1" s="1423"/>
      <c r="EP1" s="1423"/>
      <c r="EQ1" s="1423"/>
      <c r="ER1" s="1423"/>
      <c r="ES1" s="1423"/>
      <c r="ET1" s="1423"/>
      <c r="EU1" s="1423"/>
    </row>
    <row r="2" spans="1:153" ht="15.75" customHeight="1" thickBot="1">
      <c r="A2" s="1414"/>
      <c r="B2" s="1415" t="s">
        <v>2311</v>
      </c>
      <c r="C2" s="1416"/>
      <c r="D2" s="2603" t="s">
        <v>2319</v>
      </c>
      <c r="E2" s="2604"/>
      <c r="F2" s="2604"/>
      <c r="G2" s="2604"/>
      <c r="H2" s="2604"/>
      <c r="I2" s="2604"/>
      <c r="J2" s="2604"/>
      <c r="K2" s="1417"/>
      <c r="L2" s="1425" t="s">
        <v>1469</v>
      </c>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1416"/>
      <c r="AO2" s="1416"/>
      <c r="AP2" s="1416"/>
      <c r="AQ2" s="1416"/>
      <c r="AR2" s="1416"/>
      <c r="AS2" s="1416"/>
      <c r="AT2" s="1416"/>
      <c r="AU2" s="1416"/>
      <c r="AV2" s="1416"/>
      <c r="AW2" s="1416"/>
      <c r="AX2" s="1416"/>
      <c r="AY2" s="1416"/>
      <c r="AZ2" s="1416"/>
      <c r="BA2" s="1416"/>
      <c r="BB2" s="1416"/>
      <c r="BC2" s="1416"/>
      <c r="BD2" s="1426"/>
      <c r="BE2" s="1420"/>
      <c r="BF2" s="1420"/>
      <c r="BG2" s="1420"/>
      <c r="BH2" s="1420"/>
      <c r="BI2" s="1421"/>
      <c r="BJ2" s="1421"/>
      <c r="BK2" s="1421"/>
      <c r="BL2" s="1421"/>
      <c r="BM2" s="1421"/>
      <c r="BN2" s="1421"/>
      <c r="BO2" s="1421"/>
      <c r="BP2" s="1421"/>
      <c r="BQ2" s="1421"/>
      <c r="BR2" s="1421"/>
      <c r="BS2" s="1421"/>
      <c r="BT2" s="1421"/>
      <c r="BU2" s="1421"/>
      <c r="BV2" s="1421"/>
      <c r="BW2" s="1421"/>
      <c r="BX2" s="1421"/>
      <c r="BY2" s="1421"/>
      <c r="BZ2" s="1421"/>
      <c r="CA2" s="1421"/>
      <c r="CB2" s="1421"/>
      <c r="CC2" s="1421"/>
      <c r="CD2" s="1421"/>
      <c r="CE2" s="1421"/>
      <c r="CF2" s="1421"/>
      <c r="CG2" s="1421"/>
      <c r="CH2" s="1421"/>
      <c r="CI2" s="1421"/>
      <c r="CJ2" s="1421"/>
      <c r="CK2" s="1421"/>
      <c r="CL2" s="1421"/>
      <c r="CM2" s="1421"/>
      <c r="CN2" s="1421"/>
      <c r="CO2" s="1421"/>
      <c r="CP2" s="1421"/>
      <c r="CQ2" s="1421"/>
      <c r="CR2" s="1421"/>
      <c r="CS2" s="1421"/>
      <c r="CT2" s="1421"/>
      <c r="CU2" s="1421"/>
      <c r="CV2" s="1421"/>
      <c r="CW2" s="1421"/>
      <c r="CX2" s="1421"/>
      <c r="CY2" s="1421"/>
      <c r="CZ2" s="1421"/>
      <c r="DA2" s="1421"/>
      <c r="DB2" s="1421"/>
      <c r="DC2" s="1421"/>
      <c r="DD2" s="1421"/>
      <c r="DE2" s="1421"/>
      <c r="DF2" s="1421"/>
      <c r="DG2" s="1420"/>
      <c r="DH2" s="1420"/>
      <c r="DJ2" s="1427"/>
      <c r="DK2" s="1427"/>
      <c r="DL2" s="1427"/>
      <c r="DM2" s="1427"/>
      <c r="DN2" s="1427"/>
      <c r="DO2" s="1427"/>
      <c r="EE2" s="1427"/>
      <c r="EF2" s="1427"/>
      <c r="EG2" s="1427"/>
      <c r="EH2" s="1427"/>
      <c r="EI2" s="1427"/>
      <c r="EJ2" s="1427"/>
      <c r="EK2" s="1427"/>
      <c r="EL2" s="1427"/>
      <c r="EM2" s="1427"/>
      <c r="EN2" s="1427"/>
      <c r="EO2" s="1427"/>
      <c r="EP2" s="1427"/>
      <c r="EQ2" s="1427"/>
      <c r="ER2" s="1427"/>
      <c r="ES2" s="1427"/>
      <c r="ET2" s="1427"/>
      <c r="EU2" s="1427"/>
    </row>
    <row r="3" spans="1:153" ht="17.25" thickBot="1">
      <c r="A3" s="2083"/>
      <c r="B3" s="2083"/>
      <c r="C3" s="2084" t="s">
        <v>2315</v>
      </c>
      <c r="D3" s="2086" t="s">
        <v>2195</v>
      </c>
      <c r="E3" s="2087"/>
      <c r="F3" s="2087"/>
      <c r="G3" s="2087"/>
      <c r="H3" s="2087"/>
      <c r="I3" s="2087"/>
      <c r="J3" s="2088"/>
      <c r="K3" s="2083"/>
      <c r="L3" s="2073" t="s">
        <v>1470</v>
      </c>
      <c r="M3" s="1429" t="s">
        <v>1471</v>
      </c>
      <c r="BD3" s="1426"/>
      <c r="BE3" s="1420"/>
      <c r="BF3" s="1420"/>
      <c r="BG3" s="1420"/>
      <c r="BH3" s="1420"/>
      <c r="BI3" s="1431"/>
      <c r="BJ3" s="1432" t="s">
        <v>1208</v>
      </c>
      <c r="BK3" s="1432" t="s">
        <v>1209</v>
      </c>
      <c r="BL3" s="1432" t="s">
        <v>1210</v>
      </c>
      <c r="BM3" s="1432" t="s">
        <v>1211</v>
      </c>
      <c r="BN3" s="1432" t="s">
        <v>1212</v>
      </c>
      <c r="BO3" s="1432" t="s">
        <v>1213</v>
      </c>
      <c r="BP3" s="1432" t="s">
        <v>1214</v>
      </c>
      <c r="BQ3" s="1432" t="s">
        <v>1215</v>
      </c>
      <c r="BR3" s="1432" t="s">
        <v>1216</v>
      </c>
      <c r="BS3" s="1432" t="s">
        <v>1217</v>
      </c>
      <c r="BT3" s="1432" t="s">
        <v>1218</v>
      </c>
      <c r="BU3" s="1432" t="s">
        <v>1219</v>
      </c>
      <c r="BV3" s="1433" t="s">
        <v>32</v>
      </c>
      <c r="BW3" s="1431"/>
      <c r="BX3" s="2616" t="s">
        <v>1472</v>
      </c>
      <c r="BY3" s="2617"/>
      <c r="BZ3" s="1431"/>
      <c r="CA3" s="1431"/>
      <c r="CB3" s="1431"/>
      <c r="CC3" s="1431"/>
      <c r="CD3" s="1431"/>
      <c r="CE3" s="1431"/>
      <c r="CF3" s="1431"/>
      <c r="CG3" s="1431"/>
      <c r="CH3" s="1421"/>
      <c r="CI3" s="1421"/>
      <c r="CJ3" s="1421"/>
      <c r="CK3" s="1421"/>
      <c r="CL3" s="1421"/>
      <c r="CM3" s="1421"/>
      <c r="CN3" s="1421"/>
      <c r="CO3" s="1421"/>
      <c r="CP3" s="1421"/>
      <c r="CQ3" s="1421"/>
      <c r="CR3" s="1421"/>
      <c r="CS3" s="1421"/>
      <c r="CT3" s="1421"/>
      <c r="CU3" s="1421"/>
      <c r="CV3" s="1421"/>
      <c r="CW3" s="1421"/>
      <c r="CX3" s="1421"/>
      <c r="CY3" s="1421"/>
      <c r="CZ3" s="1421"/>
      <c r="DA3" s="1421"/>
      <c r="DB3" s="1421"/>
      <c r="DC3" s="1421"/>
      <c r="DD3" s="1421"/>
      <c r="DE3" s="1421"/>
      <c r="DF3" s="1421"/>
      <c r="DG3" s="1420"/>
      <c r="DH3" s="1420"/>
    </row>
    <row r="4" spans="1:153" s="1440" customFormat="1" ht="16.5">
      <c r="A4" s="2083"/>
      <c r="B4" s="2083"/>
      <c r="C4" s="2084" t="s">
        <v>2316</v>
      </c>
      <c r="D4" s="2075" t="s">
        <v>2196</v>
      </c>
      <c r="E4" s="2076"/>
      <c r="F4" s="2076"/>
      <c r="G4" s="2076" t="s">
        <v>2197</v>
      </c>
      <c r="H4" s="2076"/>
      <c r="I4" s="2076" t="s">
        <v>2198</v>
      </c>
      <c r="J4" s="2089" t="s">
        <v>2318</v>
      </c>
      <c r="K4" s="2083"/>
      <c r="L4" s="2071" t="s">
        <v>1928</v>
      </c>
      <c r="M4" s="1435" t="s">
        <v>121</v>
      </c>
      <c r="N4" s="1430"/>
      <c r="O4" s="1430"/>
      <c r="P4" s="1430"/>
      <c r="Q4" s="1430"/>
      <c r="R4" s="1430"/>
      <c r="S4" s="1430"/>
      <c r="T4" s="1430"/>
      <c r="U4" s="1430"/>
      <c r="V4" s="1430"/>
      <c r="W4" s="1430"/>
      <c r="X4" s="1430"/>
      <c r="Y4" s="1430"/>
      <c r="Z4" s="1430"/>
      <c r="AA4" s="1430"/>
      <c r="AB4" s="1430"/>
      <c r="AC4" s="1430"/>
      <c r="AD4" s="1430"/>
      <c r="AE4" s="1430"/>
      <c r="AF4" s="1430"/>
      <c r="AG4" s="1430"/>
      <c r="AH4" s="1430"/>
      <c r="AI4" s="1430"/>
      <c r="AJ4" s="1430"/>
      <c r="AK4" s="1430"/>
      <c r="AL4" s="1430"/>
      <c r="AM4" s="1430"/>
      <c r="AN4" s="1430"/>
      <c r="AO4" s="1430"/>
      <c r="AP4" s="1430"/>
      <c r="AQ4" s="1430"/>
      <c r="AR4" s="1430"/>
      <c r="AS4" s="1430"/>
      <c r="AT4" s="1430"/>
      <c r="AU4" s="1430"/>
      <c r="AV4" s="1430"/>
      <c r="AW4" s="1430"/>
      <c r="AX4" s="1430"/>
      <c r="AY4" s="1430"/>
      <c r="AZ4" s="1430"/>
      <c r="BA4" s="1430"/>
      <c r="BB4" s="1430"/>
      <c r="BC4" s="1430"/>
      <c r="BD4" s="1426"/>
      <c r="BE4" s="2532" t="str">
        <f>D31</f>
        <v>Polokwane</v>
      </c>
      <c r="BF4" s="2532"/>
      <c r="BG4" s="2532"/>
      <c r="BH4" s="2532"/>
      <c r="BI4" s="2532"/>
      <c r="BJ4" s="1436">
        <f>D36</f>
        <v>82</v>
      </c>
      <c r="BK4" s="1436">
        <f>D37</f>
        <v>60</v>
      </c>
      <c r="BL4" s="1436">
        <f>D38</f>
        <v>52</v>
      </c>
      <c r="BM4" s="1436">
        <f>D39</f>
        <v>33</v>
      </c>
      <c r="BN4" s="1436">
        <f>D40</f>
        <v>11</v>
      </c>
      <c r="BO4" s="1436">
        <f>D41</f>
        <v>5</v>
      </c>
      <c r="BP4" s="1436">
        <f>D42</f>
        <v>3</v>
      </c>
      <c r="BQ4" s="1436">
        <f>D43</f>
        <v>6</v>
      </c>
      <c r="BR4" s="1436">
        <f>D44</f>
        <v>17</v>
      </c>
      <c r="BS4" s="1436">
        <f>D45</f>
        <v>43</v>
      </c>
      <c r="BT4" s="1436">
        <f>D46</f>
        <v>85</v>
      </c>
      <c r="BU4" s="1437">
        <f>D47</f>
        <v>81</v>
      </c>
      <c r="BV4" s="1438">
        <f>SUM(BJ4:BU4)</f>
        <v>478</v>
      </c>
      <c r="BW4" s="1431"/>
      <c r="BX4" s="2618" t="s">
        <v>1474</v>
      </c>
      <c r="BY4" s="2619"/>
      <c r="BZ4" s="1431"/>
      <c r="CA4" s="1431"/>
      <c r="CB4" s="1431"/>
      <c r="CC4" s="1431"/>
      <c r="CD4" s="1431"/>
      <c r="CE4" s="1431"/>
      <c r="CF4" s="1431"/>
      <c r="CG4" s="1431"/>
      <c r="CH4" s="1421"/>
      <c r="CI4" s="1421"/>
      <c r="CJ4" s="1421"/>
      <c r="CK4" s="1421"/>
      <c r="CL4" s="1421"/>
      <c r="CM4" s="1421"/>
      <c r="CN4" s="1421"/>
      <c r="CO4" s="1421"/>
      <c r="CP4" s="1421"/>
      <c r="CQ4" s="1421"/>
      <c r="CR4" s="1421"/>
      <c r="CS4" s="1421"/>
      <c r="CT4" s="1421"/>
      <c r="CU4" s="1421"/>
      <c r="CV4" s="1421"/>
      <c r="CW4" s="1421"/>
      <c r="CX4" s="1421"/>
      <c r="CY4" s="1421"/>
      <c r="CZ4" s="1421"/>
      <c r="DA4" s="1421"/>
      <c r="DB4" s="1421"/>
      <c r="DC4" s="1421"/>
      <c r="DD4" s="1431"/>
      <c r="DE4" s="1431"/>
      <c r="DF4" s="1421"/>
      <c r="DG4" s="1439"/>
      <c r="DH4" s="1420"/>
      <c r="DI4" s="1422"/>
      <c r="DJ4" s="1428"/>
      <c r="DK4" s="1428"/>
      <c r="DL4" s="1428"/>
      <c r="DM4" s="1428"/>
      <c r="DN4" s="1428"/>
      <c r="DO4" s="1428"/>
      <c r="DP4" s="1428"/>
      <c r="DQ4" s="1422"/>
      <c r="DR4" s="1428"/>
      <c r="DS4" s="1428"/>
      <c r="DT4" s="1428"/>
      <c r="DU4" s="1428"/>
      <c r="DV4" s="1428"/>
      <c r="DW4" s="1428"/>
      <c r="DX4" s="1428"/>
      <c r="DY4" s="1428"/>
      <c r="DZ4" s="1428"/>
      <c r="EA4" s="1428"/>
      <c r="EB4" s="1428"/>
      <c r="EC4" s="1428"/>
      <c r="ED4" s="1428"/>
      <c r="EE4" s="1428"/>
      <c r="EF4" s="1428"/>
      <c r="EG4" s="1428"/>
      <c r="EH4" s="1428"/>
      <c r="EI4" s="1428"/>
      <c r="EJ4" s="1428"/>
      <c r="EK4" s="1428"/>
      <c r="EL4" s="1428"/>
      <c r="EM4" s="1428"/>
      <c r="EN4" s="1428"/>
      <c r="EO4" s="1428"/>
      <c r="EP4" s="1428"/>
      <c r="EQ4" s="1428"/>
      <c r="ER4" s="1428"/>
      <c r="ES4" s="1428"/>
      <c r="ET4" s="1428"/>
      <c r="EU4" s="1428"/>
    </row>
    <row r="5" spans="1:153" s="1440" customFormat="1" ht="15" customHeight="1" thickBot="1">
      <c r="A5" s="2083"/>
      <c r="B5" s="2083"/>
      <c r="C5" s="2084"/>
      <c r="D5" s="2090" t="s">
        <v>2199</v>
      </c>
      <c r="E5" s="2077"/>
      <c r="F5" s="2077" t="s">
        <v>2200</v>
      </c>
      <c r="G5" s="2077"/>
      <c r="H5" s="2077" t="s">
        <v>2201</v>
      </c>
      <c r="I5" s="2077"/>
      <c r="J5" s="2078"/>
      <c r="K5" s="2083"/>
      <c r="L5" s="2072" t="s">
        <v>1475</v>
      </c>
      <c r="M5" s="1441" t="s">
        <v>337</v>
      </c>
      <c r="N5" s="2605" t="s">
        <v>1932</v>
      </c>
      <c r="O5" s="1430"/>
      <c r="P5" s="1430"/>
      <c r="Q5" s="1430"/>
      <c r="R5" s="1430"/>
      <c r="S5" s="1430"/>
      <c r="T5" s="1430"/>
      <c r="U5" s="1430"/>
      <c r="V5" s="1430"/>
      <c r="W5" s="1430"/>
      <c r="X5" s="1430"/>
      <c r="Y5" s="1430"/>
      <c r="Z5" s="1430"/>
      <c r="AA5" s="1430"/>
      <c r="AB5" s="1430"/>
      <c r="AC5" s="1430"/>
      <c r="AD5" s="1430"/>
      <c r="AE5" s="1430"/>
      <c r="AF5" s="1430"/>
      <c r="AG5" s="1430"/>
      <c r="AH5" s="1430"/>
      <c r="AI5" s="1430"/>
      <c r="AJ5" s="1430"/>
      <c r="AK5" s="1430"/>
      <c r="AL5" s="1430"/>
      <c r="AM5" s="1430"/>
      <c r="AN5" s="1430"/>
      <c r="AO5" s="1430"/>
      <c r="AP5" s="1430"/>
      <c r="AQ5" s="1430"/>
      <c r="AR5" s="1430"/>
      <c r="AS5" s="1430"/>
      <c r="AT5" s="1430"/>
      <c r="AU5" s="1430"/>
      <c r="AV5" s="1430"/>
      <c r="AW5" s="1430"/>
      <c r="AX5" s="1430"/>
      <c r="AY5" s="1430"/>
      <c r="AZ5" s="1430"/>
      <c r="BA5" s="1430"/>
      <c r="BB5" s="1430"/>
      <c r="BC5" s="1430"/>
      <c r="BD5" s="1426"/>
      <c r="BE5" s="2532" t="s">
        <v>1476</v>
      </c>
      <c r="BF5" s="2532"/>
      <c r="BG5" s="2532"/>
      <c r="BH5" s="2532"/>
      <c r="BI5" s="2532"/>
      <c r="BJ5" s="1436">
        <f>E36</f>
        <v>11</v>
      </c>
      <c r="BK5" s="1436">
        <f>E37</f>
        <v>8</v>
      </c>
      <c r="BL5" s="1436">
        <f>E38</f>
        <v>7</v>
      </c>
      <c r="BM5" s="1436">
        <f>E39</f>
        <v>4</v>
      </c>
      <c r="BN5" s="1436">
        <f>E40</f>
        <v>2</v>
      </c>
      <c r="BO5" s="1436">
        <f>E41</f>
        <v>1</v>
      </c>
      <c r="BP5" s="1436">
        <f>E42</f>
        <v>0</v>
      </c>
      <c r="BQ5" s="1436">
        <f>E43</f>
        <v>1</v>
      </c>
      <c r="BR5" s="1436">
        <f>E44</f>
        <v>2</v>
      </c>
      <c r="BS5" s="1436">
        <f>E45</f>
        <v>6</v>
      </c>
      <c r="BT5" s="1436">
        <f>E46</f>
        <v>12</v>
      </c>
      <c r="BU5" s="1437">
        <f>E47</f>
        <v>11</v>
      </c>
      <c r="BV5" s="1442">
        <f>SUM(BJ5:BU5)</f>
        <v>65</v>
      </c>
      <c r="BW5" s="1431"/>
      <c r="BX5" s="2606" t="s">
        <v>1470</v>
      </c>
      <c r="BY5" s="2607"/>
      <c r="BZ5" s="1431"/>
      <c r="CA5" s="1431"/>
      <c r="CB5" s="1431"/>
      <c r="CC5" s="1431"/>
      <c r="CD5" s="1431"/>
      <c r="CE5" s="1431"/>
      <c r="CF5" s="1431"/>
      <c r="CG5" s="1431"/>
      <c r="CH5" s="1431"/>
      <c r="CI5" s="1421"/>
      <c r="CJ5" s="1421"/>
      <c r="CK5" s="1431"/>
      <c r="CL5" s="1421"/>
      <c r="CM5" s="1421"/>
      <c r="CN5" s="1431"/>
      <c r="CO5" s="1421"/>
      <c r="CP5" s="1421"/>
      <c r="CQ5" s="1431"/>
      <c r="CR5" s="1421"/>
      <c r="CS5" s="1421"/>
      <c r="CT5" s="1431"/>
      <c r="CU5" s="1421"/>
      <c r="CV5" s="1421"/>
      <c r="CW5" s="1431"/>
      <c r="CX5" s="1421"/>
      <c r="CY5" s="1421"/>
      <c r="CZ5" s="1421"/>
      <c r="DA5" s="1421"/>
      <c r="DB5" s="1421"/>
      <c r="DC5" s="1421"/>
      <c r="DD5" s="1431"/>
      <c r="DE5" s="1431"/>
      <c r="DF5" s="1421"/>
      <c r="DG5" s="1439"/>
      <c r="DH5" s="1420"/>
      <c r="DI5" s="1422"/>
      <c r="DJ5" s="1428"/>
      <c r="DK5" s="1428"/>
      <c r="DL5" s="1428"/>
      <c r="DM5" s="1428"/>
      <c r="DN5" s="1428"/>
      <c r="DO5" s="1428"/>
      <c r="DP5" s="1428"/>
      <c r="DQ5" s="1422"/>
      <c r="DR5" s="1428"/>
      <c r="DS5" s="1428"/>
      <c r="DT5" s="1428"/>
      <c r="DU5" s="1428"/>
      <c r="DV5" s="1428"/>
      <c r="DW5" s="1428"/>
      <c r="DX5" s="1428"/>
      <c r="DY5" s="1428"/>
      <c r="DZ5" s="1428"/>
      <c r="EA5" s="1428"/>
      <c r="EB5" s="1428"/>
      <c r="EC5" s="1428"/>
      <c r="ED5" s="1428"/>
      <c r="EE5" s="1428"/>
      <c r="EF5" s="1428"/>
      <c r="EG5" s="1428"/>
      <c r="EH5" s="1428"/>
      <c r="EI5" s="1428"/>
      <c r="EJ5" s="1428"/>
      <c r="EK5" s="1428"/>
      <c r="EL5" s="1428"/>
      <c r="EM5" s="1428"/>
      <c r="EN5" s="1428"/>
      <c r="EO5" s="1428"/>
      <c r="EP5" s="1428"/>
      <c r="EQ5" s="1428"/>
      <c r="ER5" s="1428"/>
      <c r="ES5" s="1428"/>
      <c r="ET5" s="1428"/>
      <c r="EU5" s="1428"/>
    </row>
    <row r="6" spans="1:153" s="1440" customFormat="1" ht="17.25" thickBot="1">
      <c r="A6" s="2083"/>
      <c r="B6" s="2083"/>
      <c r="C6" s="2084" t="s">
        <v>2317</v>
      </c>
      <c r="D6" s="2091" t="s">
        <v>2202</v>
      </c>
      <c r="E6" s="2079"/>
      <c r="F6" s="2080"/>
      <c r="G6" s="2081" t="s">
        <v>1964</v>
      </c>
      <c r="H6" s="2081"/>
      <c r="I6" s="2081"/>
      <c r="J6" s="2082"/>
      <c r="K6" s="2083"/>
      <c r="L6" s="2074" t="s">
        <v>1930</v>
      </c>
      <c r="M6" s="1443"/>
      <c r="N6" s="2605"/>
      <c r="O6" s="1430"/>
      <c r="P6" s="1430"/>
      <c r="Q6" s="1430"/>
      <c r="R6" s="1430"/>
      <c r="S6" s="1430"/>
      <c r="T6" s="1430"/>
      <c r="U6" s="1430"/>
      <c r="V6" s="1430"/>
      <c r="W6" s="1430"/>
      <c r="X6" s="1430"/>
      <c r="Y6" s="1430"/>
      <c r="Z6" s="1430"/>
      <c r="AA6" s="1430"/>
      <c r="AB6" s="1430"/>
      <c r="AC6" s="1430"/>
      <c r="AD6" s="1430"/>
      <c r="AE6" s="1430"/>
      <c r="AF6" s="1430"/>
      <c r="AG6" s="1430"/>
      <c r="AH6" s="1430"/>
      <c r="AI6" s="1430"/>
      <c r="AJ6" s="1430"/>
      <c r="AK6" s="1430"/>
      <c r="AL6" s="1430"/>
      <c r="AM6" s="1430"/>
      <c r="AN6" s="1430"/>
      <c r="AO6" s="1430"/>
      <c r="AP6" s="1430"/>
      <c r="AQ6" s="1430"/>
      <c r="AR6" s="1430"/>
      <c r="AS6" s="1430"/>
      <c r="AT6" s="1430"/>
      <c r="AU6" s="1430"/>
      <c r="AV6" s="1430"/>
      <c r="AW6" s="1430"/>
      <c r="AX6" s="1430"/>
      <c r="AY6" s="1430"/>
      <c r="AZ6" s="1430"/>
      <c r="BA6" s="1430"/>
      <c r="BB6" s="1430"/>
      <c r="BC6" s="1430"/>
      <c r="BD6" s="1426"/>
      <c r="BE6" s="2532" t="s">
        <v>1477</v>
      </c>
      <c r="BF6" s="2532"/>
      <c r="BG6" s="2532"/>
      <c r="BH6" s="2532"/>
      <c r="BI6" s="2532"/>
      <c r="BJ6" s="1444">
        <v>31</v>
      </c>
      <c r="BK6" s="1444">
        <v>28</v>
      </c>
      <c r="BL6" s="1444">
        <v>31</v>
      </c>
      <c r="BM6" s="1444">
        <v>30</v>
      </c>
      <c r="BN6" s="1444">
        <v>31</v>
      </c>
      <c r="BO6" s="1444">
        <v>30</v>
      </c>
      <c r="BP6" s="1444">
        <v>31</v>
      </c>
      <c r="BQ6" s="1444">
        <v>31</v>
      </c>
      <c r="BR6" s="1444">
        <v>30</v>
      </c>
      <c r="BS6" s="1444">
        <v>31</v>
      </c>
      <c r="BT6" s="1444">
        <v>30</v>
      </c>
      <c r="BU6" s="1445">
        <v>31</v>
      </c>
      <c r="BV6" s="1442">
        <f>SUM(BJ6:BU6)</f>
        <v>365</v>
      </c>
      <c r="BW6" s="1431"/>
      <c r="BX6" s="1431"/>
      <c r="BY6" s="1431"/>
      <c r="BZ6" s="1431"/>
      <c r="CA6" s="1431"/>
      <c r="CB6" s="1431"/>
      <c r="CC6" s="1431"/>
      <c r="CD6" s="1431"/>
      <c r="CE6" s="1431"/>
      <c r="CF6" s="1431"/>
      <c r="CG6" s="1431"/>
      <c r="CH6" s="1431"/>
      <c r="CI6" s="1421"/>
      <c r="CJ6" s="1421"/>
      <c r="CK6" s="1431"/>
      <c r="CL6" s="1421"/>
      <c r="CM6" s="1421"/>
      <c r="CN6" s="1431"/>
      <c r="CO6" s="1421"/>
      <c r="CP6" s="1421"/>
      <c r="CQ6" s="1431"/>
      <c r="CR6" s="1421"/>
      <c r="CS6" s="1421"/>
      <c r="CT6" s="1431"/>
      <c r="CU6" s="1421"/>
      <c r="CV6" s="1421"/>
      <c r="CW6" s="1431"/>
      <c r="CX6" s="1421"/>
      <c r="CY6" s="1421"/>
      <c r="CZ6" s="1421"/>
      <c r="DA6" s="1421"/>
      <c r="DB6" s="1421"/>
      <c r="DC6" s="1421"/>
      <c r="DD6" s="1431"/>
      <c r="DE6" s="1431"/>
      <c r="DF6" s="1421"/>
      <c r="DG6" s="1439"/>
      <c r="DH6" s="1420"/>
      <c r="DI6" s="1422"/>
      <c r="DJ6" s="1428"/>
      <c r="DK6" s="1428"/>
      <c r="DL6" s="1428"/>
      <c r="DM6" s="1428"/>
      <c r="DN6" s="1428"/>
      <c r="DO6" s="1428"/>
      <c r="DP6" s="1428"/>
      <c r="DQ6" s="1422"/>
      <c r="DR6" s="1428"/>
      <c r="DS6" s="1428"/>
      <c r="DT6" s="1428"/>
      <c r="DU6" s="1428"/>
      <c r="DV6" s="1428"/>
      <c r="DW6" s="1428"/>
      <c r="DX6" s="1428"/>
      <c r="DY6" s="1428"/>
      <c r="DZ6" s="1428"/>
      <c r="EA6" s="1428"/>
      <c r="EB6" s="1428"/>
      <c r="EC6" s="1428"/>
      <c r="ED6" s="1428"/>
      <c r="EE6" s="1428"/>
      <c r="EF6" s="1428"/>
      <c r="EG6" s="1428"/>
      <c r="EH6" s="1428"/>
      <c r="EI6" s="1428"/>
      <c r="EJ6" s="1428"/>
      <c r="EK6" s="1428"/>
      <c r="EL6" s="1428"/>
      <c r="EM6" s="1428"/>
      <c r="EN6" s="1428"/>
      <c r="EO6" s="1428"/>
      <c r="EP6" s="1428"/>
      <c r="EQ6" s="1428"/>
      <c r="ER6" s="1428"/>
      <c r="ES6" s="1428"/>
      <c r="ET6" s="1428"/>
      <c r="EU6" s="1428"/>
    </row>
    <row r="7" spans="1:153" s="1440" customFormat="1" ht="36.75" customHeight="1">
      <c r="A7" s="1446"/>
      <c r="B7" s="2085" t="s">
        <v>1478</v>
      </c>
      <c r="C7" s="1611"/>
      <c r="D7" s="1611"/>
      <c r="E7" s="1611"/>
      <c r="F7" s="1611"/>
      <c r="G7" s="1611"/>
      <c r="H7" s="1611"/>
      <c r="I7" s="1611"/>
      <c r="J7" s="1611"/>
      <c r="K7" s="1611"/>
      <c r="L7" s="1611"/>
      <c r="M7" s="1611"/>
      <c r="N7" s="2005"/>
      <c r="O7" s="2005"/>
      <c r="P7" s="2005"/>
      <c r="Q7" s="2005"/>
      <c r="R7" s="2005"/>
      <c r="S7" s="2005"/>
      <c r="T7" s="2005"/>
      <c r="U7" s="2005"/>
      <c r="V7" s="1448"/>
      <c r="W7" s="1448"/>
      <c r="X7" s="1448"/>
      <c r="Y7" s="1448"/>
      <c r="Z7" s="1448"/>
      <c r="AA7" s="1448"/>
      <c r="AB7" s="1448"/>
      <c r="AC7" s="1448"/>
      <c r="AD7" s="1448"/>
      <c r="AE7" s="1448"/>
      <c r="AF7" s="1448"/>
      <c r="AG7" s="1448"/>
      <c r="AH7" s="1448"/>
      <c r="AI7" s="1448"/>
      <c r="AJ7" s="1448"/>
      <c r="AK7" s="1448"/>
      <c r="AL7" s="1448"/>
      <c r="AM7" s="1448"/>
      <c r="AN7" s="1448"/>
      <c r="AO7" s="1448"/>
      <c r="AP7" s="1448"/>
      <c r="AQ7" s="1448"/>
      <c r="AR7" s="1448"/>
      <c r="AS7" s="1448"/>
      <c r="AT7" s="1448"/>
      <c r="AU7" s="1448"/>
      <c r="AV7" s="1448"/>
      <c r="AW7" s="1448"/>
      <c r="AX7" s="1448"/>
      <c r="AY7" s="1448"/>
      <c r="AZ7" s="1448"/>
      <c r="BA7" s="1448"/>
      <c r="BB7" s="1448"/>
      <c r="BC7" s="1448"/>
      <c r="BD7" s="1449"/>
      <c r="BE7" s="2532" t="s">
        <v>1479</v>
      </c>
      <c r="BF7" s="2532"/>
      <c r="BG7" s="2532"/>
      <c r="BH7" s="2532"/>
      <c r="BI7" s="2532"/>
      <c r="BJ7" s="1450">
        <f t="shared" ref="BJ7:BU7" si="0">IFERROR(ROUND(BJ6/BJ5,0),BJ6)</f>
        <v>3</v>
      </c>
      <c r="BK7" s="1450">
        <f t="shared" si="0"/>
        <v>4</v>
      </c>
      <c r="BL7" s="1450">
        <f t="shared" si="0"/>
        <v>4</v>
      </c>
      <c r="BM7" s="1450">
        <f t="shared" si="0"/>
        <v>8</v>
      </c>
      <c r="BN7" s="1450">
        <f t="shared" si="0"/>
        <v>16</v>
      </c>
      <c r="BO7" s="1450">
        <f t="shared" si="0"/>
        <v>30</v>
      </c>
      <c r="BP7" s="1450">
        <f t="shared" si="0"/>
        <v>31</v>
      </c>
      <c r="BQ7" s="1450">
        <f t="shared" si="0"/>
        <v>31</v>
      </c>
      <c r="BR7" s="1450">
        <f t="shared" si="0"/>
        <v>15</v>
      </c>
      <c r="BS7" s="1450">
        <f t="shared" si="0"/>
        <v>5</v>
      </c>
      <c r="BT7" s="1450">
        <f t="shared" si="0"/>
        <v>3</v>
      </c>
      <c r="BU7" s="1450">
        <f t="shared" si="0"/>
        <v>3</v>
      </c>
      <c r="BV7" s="1431"/>
      <c r="BW7" s="1431"/>
      <c r="BX7" s="1431"/>
      <c r="BY7" s="1431"/>
      <c r="BZ7" s="1431"/>
      <c r="CA7" s="1431"/>
      <c r="CB7" s="1431"/>
      <c r="CC7" s="1431"/>
      <c r="CD7" s="1431"/>
      <c r="CE7" s="1431"/>
      <c r="CF7" s="1431"/>
      <c r="CG7" s="1431"/>
      <c r="CH7" s="1431"/>
      <c r="CI7" s="1421"/>
      <c r="CJ7" s="1421"/>
      <c r="CK7" s="1431"/>
      <c r="CL7" s="1421"/>
      <c r="CM7" s="1421"/>
      <c r="CN7" s="1431"/>
      <c r="CO7" s="1421"/>
      <c r="CP7" s="1421"/>
      <c r="CQ7" s="1431"/>
      <c r="CR7" s="1421"/>
      <c r="CS7" s="1421"/>
      <c r="CT7" s="1431"/>
      <c r="CU7" s="1421"/>
      <c r="CV7" s="1421"/>
      <c r="CW7" s="1431"/>
      <c r="CX7" s="1421"/>
      <c r="CY7" s="1421"/>
      <c r="CZ7" s="1421"/>
      <c r="DA7" s="1421"/>
      <c r="DB7" s="1421"/>
      <c r="DC7" s="1421"/>
      <c r="DD7" s="1431"/>
      <c r="DE7" s="1431"/>
      <c r="DF7" s="1421"/>
      <c r="DG7" s="1439"/>
      <c r="DH7" s="1420"/>
      <c r="DI7" s="1422"/>
      <c r="DJ7" s="1428"/>
      <c r="DK7" s="1428"/>
      <c r="DL7" s="1428"/>
      <c r="DM7" s="1428"/>
      <c r="DN7" s="2608" t="s">
        <v>1482</v>
      </c>
      <c r="DO7" s="2609"/>
      <c r="DP7" s="2610"/>
      <c r="DQ7" s="1422"/>
      <c r="DR7" s="1428"/>
      <c r="DS7" s="1428"/>
      <c r="DT7" s="1428"/>
      <c r="DU7" s="1428"/>
      <c r="DV7" s="1428"/>
      <c r="DW7" s="1428"/>
      <c r="DX7" s="1428"/>
      <c r="DY7" s="1428"/>
      <c r="DZ7" s="1428"/>
      <c r="EA7" s="1428"/>
      <c r="EB7" s="1428"/>
      <c r="EC7" s="1428"/>
      <c r="ED7" s="1428"/>
      <c r="EE7" s="1428"/>
      <c r="EF7" s="1428"/>
      <c r="EG7" s="1428"/>
      <c r="EH7" s="1428"/>
      <c r="EI7" s="1428"/>
      <c r="EJ7" s="1428"/>
      <c r="EK7" s="1428"/>
      <c r="EL7" s="1428"/>
      <c r="EM7" s="1428"/>
      <c r="EN7" s="1428"/>
      <c r="EO7" s="1428"/>
      <c r="EP7" s="1428"/>
      <c r="EQ7" s="1428"/>
      <c r="ER7" s="1428"/>
      <c r="ES7" s="1428"/>
      <c r="ET7" s="1428"/>
      <c r="EU7" s="1428"/>
    </row>
    <row r="8" spans="1:153" s="1440" customFormat="1" ht="17.25" customHeight="1">
      <c r="A8" s="1451"/>
      <c r="E8" s="1443"/>
      <c r="F8" s="1449"/>
      <c r="G8" s="1449"/>
      <c r="H8" s="1449"/>
      <c r="I8" s="1449"/>
      <c r="L8" s="1422"/>
      <c r="M8" s="1422"/>
      <c r="N8" s="1452"/>
      <c r="O8" s="1430"/>
      <c r="P8" s="1430"/>
      <c r="Q8" s="1430"/>
      <c r="R8" s="1430"/>
      <c r="S8" s="1430"/>
      <c r="T8" s="1430"/>
      <c r="U8" s="1430"/>
      <c r="V8" s="1430"/>
      <c r="W8" s="1430"/>
      <c r="X8" s="1430"/>
      <c r="Y8" s="1430"/>
      <c r="Z8" s="1430"/>
      <c r="AA8" s="1430"/>
      <c r="AB8" s="1430"/>
      <c r="AC8" s="1430"/>
      <c r="AD8" s="1430"/>
      <c r="AE8" s="1430"/>
      <c r="AF8" s="1430"/>
      <c r="AG8" s="1430"/>
      <c r="AH8" s="1430"/>
      <c r="AI8" s="1430"/>
      <c r="AJ8" s="1430"/>
      <c r="AK8" s="1430"/>
      <c r="AL8" s="1430"/>
      <c r="AM8" s="1430"/>
      <c r="AN8" s="1430"/>
      <c r="AO8" s="1430"/>
      <c r="AP8" s="1430"/>
      <c r="AQ8" s="1430"/>
      <c r="AR8" s="1430"/>
      <c r="AS8" s="1430"/>
      <c r="AT8" s="1430"/>
      <c r="AU8" s="1430"/>
      <c r="AV8" s="1430"/>
      <c r="AW8" s="1430"/>
      <c r="AX8" s="1430"/>
      <c r="AY8" s="1430"/>
      <c r="AZ8" s="1430"/>
      <c r="BA8" s="1430"/>
      <c r="BB8" s="1430"/>
      <c r="BC8" s="1430"/>
      <c r="BD8" s="1449"/>
      <c r="BE8" s="2532" t="s">
        <v>1480</v>
      </c>
      <c r="BF8" s="2532"/>
      <c r="BG8" s="2532"/>
      <c r="BH8" s="2532"/>
      <c r="BI8" s="2532"/>
      <c r="BJ8" s="1450">
        <f t="shared" ref="BJ8:BU8" si="1">IFERROR(BJ4/BJ5,BJ4)</f>
        <v>7.4545454545454541</v>
      </c>
      <c r="BK8" s="1450">
        <f t="shared" si="1"/>
        <v>7.5</v>
      </c>
      <c r="BL8" s="1450">
        <f t="shared" si="1"/>
        <v>7.4285714285714288</v>
      </c>
      <c r="BM8" s="1450">
        <f t="shared" si="1"/>
        <v>8.25</v>
      </c>
      <c r="BN8" s="1450">
        <f t="shared" si="1"/>
        <v>5.5</v>
      </c>
      <c r="BO8" s="1450">
        <f t="shared" si="1"/>
        <v>5</v>
      </c>
      <c r="BP8" s="1450">
        <f t="shared" si="1"/>
        <v>3</v>
      </c>
      <c r="BQ8" s="1450">
        <f t="shared" si="1"/>
        <v>6</v>
      </c>
      <c r="BR8" s="1450">
        <f t="shared" si="1"/>
        <v>8.5</v>
      </c>
      <c r="BS8" s="1450">
        <f t="shared" si="1"/>
        <v>7.166666666666667</v>
      </c>
      <c r="BT8" s="1450">
        <f t="shared" si="1"/>
        <v>7.083333333333333</v>
      </c>
      <c r="BU8" s="1450">
        <f t="shared" si="1"/>
        <v>7.3636363636363633</v>
      </c>
      <c r="BV8" s="1431"/>
      <c r="BW8" s="1421"/>
      <c r="BX8" s="1421"/>
      <c r="BY8" s="1453"/>
      <c r="BZ8" s="1431"/>
      <c r="CA8" s="1431"/>
      <c r="CB8" s="1431"/>
      <c r="CC8" s="1431"/>
      <c r="CD8" s="1431"/>
      <c r="CE8" s="1431"/>
      <c r="CF8" s="1431"/>
      <c r="CG8" s="1431"/>
      <c r="CH8" s="1431"/>
      <c r="CI8" s="1421"/>
      <c r="CJ8" s="1421"/>
      <c r="CK8" s="1431"/>
      <c r="CL8" s="1421"/>
      <c r="CM8" s="1421"/>
      <c r="CN8" s="1431"/>
      <c r="CO8" s="1421"/>
      <c r="CP8" s="1421"/>
      <c r="CQ8" s="1431"/>
      <c r="CR8" s="1421"/>
      <c r="CS8" s="1421"/>
      <c r="CT8" s="1431"/>
      <c r="CU8" s="1421"/>
      <c r="CV8" s="1421"/>
      <c r="CW8" s="1431"/>
      <c r="CX8" s="1421"/>
      <c r="CY8" s="1421"/>
      <c r="CZ8" s="1421"/>
      <c r="DA8" s="1421"/>
      <c r="DB8" s="1421"/>
      <c r="DC8" s="1421"/>
      <c r="DD8" s="1431"/>
      <c r="DE8" s="1431"/>
      <c r="DF8" s="1421"/>
      <c r="DG8" s="1439"/>
      <c r="DH8" s="1420"/>
      <c r="DI8" s="1422"/>
      <c r="DJ8" s="1428"/>
      <c r="DK8" s="1428"/>
      <c r="DL8" s="1428"/>
      <c r="DM8" s="1428"/>
      <c r="DN8" s="2600"/>
      <c r="DO8" s="2601"/>
      <c r="DP8" s="1454" t="s">
        <v>2203</v>
      </c>
      <c r="DQ8" s="1422"/>
      <c r="DR8" s="1428"/>
      <c r="DS8" s="1428"/>
      <c r="DT8" s="1428"/>
      <c r="DU8" s="1428"/>
      <c r="DV8" s="1428"/>
      <c r="DW8" s="1428"/>
      <c r="DX8" s="1428"/>
      <c r="DY8" s="1428"/>
      <c r="DZ8" s="1428"/>
      <c r="EA8" s="1428"/>
      <c r="EB8" s="1428"/>
      <c r="EC8" s="1428"/>
      <c r="ED8" s="1428"/>
      <c r="EE8" s="1428"/>
      <c r="EF8" s="1428"/>
      <c r="EG8" s="1428"/>
      <c r="EH8" s="1428"/>
      <c r="EI8" s="1428"/>
      <c r="EJ8" s="1428"/>
      <c r="EK8" s="1428"/>
      <c r="EL8" s="1428"/>
      <c r="EM8" s="1428"/>
      <c r="EN8" s="1428"/>
      <c r="EO8" s="1428"/>
      <c r="EP8" s="1428"/>
      <c r="EQ8" s="2602" t="s">
        <v>1481</v>
      </c>
      <c r="ER8" s="2602"/>
      <c r="ES8" s="1428"/>
      <c r="ET8" s="1428"/>
      <c r="EU8" s="1428"/>
      <c r="EV8" s="1455"/>
      <c r="EW8" s="1455"/>
    </row>
    <row r="9" spans="1:153" s="1459" customFormat="1" ht="17.25" customHeight="1">
      <c r="A9" s="1456"/>
      <c r="B9" s="1457" t="s">
        <v>2320</v>
      </c>
      <c r="C9" s="1458"/>
      <c r="D9" s="1458"/>
      <c r="E9" s="1458"/>
      <c r="F9" s="1458"/>
      <c r="G9" s="1458"/>
      <c r="H9" s="1458"/>
      <c r="M9" s="1458"/>
      <c r="N9" s="1460" t="s">
        <v>1500</v>
      </c>
      <c r="O9" s="1461"/>
      <c r="P9" s="1462" t="s">
        <v>1501</v>
      </c>
      <c r="Q9" s="1462"/>
      <c r="R9" s="1463" t="s">
        <v>1502</v>
      </c>
      <c r="S9" s="1463"/>
      <c r="T9" s="1463"/>
      <c r="U9" s="1464"/>
      <c r="V9" s="1464"/>
      <c r="W9" s="1465" t="s">
        <v>1503</v>
      </c>
      <c r="X9" s="1465"/>
      <c r="Y9" s="1465"/>
      <c r="Z9" s="1465"/>
      <c r="AA9" s="1430"/>
      <c r="AB9" s="1430"/>
      <c r="AC9" s="1430"/>
      <c r="AD9" s="1430"/>
      <c r="AE9" s="1430"/>
      <c r="AF9" s="1461"/>
      <c r="AG9" s="1466" t="s">
        <v>1504</v>
      </c>
      <c r="AH9" s="1466"/>
      <c r="AI9" s="1466"/>
      <c r="AJ9" s="1466"/>
      <c r="AK9" s="1466"/>
      <c r="AL9" s="1466"/>
      <c r="AM9" s="1466"/>
      <c r="AN9" s="1430"/>
      <c r="AO9" s="1461"/>
      <c r="AP9" s="1461"/>
      <c r="AQ9" s="1461"/>
      <c r="AR9" s="1461"/>
      <c r="AS9" s="1461"/>
      <c r="AT9" s="1461"/>
      <c r="AU9" s="1461"/>
      <c r="AV9" s="1461"/>
      <c r="AW9" s="1461"/>
      <c r="AX9" s="1461"/>
      <c r="AY9" s="1461"/>
      <c r="AZ9" s="1461"/>
      <c r="BA9" s="1461"/>
      <c r="BB9" s="1461"/>
      <c r="BC9" s="1461"/>
      <c r="BD9" s="1449"/>
      <c r="BE9" s="1467"/>
      <c r="BF9" s="1467"/>
      <c r="BG9" s="1467"/>
      <c r="BH9" s="1468"/>
      <c r="BI9" s="1469"/>
      <c r="BJ9" s="1469"/>
      <c r="BK9" s="1469"/>
      <c r="BL9" s="1469"/>
      <c r="BM9" s="1469"/>
      <c r="BN9" s="1469"/>
      <c r="BO9" s="1469"/>
      <c r="BP9" s="1469"/>
      <c r="BQ9" s="1469"/>
      <c r="BR9" s="1469"/>
      <c r="BS9" s="1469"/>
      <c r="BT9" s="1469"/>
      <c r="BU9" s="1469"/>
      <c r="BV9" s="1469"/>
      <c r="BW9" s="1470"/>
      <c r="BX9" s="1470"/>
      <c r="BY9" s="1470"/>
      <c r="BZ9" s="1470"/>
      <c r="CA9" s="1470"/>
      <c r="CB9" s="1470"/>
      <c r="CC9" s="1470"/>
      <c r="CD9" s="1470"/>
      <c r="CE9" s="1470"/>
      <c r="CF9" s="1470"/>
      <c r="CG9" s="1470"/>
      <c r="CH9" s="1469"/>
      <c r="CI9" s="1469"/>
      <c r="CJ9" s="1469"/>
      <c r="CK9" s="1469"/>
      <c r="CL9" s="1469"/>
      <c r="CM9" s="1469"/>
      <c r="CN9" s="1469"/>
      <c r="CO9" s="1469"/>
      <c r="CP9" s="1469"/>
      <c r="CQ9" s="1469"/>
      <c r="CR9" s="1469"/>
      <c r="CS9" s="1469"/>
      <c r="CT9" s="1469"/>
      <c r="CU9" s="1469"/>
      <c r="CV9" s="1469"/>
      <c r="CW9" s="1469"/>
      <c r="CX9" s="1469"/>
      <c r="CY9" s="1469"/>
      <c r="CZ9" s="1469"/>
      <c r="DA9" s="1469"/>
      <c r="DB9" s="1469"/>
      <c r="DC9" s="1469"/>
      <c r="DD9" s="1470"/>
      <c r="DE9" s="1470"/>
      <c r="DF9" s="1469"/>
      <c r="DG9" s="1471"/>
      <c r="DH9" s="1467"/>
      <c r="DI9" s="1458"/>
      <c r="DJ9" s="1428"/>
      <c r="DK9" s="1428"/>
      <c r="DL9" s="1428"/>
      <c r="DM9" s="1472"/>
      <c r="DN9" s="2559" t="s">
        <v>1483</v>
      </c>
      <c r="DO9" s="2560"/>
      <c r="DP9" s="1473">
        <v>15</v>
      </c>
      <c r="DQ9" s="1458"/>
      <c r="DR9" s="1474"/>
      <c r="DS9" s="2571" t="s">
        <v>1483</v>
      </c>
      <c r="DT9" s="2572"/>
      <c r="DU9" s="2571" t="s">
        <v>1484</v>
      </c>
      <c r="DV9" s="2572"/>
      <c r="DW9" s="2571" t="s">
        <v>1485</v>
      </c>
      <c r="DX9" s="2572"/>
      <c r="DY9" s="2571" t="s">
        <v>1486</v>
      </c>
      <c r="DZ9" s="2572"/>
      <c r="EA9" s="2571" t="s">
        <v>1487</v>
      </c>
      <c r="EB9" s="2572"/>
      <c r="EC9" s="2571" t="s">
        <v>1488</v>
      </c>
      <c r="ED9" s="2572"/>
      <c r="EE9" s="2571" t="s">
        <v>1489</v>
      </c>
      <c r="EF9" s="2572"/>
      <c r="EG9" s="2571" t="s">
        <v>1490</v>
      </c>
      <c r="EH9" s="2572"/>
      <c r="EI9" s="2571" t="s">
        <v>1491</v>
      </c>
      <c r="EJ9" s="2572"/>
      <c r="EK9" s="2571" t="s">
        <v>1492</v>
      </c>
      <c r="EL9" s="2572"/>
      <c r="EM9" s="2571" t="s">
        <v>1493</v>
      </c>
      <c r="EN9" s="2572"/>
      <c r="EO9" s="2571" t="s">
        <v>1243</v>
      </c>
      <c r="EP9" s="2572"/>
      <c r="EQ9" s="2571" t="s">
        <v>1494</v>
      </c>
      <c r="ER9" s="2572"/>
      <c r="ES9" s="2571" t="s">
        <v>1495</v>
      </c>
      <c r="ET9" s="2572"/>
      <c r="EU9" s="1472"/>
    </row>
    <row r="10" spans="1:153" ht="17.25" customHeight="1">
      <c r="B10" s="2583" t="s">
        <v>2204</v>
      </c>
      <c r="C10" s="2585" t="s">
        <v>2205</v>
      </c>
      <c r="D10" s="2586" t="s">
        <v>1517</v>
      </c>
      <c r="E10" s="2587"/>
      <c r="F10" s="2585" t="s">
        <v>1516</v>
      </c>
      <c r="G10" s="2590" t="s">
        <v>1518</v>
      </c>
      <c r="H10" s="1458"/>
      <c r="M10" s="1475"/>
      <c r="N10" s="1476" t="e">
        <f>SUM(C13:C27)=#REF!</f>
        <v>#REF!</v>
      </c>
      <c r="AG10" s="1477"/>
      <c r="AH10" s="1478"/>
      <c r="AI10" s="1479"/>
      <c r="AJ10" s="1477" t="s">
        <v>1526</v>
      </c>
      <c r="AK10" s="1478"/>
      <c r="AL10" s="1478" t="s">
        <v>1527</v>
      </c>
      <c r="AM10" s="1478"/>
      <c r="BD10" s="1449"/>
      <c r="BE10" s="1480" t="s">
        <v>1498</v>
      </c>
      <c r="BF10" s="1480"/>
      <c r="BG10" s="1480"/>
      <c r="BH10" s="1480"/>
      <c r="BI10" s="1481"/>
      <c r="BJ10" s="1482">
        <f>N402</f>
        <v>0</v>
      </c>
      <c r="BK10" s="1421"/>
      <c r="BL10" s="1421"/>
      <c r="BM10" s="1421"/>
      <c r="BN10" s="1421"/>
      <c r="BO10" s="1421"/>
      <c r="BP10" s="1421"/>
      <c r="BQ10" s="1421"/>
      <c r="BR10" s="1421"/>
      <c r="BS10" s="1421"/>
      <c r="BT10" s="1421"/>
      <c r="BU10" s="1421"/>
      <c r="BV10" s="1421"/>
      <c r="BW10" s="1421"/>
      <c r="BX10" s="1421"/>
      <c r="BY10" s="1421"/>
      <c r="BZ10" s="1421"/>
      <c r="CA10" s="1421"/>
      <c r="CB10" s="1421"/>
      <c r="CC10" s="1421"/>
      <c r="CD10" s="1421"/>
      <c r="CE10" s="1421"/>
      <c r="CF10" s="1421"/>
      <c r="CG10" s="1421"/>
      <c r="CH10" s="1421"/>
      <c r="CI10" s="1421"/>
      <c r="CJ10" s="1421"/>
      <c r="CK10" s="1421"/>
      <c r="CL10" s="1421"/>
      <c r="CM10" s="1421"/>
      <c r="CN10" s="1421"/>
      <c r="CO10" s="1421"/>
      <c r="CP10" s="1421"/>
      <c r="CQ10" s="1421"/>
      <c r="CR10" s="1421"/>
      <c r="CS10" s="1421"/>
      <c r="CT10" s="1421"/>
      <c r="CU10" s="1421"/>
      <c r="CV10" s="1421"/>
      <c r="CW10" s="1421"/>
      <c r="CX10" s="1421"/>
      <c r="CY10" s="1421"/>
      <c r="CZ10" s="1421"/>
      <c r="DA10" s="1421"/>
      <c r="DB10" s="1421"/>
      <c r="DC10" s="1421"/>
      <c r="DD10" s="1421"/>
      <c r="DE10" s="1431"/>
      <c r="DF10" s="1421"/>
      <c r="DG10" s="1439"/>
      <c r="DH10" s="1420"/>
      <c r="DN10" s="1483" t="s">
        <v>1484</v>
      </c>
      <c r="DO10" s="1484"/>
      <c r="DP10" s="1473">
        <v>5</v>
      </c>
      <c r="DR10" s="1485"/>
      <c r="DS10" s="2575"/>
      <c r="DT10" s="2576"/>
      <c r="DU10" s="2575"/>
      <c r="DV10" s="2576"/>
      <c r="DW10" s="2575"/>
      <c r="DX10" s="2576"/>
      <c r="DY10" s="2575"/>
      <c r="DZ10" s="2576"/>
      <c r="EA10" s="2575"/>
      <c r="EB10" s="2576"/>
      <c r="EC10" s="2575"/>
      <c r="ED10" s="2576"/>
      <c r="EE10" s="2575"/>
      <c r="EF10" s="2576"/>
      <c r="EG10" s="2575"/>
      <c r="EH10" s="2576"/>
      <c r="EI10" s="2575"/>
      <c r="EJ10" s="2576"/>
      <c r="EK10" s="2575"/>
      <c r="EL10" s="2576"/>
      <c r="EM10" s="2575"/>
      <c r="EN10" s="2576"/>
      <c r="EO10" s="2575"/>
      <c r="EP10" s="2576"/>
      <c r="EQ10" s="2575"/>
      <c r="ER10" s="2576"/>
      <c r="ES10" s="2575"/>
      <c r="ET10" s="2576"/>
    </row>
    <row r="11" spans="1:153" ht="17.25" customHeight="1">
      <c r="A11" s="1486"/>
      <c r="B11" s="2584"/>
      <c r="C11" s="2585"/>
      <c r="D11" s="2588"/>
      <c r="E11" s="2589"/>
      <c r="F11" s="2585"/>
      <c r="G11" s="2591"/>
      <c r="H11" s="1458"/>
      <c r="M11" s="1475"/>
      <c r="N11" s="1487" t="s">
        <v>459</v>
      </c>
      <c r="Q11" s="1488" t="s">
        <v>1519</v>
      </c>
      <c r="R11" s="1488" t="s">
        <v>1520</v>
      </c>
      <c r="S11" s="1488"/>
      <c r="T11" s="1488" t="s">
        <v>1521</v>
      </c>
      <c r="U11" s="1489"/>
      <c r="V11" s="1490" t="s">
        <v>1522</v>
      </c>
      <c r="W11" s="1491" t="s">
        <v>1523</v>
      </c>
      <c r="X11" s="1489"/>
      <c r="Y11" s="1491" t="s">
        <v>1524</v>
      </c>
      <c r="Z11" s="1488" t="s">
        <v>1525</v>
      </c>
      <c r="AG11" s="1477" t="s">
        <v>1499</v>
      </c>
      <c r="AH11" s="1478"/>
      <c r="AI11" s="1479"/>
      <c r="AJ11" s="1492" t="s">
        <v>1532</v>
      </c>
      <c r="AK11" s="1492" t="s">
        <v>1533</v>
      </c>
      <c r="AL11" s="1492" t="s">
        <v>1532</v>
      </c>
      <c r="AM11" s="1492" t="s">
        <v>1533</v>
      </c>
      <c r="BD11" s="1449"/>
      <c r="BE11" s="1493" t="s">
        <v>1505</v>
      </c>
      <c r="BF11" s="1493"/>
      <c r="BG11" s="1493"/>
      <c r="BH11" s="1493"/>
      <c r="BI11" s="1494"/>
      <c r="BJ11" s="1495">
        <f>N400</f>
        <v>0</v>
      </c>
      <c r="BK11" s="1421"/>
      <c r="BL11" s="1421"/>
      <c r="BM11" s="1421"/>
      <c r="BN11" s="1421"/>
      <c r="BO11" s="1421"/>
      <c r="BP11" s="1421"/>
      <c r="BQ11" s="1421"/>
      <c r="BR11" s="1421"/>
      <c r="BS11" s="1421"/>
      <c r="BT11" s="1421"/>
      <c r="BU11" s="1421"/>
      <c r="BV11" s="1421"/>
      <c r="BW11" s="1421"/>
      <c r="BX11" s="1421"/>
      <c r="BY11" s="1421"/>
      <c r="BZ11" s="1421"/>
      <c r="CA11" s="1421"/>
      <c r="CB11" s="1421"/>
      <c r="CC11" s="1421"/>
      <c r="CD11" s="1421"/>
      <c r="CE11" s="1421"/>
      <c r="CF11" s="1421"/>
      <c r="CG11" s="1421"/>
      <c r="CH11" s="1421"/>
      <c r="CI11" s="1421"/>
      <c r="CJ11" s="1421"/>
      <c r="CK11" s="1421"/>
      <c r="CL11" s="1421"/>
      <c r="CM11" s="1421"/>
      <c r="CN11" s="1421"/>
      <c r="CO11" s="1421"/>
      <c r="CP11" s="1421"/>
      <c r="CQ11" s="1421"/>
      <c r="CR11" s="1421"/>
      <c r="CS11" s="1421"/>
      <c r="CT11" s="1421"/>
      <c r="CU11" s="1421"/>
      <c r="CV11" s="1421"/>
      <c r="CW11" s="1421"/>
      <c r="CX11" s="1421"/>
      <c r="CY11" s="1421"/>
      <c r="CZ11" s="1421"/>
      <c r="DA11" s="1421"/>
      <c r="DB11" s="1421"/>
      <c r="DC11" s="1421"/>
      <c r="DD11" s="1421"/>
      <c r="DE11" s="1431"/>
      <c r="DF11" s="1421"/>
      <c r="DG11" s="1420"/>
      <c r="DH11" s="1420"/>
      <c r="DN11" s="1483" t="s">
        <v>1485</v>
      </c>
      <c r="DO11" s="1484"/>
      <c r="DP11" s="1473">
        <v>5</v>
      </c>
      <c r="DR11" s="1485"/>
      <c r="DS11" s="2571" t="s">
        <v>1483</v>
      </c>
      <c r="DT11" s="2572"/>
      <c r="DU11" s="2573" t="s">
        <v>1506</v>
      </c>
      <c r="DV11" s="2574"/>
      <c r="DW11" s="2571" t="s">
        <v>1507</v>
      </c>
      <c r="DX11" s="2572"/>
      <c r="DY11" s="2571" t="s">
        <v>1508</v>
      </c>
      <c r="DZ11" s="2572"/>
      <c r="EA11" s="2571" t="s">
        <v>1506</v>
      </c>
      <c r="EB11" s="2572"/>
      <c r="EC11" s="2571" t="s">
        <v>1509</v>
      </c>
      <c r="ED11" s="2572"/>
      <c r="EE11" s="2571" t="s">
        <v>1510</v>
      </c>
      <c r="EF11" s="2572"/>
      <c r="EG11" s="2571" t="s">
        <v>1506</v>
      </c>
      <c r="EH11" s="2572"/>
      <c r="EI11" s="2571" t="s">
        <v>1511</v>
      </c>
      <c r="EJ11" s="2572"/>
      <c r="EK11" s="2571" t="s">
        <v>1506</v>
      </c>
      <c r="EL11" s="2572"/>
      <c r="EM11" s="2571" t="s">
        <v>1511</v>
      </c>
      <c r="EN11" s="2572"/>
      <c r="EO11" s="2571" t="s">
        <v>1506</v>
      </c>
      <c r="EP11" s="2572"/>
      <c r="EQ11" s="2592" t="s">
        <v>1512</v>
      </c>
      <c r="ER11" s="2593"/>
      <c r="ES11" s="2597" t="s">
        <v>1513</v>
      </c>
      <c r="ET11" s="2597"/>
    </row>
    <row r="12" spans="1:153" ht="27" customHeight="1" thickBot="1">
      <c r="A12" s="1486"/>
      <c r="B12" s="1496"/>
      <c r="C12" s="1497"/>
      <c r="D12" s="2598" t="s">
        <v>2206</v>
      </c>
      <c r="E12" s="2599"/>
      <c r="F12" s="1497"/>
      <c r="G12" s="1498"/>
      <c r="H12" s="1458"/>
      <c r="M12" s="1475"/>
      <c r="N12" s="1487"/>
      <c r="Q12" s="1499"/>
      <c r="R12" s="1499"/>
      <c r="S12" s="1499"/>
      <c r="T12" s="1499"/>
      <c r="U12" s="1500"/>
      <c r="V12" s="1501"/>
      <c r="W12" s="1502"/>
      <c r="X12" s="1500"/>
      <c r="Y12" s="1502"/>
      <c r="Z12" s="1499"/>
      <c r="AG12" s="1477" t="s">
        <v>1483</v>
      </c>
      <c r="AH12" s="1478"/>
      <c r="AI12" s="1479"/>
      <c r="AJ12" s="1512">
        <f>DS39</f>
        <v>9.5000000000000018</v>
      </c>
      <c r="AK12" s="1512">
        <f>DT39</f>
        <v>0.44999999999999996</v>
      </c>
      <c r="AL12" s="1513">
        <f>DS40</f>
        <v>1</v>
      </c>
      <c r="AM12" s="1513">
        <f>DT40</f>
        <v>0.05</v>
      </c>
      <c r="BD12" s="1449"/>
      <c r="BE12" s="1493"/>
      <c r="BF12" s="1493"/>
      <c r="BG12" s="1493"/>
      <c r="BH12" s="1493"/>
      <c r="BI12" s="1494"/>
      <c r="BJ12" s="1495"/>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31"/>
      <c r="DF12" s="1421"/>
      <c r="DG12" s="1420"/>
      <c r="DH12" s="1420"/>
      <c r="DN12" s="1483"/>
      <c r="DO12" s="1484"/>
      <c r="DP12" s="1473"/>
      <c r="DR12" s="1503"/>
      <c r="DS12" s="2573"/>
      <c r="DT12" s="2574"/>
      <c r="DU12" s="2573"/>
      <c r="DV12" s="2574"/>
      <c r="DW12" s="2573"/>
      <c r="DX12" s="2574"/>
      <c r="DY12" s="2573"/>
      <c r="DZ12" s="2574"/>
      <c r="EA12" s="2573"/>
      <c r="EB12" s="2574"/>
      <c r="EC12" s="2573"/>
      <c r="ED12" s="2574"/>
      <c r="EE12" s="2573"/>
      <c r="EF12" s="2574"/>
      <c r="EG12" s="2573"/>
      <c r="EH12" s="2574"/>
      <c r="EI12" s="2573"/>
      <c r="EJ12" s="2574"/>
      <c r="EK12" s="2573"/>
      <c r="EL12" s="2574"/>
      <c r="EM12" s="2573"/>
      <c r="EN12" s="2574"/>
      <c r="EO12" s="2573"/>
      <c r="EP12" s="2574"/>
      <c r="EQ12" s="2470"/>
      <c r="ER12" s="2594"/>
      <c r="ES12" s="2597"/>
      <c r="ET12" s="2597"/>
    </row>
    <row r="13" spans="1:153" ht="17.25" customHeight="1">
      <c r="A13" s="1504"/>
      <c r="B13" s="1505"/>
      <c r="C13" s="1506"/>
      <c r="D13" s="2557" t="s">
        <v>1499</v>
      </c>
      <c r="E13" s="2558"/>
      <c r="F13" s="1507"/>
      <c r="G13" s="1508"/>
      <c r="H13" s="1458"/>
      <c r="M13" s="1475"/>
      <c r="N13" s="1476" t="b">
        <f>E30="yes"</f>
        <v>0</v>
      </c>
      <c r="Q13" s="1499"/>
      <c r="R13" s="1509"/>
      <c r="S13" s="1509"/>
      <c r="T13" s="1509"/>
      <c r="U13" s="1510"/>
      <c r="V13" s="1501"/>
      <c r="W13" s="1511"/>
      <c r="X13" s="1510"/>
      <c r="Y13" s="1502"/>
      <c r="Z13" s="1499"/>
      <c r="AG13" s="1477" t="str">
        <f>DU9</f>
        <v>A1 Community / day centre</v>
      </c>
      <c r="AH13" s="1478"/>
      <c r="AI13" s="1479"/>
      <c r="AJ13" s="1512">
        <f>DU39</f>
        <v>7.1</v>
      </c>
      <c r="AK13" s="1512">
        <f>DV39</f>
        <v>0</v>
      </c>
      <c r="AL13" s="1513">
        <f>DU40</f>
        <v>1</v>
      </c>
      <c r="AM13" s="1513">
        <f>DV40</f>
        <v>0</v>
      </c>
      <c r="BD13" s="1449"/>
      <c r="BE13" s="1499" t="s">
        <v>1528</v>
      </c>
      <c r="BF13" s="1499"/>
      <c r="BG13" s="1499"/>
      <c r="BH13" s="1499"/>
      <c r="BI13" s="1514"/>
      <c r="BJ13" s="1495">
        <f>BJ10*BJ11/1000</f>
        <v>0</v>
      </c>
      <c r="BK13" s="1421"/>
      <c r="BL13" s="1421"/>
      <c r="BM13" s="1421"/>
      <c r="BN13" s="1421"/>
      <c r="BO13" s="1421"/>
      <c r="BP13" s="1515" t="s">
        <v>1529</v>
      </c>
      <c r="BQ13" s="1516"/>
      <c r="BR13" s="1516"/>
      <c r="BS13" s="1516"/>
      <c r="BT13" s="1516"/>
      <c r="BU13" s="1516"/>
      <c r="BV13" s="1516"/>
      <c r="BW13" s="1516"/>
      <c r="BX13" s="1516"/>
      <c r="BY13" s="1516"/>
      <c r="BZ13" s="1516"/>
      <c r="CA13" s="1516"/>
      <c r="CB13" s="1516"/>
      <c r="CC13" s="1517"/>
      <c r="CD13" s="1517"/>
      <c r="CE13" s="1517"/>
      <c r="CF13" s="1517"/>
      <c r="CG13" s="1517"/>
      <c r="CH13" s="1517"/>
      <c r="CI13" s="1517"/>
      <c r="CJ13" s="1518"/>
      <c r="CK13" s="1517"/>
      <c r="CL13" s="1517"/>
      <c r="CM13" s="1518"/>
      <c r="CN13" s="1517"/>
      <c r="CO13" s="1517"/>
      <c r="CP13" s="1518"/>
      <c r="CQ13" s="1517"/>
      <c r="CR13" s="1517"/>
      <c r="CS13" s="1518"/>
      <c r="CT13" s="1517"/>
      <c r="CU13" s="1517"/>
      <c r="CV13" s="1518"/>
      <c r="CW13" s="1517"/>
      <c r="CX13" s="1517"/>
      <c r="CY13" s="1518"/>
      <c r="CZ13" s="1421"/>
      <c r="DA13" s="1421"/>
      <c r="DB13" s="1421"/>
      <c r="DC13" s="1421"/>
      <c r="DD13" s="1421"/>
      <c r="DE13" s="1431"/>
      <c r="DF13" s="1421"/>
      <c r="DG13" s="1420"/>
      <c r="DH13" s="1420"/>
      <c r="DN13" s="1483" t="s">
        <v>1486</v>
      </c>
      <c r="DO13" s="1484"/>
      <c r="DP13" s="1473">
        <v>5</v>
      </c>
      <c r="DR13" s="1519" t="s">
        <v>1537</v>
      </c>
      <c r="DS13" s="2575"/>
      <c r="DT13" s="2576"/>
      <c r="DU13" s="2575"/>
      <c r="DV13" s="2576"/>
      <c r="DW13" s="2575"/>
      <c r="DX13" s="2576"/>
      <c r="DY13" s="2575"/>
      <c r="DZ13" s="2576"/>
      <c r="EA13" s="2575"/>
      <c r="EB13" s="2576"/>
      <c r="EC13" s="2575"/>
      <c r="ED13" s="2576"/>
      <c r="EE13" s="2575"/>
      <c r="EF13" s="2576"/>
      <c r="EG13" s="2575"/>
      <c r="EH13" s="2576"/>
      <c r="EI13" s="2575"/>
      <c r="EJ13" s="2576"/>
      <c r="EK13" s="2575"/>
      <c r="EL13" s="2576"/>
      <c r="EM13" s="2575"/>
      <c r="EN13" s="2576"/>
      <c r="EO13" s="2575"/>
      <c r="EP13" s="2576"/>
      <c r="EQ13" s="2595"/>
      <c r="ER13" s="2596"/>
      <c r="ES13" s="2597"/>
      <c r="ET13" s="2597"/>
    </row>
    <row r="14" spans="1:153" ht="17.25" customHeight="1">
      <c r="A14" s="1504"/>
      <c r="B14" s="1505"/>
      <c r="C14" s="1506"/>
      <c r="D14" s="2557" t="s">
        <v>1499</v>
      </c>
      <c r="E14" s="2558"/>
      <c r="F14" s="1507"/>
      <c r="G14" s="1508"/>
      <c r="H14" s="1458"/>
      <c r="M14" s="1475"/>
      <c r="Q14" s="1499"/>
      <c r="R14" s="1520" t="s">
        <v>1532</v>
      </c>
      <c r="S14" s="1520" t="s">
        <v>1533</v>
      </c>
      <c r="T14" s="1520" t="s">
        <v>1532</v>
      </c>
      <c r="U14" s="1520" t="s">
        <v>1533</v>
      </c>
      <c r="V14" s="1501"/>
      <c r="W14" s="1520" t="s">
        <v>1534</v>
      </c>
      <c r="X14" s="1520" t="s">
        <v>1535</v>
      </c>
      <c r="Y14" s="1502"/>
      <c r="Z14" s="1499"/>
      <c r="AG14" s="1477" t="str">
        <f>DW9</f>
        <v>A1 Restaurant / Public House</v>
      </c>
      <c r="AH14" s="1478"/>
      <c r="AI14" s="1479"/>
      <c r="AJ14" s="1512">
        <f>DW39</f>
        <v>9.25</v>
      </c>
      <c r="AK14" s="1512">
        <f>DX39</f>
        <v>9.25</v>
      </c>
      <c r="AL14" s="1513">
        <f>DW40</f>
        <v>1</v>
      </c>
      <c r="AM14" s="1513">
        <f>DX40</f>
        <v>1</v>
      </c>
      <c r="BD14" s="1449"/>
      <c r="BE14" s="1480" t="s">
        <v>1536</v>
      </c>
      <c r="BF14" s="1480"/>
      <c r="BG14" s="1480"/>
      <c r="BH14" s="1480"/>
      <c r="BI14" s="1481"/>
      <c r="BJ14" s="1495">
        <f>DK364*BJ10/1000</f>
        <v>0</v>
      </c>
      <c r="BK14" s="1421"/>
      <c r="BL14" s="1421"/>
      <c r="BM14" s="1421"/>
      <c r="BN14" s="1421"/>
      <c r="BO14" s="1421"/>
      <c r="BP14" s="1521"/>
      <c r="BQ14" s="1522"/>
      <c r="BR14" s="1522"/>
      <c r="BS14" s="1522"/>
      <c r="BT14" s="1522"/>
      <c r="BU14" s="1522"/>
      <c r="BV14" s="1522"/>
      <c r="BW14" s="1522"/>
      <c r="BX14" s="1522"/>
      <c r="BY14" s="1522"/>
      <c r="BZ14" s="1522"/>
      <c r="CA14" s="1522"/>
      <c r="CB14" s="1523"/>
      <c r="CC14" s="1524"/>
      <c r="CD14" s="1524"/>
      <c r="CE14" s="1524"/>
      <c r="CF14" s="1524"/>
      <c r="CG14" s="1524"/>
      <c r="CH14" s="1524"/>
      <c r="CI14" s="1524"/>
      <c r="CJ14" s="1525"/>
      <c r="CK14" s="1524"/>
      <c r="CL14" s="1524"/>
      <c r="CM14" s="1525"/>
      <c r="CN14" s="1524"/>
      <c r="CO14" s="1524"/>
      <c r="CP14" s="1525"/>
      <c r="CQ14" s="1524"/>
      <c r="CR14" s="1524"/>
      <c r="CS14" s="1525"/>
      <c r="CT14" s="1524"/>
      <c r="CU14" s="1524"/>
      <c r="CV14" s="1525"/>
      <c r="CW14" s="1524"/>
      <c r="CX14" s="1524"/>
      <c r="CY14" s="1525"/>
      <c r="CZ14" s="1421"/>
      <c r="DA14" s="1421"/>
      <c r="DB14" s="1421"/>
      <c r="DC14" s="1421"/>
      <c r="DD14" s="1421"/>
      <c r="DE14" s="1431"/>
      <c r="DF14" s="1421"/>
      <c r="DG14" s="1420"/>
      <c r="DH14" s="1420"/>
      <c r="DN14" s="1483" t="s">
        <v>1487</v>
      </c>
      <c r="DO14" s="1484"/>
      <c r="DP14" s="1473">
        <v>5</v>
      </c>
      <c r="DR14" s="1526"/>
      <c r="DS14" s="1527" t="s">
        <v>1532</v>
      </c>
      <c r="DT14" s="1527" t="s">
        <v>1544</v>
      </c>
      <c r="DU14" s="1527" t="s">
        <v>1532</v>
      </c>
      <c r="DV14" s="1527" t="s">
        <v>1533</v>
      </c>
      <c r="DW14" s="1527" t="s">
        <v>1532</v>
      </c>
      <c r="DX14" s="1527" t="s">
        <v>1533</v>
      </c>
      <c r="DY14" s="1527" t="s">
        <v>1532</v>
      </c>
      <c r="DZ14" s="1527" t="s">
        <v>1533</v>
      </c>
      <c r="EA14" s="1527" t="s">
        <v>1532</v>
      </c>
      <c r="EB14" s="1527" t="s">
        <v>1533</v>
      </c>
      <c r="EC14" s="1527" t="s">
        <v>1532</v>
      </c>
      <c r="ED14" s="1527" t="s">
        <v>1533</v>
      </c>
      <c r="EE14" s="1527" t="s">
        <v>1532</v>
      </c>
      <c r="EF14" s="1527" t="s">
        <v>1533</v>
      </c>
      <c r="EG14" s="1527" t="s">
        <v>1532</v>
      </c>
      <c r="EH14" s="1527" t="s">
        <v>1533</v>
      </c>
      <c r="EI14" s="1527" t="s">
        <v>1532</v>
      </c>
      <c r="EJ14" s="1527" t="s">
        <v>1533</v>
      </c>
      <c r="EK14" s="1527" t="s">
        <v>1532</v>
      </c>
      <c r="EL14" s="1527" t="s">
        <v>1533</v>
      </c>
      <c r="EM14" s="1527" t="s">
        <v>1532</v>
      </c>
      <c r="EN14" s="1527" t="s">
        <v>1533</v>
      </c>
      <c r="EO14" s="1527" t="s">
        <v>1532</v>
      </c>
      <c r="EP14" s="1527" t="s">
        <v>1533</v>
      </c>
      <c r="EQ14" s="1527" t="s">
        <v>1532</v>
      </c>
      <c r="ER14" s="1527" t="s">
        <v>1533</v>
      </c>
      <c r="ES14" s="1527" t="s">
        <v>1532</v>
      </c>
      <c r="ET14" s="1527" t="s">
        <v>1533</v>
      </c>
    </row>
    <row r="15" spans="1:153" ht="17.25" customHeight="1">
      <c r="A15" s="1528"/>
      <c r="B15" s="1505"/>
      <c r="C15" s="1506"/>
      <c r="D15" s="2557" t="s">
        <v>1499</v>
      </c>
      <c r="E15" s="2558"/>
      <c r="F15" s="1507"/>
      <c r="G15" s="1508"/>
      <c r="H15" s="1458"/>
      <c r="M15" s="1475"/>
      <c r="Q15" s="1529">
        <f>C13</f>
        <v>0</v>
      </c>
      <c r="R15" s="1530">
        <f>IFERROR(VLOOKUP(F13,$S$38:$AF$40,14,FALSE),0)</f>
        <v>0</v>
      </c>
      <c r="S15" s="1530">
        <f>IF(R15&gt;0,365-R15,0)</f>
        <v>0</v>
      </c>
      <c r="T15" s="1531">
        <f t="shared" ref="T15:T29" si="2">IFERROR(VLOOKUP(D13,$AG$12:$AM$25,4,FALSE)*R15,0)</f>
        <v>0</v>
      </c>
      <c r="U15" s="1531">
        <f t="shared" ref="U15:U29" si="3">IFERROR(VLOOKUP(D13,$AG$12:$AM$25,5,FALSE)*S15,0)</f>
        <v>0</v>
      </c>
      <c r="V15" s="1531">
        <f>Q15*(T15+U15)</f>
        <v>0</v>
      </c>
      <c r="W15" s="1532">
        <f t="shared" ref="W15:W29" si="4">IFERROR($Q15*$G13*VLOOKUP($D13,$AG$12:$AM$25,6,FALSE),0)</f>
        <v>0</v>
      </c>
      <c r="X15" s="1532">
        <f t="shared" ref="X15:X29" si="5">IFERROR($Q15*$G13*VLOOKUP($D13,$AG$12:$AM$25,7,FALSE),0)</f>
        <v>0</v>
      </c>
      <c r="Y15" s="1533">
        <f t="shared" ref="Y15:Y29" si="6">IF(D13=$EQ$9,$DK$77,VLOOKUP($E$91,$DJ$72:$DK$76,2,FALSE))</f>
        <v>0</v>
      </c>
      <c r="Z15" s="1531">
        <f t="shared" ref="Z15:Z29" si="7">Y15*(W15*R15+X15*S15)</f>
        <v>0</v>
      </c>
      <c r="AG15" s="1477" t="str">
        <f>DY9</f>
        <v>A2 Sports Centre / Leisure centre</v>
      </c>
      <c r="AH15" s="1478"/>
      <c r="AI15" s="1479"/>
      <c r="AJ15" s="1512">
        <f>DY39</f>
        <v>3</v>
      </c>
      <c r="AK15" s="1512">
        <f>DZ39</f>
        <v>2</v>
      </c>
      <c r="AL15" s="1513">
        <f>DY40</f>
        <v>1</v>
      </c>
      <c r="AM15" s="1513">
        <f>DZ40</f>
        <v>0.25</v>
      </c>
      <c r="BD15" s="1449"/>
      <c r="BE15" s="2532" t="s">
        <v>1539</v>
      </c>
      <c r="BF15" s="2532"/>
      <c r="BG15" s="2532"/>
      <c r="BH15" s="2532"/>
      <c r="BI15" s="2541"/>
      <c r="BJ15" s="1436">
        <v>261</v>
      </c>
      <c r="BK15" s="1431"/>
      <c r="BL15" s="1431"/>
      <c r="BM15" s="1431"/>
      <c r="BN15" s="1431"/>
      <c r="BO15" s="1431"/>
      <c r="BP15" s="2582" t="s">
        <v>1540</v>
      </c>
      <c r="BQ15" s="2580"/>
      <c r="BR15" s="2580"/>
      <c r="BS15" s="2580" t="s">
        <v>457</v>
      </c>
      <c r="BT15" s="2580"/>
      <c r="BU15" s="2580"/>
      <c r="BV15" s="2580" t="s">
        <v>1541</v>
      </c>
      <c r="BW15" s="2580"/>
      <c r="BX15" s="2580"/>
      <c r="BY15" s="2580" t="s">
        <v>1542</v>
      </c>
      <c r="BZ15" s="2580"/>
      <c r="CA15" s="2580"/>
      <c r="CB15" s="2580" t="s">
        <v>1473</v>
      </c>
      <c r="CC15" s="2580"/>
      <c r="CD15" s="2580"/>
      <c r="CE15" s="2580" t="s">
        <v>459</v>
      </c>
      <c r="CF15" s="2580"/>
      <c r="CG15" s="2580"/>
      <c r="CH15" s="2580" t="s">
        <v>1543</v>
      </c>
      <c r="CI15" s="2580"/>
      <c r="CJ15" s="2581"/>
      <c r="CK15" s="2580" t="str">
        <f>B422</f>
        <v>Laundry Facilities</v>
      </c>
      <c r="CL15" s="2580"/>
      <c r="CM15" s="2581"/>
      <c r="CN15" s="2580" t="str">
        <f>B423</f>
        <v>Large Kitchens</v>
      </c>
      <c r="CO15" s="2580"/>
      <c r="CP15" s="2581"/>
      <c r="CQ15" s="2577" t="str">
        <f>B398</f>
        <v>{Other Water Use 1}</v>
      </c>
      <c r="CR15" s="2578"/>
      <c r="CS15" s="2579"/>
      <c r="CT15" s="2577" t="str">
        <f>B399</f>
        <v>{Other Water Use 2}</v>
      </c>
      <c r="CU15" s="2578"/>
      <c r="CV15" s="2579"/>
      <c r="CW15" s="2577" t="str">
        <f>B426</f>
        <v>{Other Water Use 3}</v>
      </c>
      <c r="CX15" s="2578"/>
      <c r="CY15" s="2579"/>
      <c r="CZ15" s="1421"/>
      <c r="DA15" s="1421"/>
      <c r="DB15" s="1421"/>
      <c r="DC15" s="1421"/>
      <c r="DD15" s="1421"/>
      <c r="DE15" s="1431"/>
      <c r="DF15" s="1421"/>
      <c r="DG15" s="1420"/>
      <c r="DH15" s="1420"/>
      <c r="DN15" s="2559" t="s">
        <v>1488</v>
      </c>
      <c r="DO15" s="2560"/>
      <c r="DP15" s="1473">
        <v>5</v>
      </c>
      <c r="DR15" s="1534" t="s">
        <v>1546</v>
      </c>
      <c r="DS15" s="1535">
        <v>0</v>
      </c>
      <c r="DT15" s="1535">
        <v>0</v>
      </c>
      <c r="DU15" s="1535">
        <v>0</v>
      </c>
      <c r="DV15" s="1535">
        <v>0</v>
      </c>
      <c r="DW15" s="1535">
        <v>0</v>
      </c>
      <c r="DX15" s="1535">
        <v>0</v>
      </c>
      <c r="DY15" s="1535">
        <v>0</v>
      </c>
      <c r="DZ15" s="1535">
        <v>0</v>
      </c>
      <c r="EA15" s="1535">
        <v>0</v>
      </c>
      <c r="EB15" s="1535">
        <v>0</v>
      </c>
      <c r="EC15" s="1535">
        <v>0</v>
      </c>
      <c r="ED15" s="1535">
        <v>0</v>
      </c>
      <c r="EE15" s="1535">
        <v>0</v>
      </c>
      <c r="EF15" s="1535">
        <v>0</v>
      </c>
      <c r="EG15" s="1535">
        <v>0</v>
      </c>
      <c r="EH15" s="1535">
        <v>0</v>
      </c>
      <c r="EI15" s="1535">
        <v>0</v>
      </c>
      <c r="EJ15" s="1535">
        <v>0</v>
      </c>
      <c r="EK15" s="1535">
        <v>0</v>
      </c>
      <c r="EL15" s="1535">
        <v>0</v>
      </c>
      <c r="EM15" s="1535">
        <v>0</v>
      </c>
      <c r="EN15" s="1535">
        <v>0</v>
      </c>
      <c r="EO15" s="1535">
        <v>0</v>
      </c>
      <c r="EP15" s="1535">
        <v>0</v>
      </c>
      <c r="EQ15" s="1536">
        <v>0</v>
      </c>
      <c r="ER15" s="1535">
        <v>0</v>
      </c>
      <c r="ES15" s="1537"/>
      <c r="ET15" s="1537"/>
    </row>
    <row r="16" spans="1:153" ht="17.25" customHeight="1">
      <c r="A16" s="1528"/>
      <c r="B16" s="1505"/>
      <c r="C16" s="1506"/>
      <c r="D16" s="2557" t="s">
        <v>1499</v>
      </c>
      <c r="E16" s="2558"/>
      <c r="F16" s="1507"/>
      <c r="G16" s="1508"/>
      <c r="H16" s="1458"/>
      <c r="M16" s="1475"/>
      <c r="Q16" s="1529">
        <f t="shared" ref="Q16:Q29" si="8">C14</f>
        <v>0</v>
      </c>
      <c r="R16" s="1530">
        <f t="shared" ref="R16:R29" si="9">IFERROR(VLOOKUP(F14,$S$38:$AL$40,14,FALSE),0)</f>
        <v>0</v>
      </c>
      <c r="S16" s="1530">
        <f t="shared" ref="S16:S29" si="10">IF(R16&gt;0,365-R16,0)</f>
        <v>0</v>
      </c>
      <c r="T16" s="1531">
        <f t="shared" si="2"/>
        <v>0</v>
      </c>
      <c r="U16" s="1531">
        <f t="shared" si="3"/>
        <v>0</v>
      </c>
      <c r="V16" s="1531">
        <f t="shared" ref="V16:V29" si="11">Q16*(T16+U16)</f>
        <v>0</v>
      </c>
      <c r="W16" s="1532">
        <f t="shared" si="4"/>
        <v>0</v>
      </c>
      <c r="X16" s="1532">
        <f t="shared" si="5"/>
        <v>0</v>
      </c>
      <c r="Y16" s="1533">
        <f t="shared" si="6"/>
        <v>0</v>
      </c>
      <c r="Z16" s="1531">
        <f t="shared" si="7"/>
        <v>0</v>
      </c>
      <c r="AG16" s="1547" t="str">
        <f>EA9</f>
        <v>A2 Theatres / Cinemas / Music Halls</v>
      </c>
      <c r="AH16" s="1548"/>
      <c r="AI16" s="1549"/>
      <c r="AJ16" s="1512">
        <f>EA39</f>
        <v>8</v>
      </c>
      <c r="AK16" s="1512">
        <f>EB39</f>
        <v>0</v>
      </c>
      <c r="AL16" s="1513">
        <f>EA40</f>
        <v>1</v>
      </c>
      <c r="AM16" s="1513">
        <f>EB40</f>
        <v>0</v>
      </c>
      <c r="BD16" s="1449"/>
      <c r="BE16" s="1420"/>
      <c r="BF16" s="1420"/>
      <c r="BG16" s="1420"/>
      <c r="BH16" s="1538"/>
      <c r="BI16" s="1421"/>
      <c r="BJ16" s="1421"/>
      <c r="BK16" s="1431"/>
      <c r="BL16" s="1431"/>
      <c r="BM16" s="1431"/>
      <c r="BN16" s="1431"/>
      <c r="BO16" s="1431"/>
      <c r="BP16" s="1539" t="s">
        <v>2207</v>
      </c>
      <c r="BQ16" s="1540"/>
      <c r="BR16" s="1541">
        <f>$C$415</f>
        <v>0</v>
      </c>
      <c r="BS16" s="1539"/>
      <c r="BT16" s="1540"/>
      <c r="BU16" s="1542">
        <f>$C$416</f>
        <v>0</v>
      </c>
      <c r="BV16" s="1539"/>
      <c r="BW16" s="1540"/>
      <c r="BX16" s="1542">
        <f>$C$417</f>
        <v>0</v>
      </c>
      <c r="BY16" s="1539"/>
      <c r="BZ16" s="1540"/>
      <c r="CA16" s="1542">
        <f>$C$418</f>
        <v>0</v>
      </c>
      <c r="CB16" s="1539"/>
      <c r="CC16" s="1540"/>
      <c r="CD16" s="1542">
        <f>$C$419</f>
        <v>0</v>
      </c>
      <c r="CE16" s="1539"/>
      <c r="CF16" s="1540"/>
      <c r="CG16" s="1542">
        <f>$C$420</f>
        <v>0</v>
      </c>
      <c r="CH16" s="1539"/>
      <c r="CI16" s="1540"/>
      <c r="CJ16" s="1542">
        <f>$C$421</f>
        <v>0</v>
      </c>
      <c r="CK16" s="1539"/>
      <c r="CL16" s="1540"/>
      <c r="CM16" s="1542">
        <f>C422</f>
        <v>0</v>
      </c>
      <c r="CN16" s="1539"/>
      <c r="CO16" s="1540"/>
      <c r="CP16" s="1542">
        <f>C423</f>
        <v>0</v>
      </c>
      <c r="CQ16" s="1539"/>
      <c r="CR16" s="1540"/>
      <c r="CS16" s="1542">
        <f>C424</f>
        <v>0</v>
      </c>
      <c r="CT16" s="1539"/>
      <c r="CU16" s="1540"/>
      <c r="CV16" s="1542">
        <f>C425</f>
        <v>0</v>
      </c>
      <c r="CW16" s="1539"/>
      <c r="CX16" s="1540"/>
      <c r="CY16" s="1542">
        <f>C426</f>
        <v>0</v>
      </c>
      <c r="CZ16" s="1543">
        <f t="shared" ref="CZ16:DF16" si="12">CZ386</f>
        <v>0</v>
      </c>
      <c r="DA16" s="1543">
        <f t="shared" si="12"/>
        <v>0</v>
      </c>
      <c r="DB16" s="1543">
        <f t="shared" si="12"/>
        <v>0</v>
      </c>
      <c r="DC16" s="1543">
        <f t="shared" si="12"/>
        <v>0</v>
      </c>
      <c r="DD16" s="1543">
        <f t="shared" si="12"/>
        <v>0</v>
      </c>
      <c r="DE16" s="1543" t="str">
        <f t="shared" si="12"/>
        <v>Total Municipal Water Used</v>
      </c>
      <c r="DF16" s="1543">
        <f t="shared" si="12"/>
        <v>0</v>
      </c>
      <c r="DG16" s="1420"/>
      <c r="DH16" s="1420"/>
      <c r="DN16" s="2559" t="s">
        <v>1489</v>
      </c>
      <c r="DO16" s="2560"/>
      <c r="DP16" s="1473">
        <v>5</v>
      </c>
      <c r="DR16" s="1544" t="s">
        <v>1553</v>
      </c>
      <c r="DS16" s="1545">
        <v>0</v>
      </c>
      <c r="DT16" s="1535">
        <v>0</v>
      </c>
      <c r="DU16" s="1545">
        <v>0</v>
      </c>
      <c r="DV16" s="1545">
        <v>0</v>
      </c>
      <c r="DW16" s="1545">
        <v>0</v>
      </c>
      <c r="DX16" s="1545">
        <v>0</v>
      </c>
      <c r="DY16" s="1545">
        <v>0</v>
      </c>
      <c r="DZ16" s="1545">
        <v>0</v>
      </c>
      <c r="EA16" s="1545">
        <v>0</v>
      </c>
      <c r="EB16" s="1545">
        <v>0</v>
      </c>
      <c r="EC16" s="1545">
        <v>0</v>
      </c>
      <c r="ED16" s="1535">
        <v>0</v>
      </c>
      <c r="EE16" s="1545">
        <v>0</v>
      </c>
      <c r="EF16" s="1545">
        <v>0</v>
      </c>
      <c r="EG16" s="1545">
        <v>0</v>
      </c>
      <c r="EH16" s="1545">
        <v>0</v>
      </c>
      <c r="EI16" s="1545">
        <v>0</v>
      </c>
      <c r="EJ16" s="1545">
        <v>0</v>
      </c>
      <c r="EK16" s="1545">
        <v>0</v>
      </c>
      <c r="EL16" s="1545">
        <v>0</v>
      </c>
      <c r="EM16" s="1545">
        <v>0</v>
      </c>
      <c r="EN16" s="1535">
        <v>0</v>
      </c>
      <c r="EO16" s="1545">
        <v>0</v>
      </c>
      <c r="EP16" s="1545">
        <v>0</v>
      </c>
      <c r="EQ16" s="1536">
        <v>0</v>
      </c>
      <c r="ER16" s="1535">
        <v>0</v>
      </c>
      <c r="ES16" s="1546"/>
      <c r="ET16" s="1546"/>
    </row>
    <row r="17" spans="1:151" ht="17.25" customHeight="1" thickBot="1">
      <c r="A17" s="1528"/>
      <c r="B17" s="1505"/>
      <c r="C17" s="1506"/>
      <c r="D17" s="2557" t="s">
        <v>1499</v>
      </c>
      <c r="E17" s="2558"/>
      <c r="F17" s="1507"/>
      <c r="G17" s="1508"/>
      <c r="H17" s="1458"/>
      <c r="M17" s="1475"/>
      <c r="Q17" s="1529">
        <f t="shared" si="8"/>
        <v>0</v>
      </c>
      <c r="R17" s="1530">
        <f t="shared" si="9"/>
        <v>0</v>
      </c>
      <c r="S17" s="1530">
        <f t="shared" si="10"/>
        <v>0</v>
      </c>
      <c r="T17" s="1531">
        <f t="shared" si="2"/>
        <v>0</v>
      </c>
      <c r="U17" s="1531">
        <f t="shared" si="3"/>
        <v>0</v>
      </c>
      <c r="V17" s="1531">
        <f t="shared" si="11"/>
        <v>0</v>
      </c>
      <c r="W17" s="1532">
        <f t="shared" si="4"/>
        <v>0</v>
      </c>
      <c r="X17" s="1532">
        <f t="shared" si="5"/>
        <v>0</v>
      </c>
      <c r="Y17" s="1533">
        <f t="shared" si="6"/>
        <v>0</v>
      </c>
      <c r="Z17" s="1531">
        <f t="shared" si="7"/>
        <v>0</v>
      </c>
      <c r="AG17" s="1547" t="str">
        <f>EC9</f>
        <v>A3 Tertiary Education</v>
      </c>
      <c r="AH17" s="1548"/>
      <c r="AI17" s="1549"/>
      <c r="AJ17" s="1512">
        <f>EC39</f>
        <v>9</v>
      </c>
      <c r="AK17" s="1512">
        <f>ED39</f>
        <v>0</v>
      </c>
      <c r="AL17" s="1513">
        <f>EC40</f>
        <v>1</v>
      </c>
      <c r="AM17" s="1513">
        <f>ED40</f>
        <v>0</v>
      </c>
      <c r="BD17" s="1449"/>
      <c r="BE17" s="1550" t="s">
        <v>1548</v>
      </c>
      <c r="BF17" s="1551"/>
      <c r="BG17" s="1551"/>
      <c r="BH17" s="1552"/>
      <c r="BI17" s="1552"/>
      <c r="BJ17" s="1553" t="s">
        <v>1549</v>
      </c>
      <c r="BK17" s="1554"/>
      <c r="BL17" s="1554"/>
      <c r="BM17" s="1555" t="s">
        <v>1550</v>
      </c>
      <c r="BN17" s="1555"/>
      <c r="BO17" s="1555"/>
      <c r="BP17" s="1556" t="s">
        <v>2208</v>
      </c>
      <c r="BQ17" s="1557"/>
      <c r="BR17" s="1558">
        <f>D415</f>
        <v>0</v>
      </c>
      <c r="BS17" s="1556"/>
      <c r="BT17" s="1557"/>
      <c r="BU17" s="1559">
        <f>D416</f>
        <v>0</v>
      </c>
      <c r="BV17" s="1556"/>
      <c r="BW17" s="1557"/>
      <c r="BX17" s="1559">
        <f>D417</f>
        <v>0</v>
      </c>
      <c r="BY17" s="1556"/>
      <c r="BZ17" s="1557"/>
      <c r="CA17" s="1559">
        <f>D418</f>
        <v>0</v>
      </c>
      <c r="CB17" s="1556"/>
      <c r="CC17" s="1557"/>
      <c r="CD17" s="1559">
        <f>D419</f>
        <v>0</v>
      </c>
      <c r="CE17" s="1556"/>
      <c r="CF17" s="1557"/>
      <c r="CG17" s="1559">
        <f>D420</f>
        <v>0</v>
      </c>
      <c r="CH17" s="1556"/>
      <c r="CI17" s="1557"/>
      <c r="CJ17" s="1559">
        <f>D421</f>
        <v>0</v>
      </c>
      <c r="CK17" s="1556"/>
      <c r="CL17" s="1557"/>
      <c r="CM17" s="1559">
        <f>D422</f>
        <v>0</v>
      </c>
      <c r="CN17" s="1556"/>
      <c r="CO17" s="1557"/>
      <c r="CP17" s="1559">
        <f>D423</f>
        <v>0</v>
      </c>
      <c r="CQ17" s="1556"/>
      <c r="CR17" s="1557"/>
      <c r="CS17" s="1559">
        <f>D424</f>
        <v>0</v>
      </c>
      <c r="CT17" s="1556"/>
      <c r="CU17" s="1557"/>
      <c r="CV17" s="1559">
        <f>D425</f>
        <v>0</v>
      </c>
      <c r="CW17" s="1556"/>
      <c r="CX17" s="1557"/>
      <c r="CY17" s="1559">
        <f>D426</f>
        <v>0</v>
      </c>
      <c r="CZ17" s="1560" t="s">
        <v>1551</v>
      </c>
      <c r="DA17" s="1561"/>
      <c r="DB17" s="1561"/>
      <c r="DC17" s="1562" t="s">
        <v>1552</v>
      </c>
      <c r="DD17" s="1562"/>
      <c r="DE17" s="1562"/>
      <c r="DF17" s="1562"/>
      <c r="DG17" s="1420"/>
      <c r="DH17" s="1420"/>
      <c r="DN17" s="2559" t="s">
        <v>1490</v>
      </c>
      <c r="DO17" s="2560"/>
      <c r="DP17" s="1473">
        <v>5</v>
      </c>
      <c r="DR17" s="1544" t="s">
        <v>1573</v>
      </c>
      <c r="DS17" s="1545">
        <v>0</v>
      </c>
      <c r="DT17" s="1535">
        <v>0</v>
      </c>
      <c r="DU17" s="1545">
        <v>0</v>
      </c>
      <c r="DV17" s="1545">
        <v>0</v>
      </c>
      <c r="DW17" s="1545">
        <v>0</v>
      </c>
      <c r="DX17" s="1545">
        <v>0</v>
      </c>
      <c r="DY17" s="1545">
        <v>0</v>
      </c>
      <c r="DZ17" s="1545">
        <v>0</v>
      </c>
      <c r="EA17" s="1545">
        <v>0</v>
      </c>
      <c r="EB17" s="1545">
        <v>0</v>
      </c>
      <c r="EC17" s="1545">
        <v>0</v>
      </c>
      <c r="ED17" s="1535">
        <v>0</v>
      </c>
      <c r="EE17" s="1545">
        <v>0</v>
      </c>
      <c r="EF17" s="1545">
        <v>0</v>
      </c>
      <c r="EG17" s="1545">
        <v>0</v>
      </c>
      <c r="EH17" s="1545">
        <v>0</v>
      </c>
      <c r="EI17" s="1545">
        <v>0</v>
      </c>
      <c r="EJ17" s="1545">
        <v>0</v>
      </c>
      <c r="EK17" s="1545">
        <v>0</v>
      </c>
      <c r="EL17" s="1545">
        <v>0</v>
      </c>
      <c r="EM17" s="1545">
        <v>0</v>
      </c>
      <c r="EN17" s="1535">
        <v>0</v>
      </c>
      <c r="EO17" s="1545">
        <v>0</v>
      </c>
      <c r="EP17" s="1545">
        <v>0</v>
      </c>
      <c r="EQ17" s="1536">
        <v>0</v>
      </c>
      <c r="ER17" s="1535">
        <v>0</v>
      </c>
      <c r="ES17" s="1546"/>
      <c r="ET17" s="1546"/>
    </row>
    <row r="18" spans="1:151" ht="17.25" customHeight="1">
      <c r="A18" s="1528"/>
      <c r="B18" s="1505"/>
      <c r="C18" s="1506"/>
      <c r="D18" s="2557" t="s">
        <v>1499</v>
      </c>
      <c r="E18" s="2558"/>
      <c r="F18" s="1507"/>
      <c r="G18" s="1508"/>
      <c r="H18" s="1458"/>
      <c r="M18" s="1475"/>
      <c r="Q18" s="1529">
        <f t="shared" si="8"/>
        <v>0</v>
      </c>
      <c r="R18" s="1530">
        <f t="shared" si="9"/>
        <v>0</v>
      </c>
      <c r="S18" s="1530">
        <f t="shared" si="10"/>
        <v>0</v>
      </c>
      <c r="T18" s="1531">
        <f t="shared" si="2"/>
        <v>0</v>
      </c>
      <c r="U18" s="1531">
        <f t="shared" si="3"/>
        <v>0</v>
      </c>
      <c r="V18" s="1531">
        <f t="shared" si="11"/>
        <v>0</v>
      </c>
      <c r="W18" s="1532">
        <f t="shared" si="4"/>
        <v>0</v>
      </c>
      <c r="X18" s="1532">
        <f t="shared" si="5"/>
        <v>0</v>
      </c>
      <c r="Y18" s="1533">
        <f t="shared" si="6"/>
        <v>0</v>
      </c>
      <c r="Z18" s="1531">
        <f t="shared" si="7"/>
        <v>0</v>
      </c>
      <c r="AG18" s="1547" t="str">
        <f>EE9</f>
        <v>A3 Primary and Secondary Schools</v>
      </c>
      <c r="AH18" s="1548"/>
      <c r="AI18" s="1549"/>
      <c r="AJ18" s="1512">
        <f>EE39</f>
        <v>7.1</v>
      </c>
      <c r="AK18" s="1512">
        <f>EF39</f>
        <v>0</v>
      </c>
      <c r="AL18" s="1513">
        <f>EE40</f>
        <v>1</v>
      </c>
      <c r="AM18" s="1513">
        <f>EF40</f>
        <v>0</v>
      </c>
      <c r="BD18" s="1449"/>
      <c r="BE18" s="2569" t="s">
        <v>1207</v>
      </c>
      <c r="BF18" s="2461" t="s">
        <v>1554</v>
      </c>
      <c r="BG18" s="2461" t="s">
        <v>1555</v>
      </c>
      <c r="BH18" s="2461" t="s">
        <v>1556</v>
      </c>
      <c r="BI18" s="2461" t="s">
        <v>1557</v>
      </c>
      <c r="BJ18" s="2461" t="s">
        <v>1558</v>
      </c>
      <c r="BK18" s="2461" t="s">
        <v>1480</v>
      </c>
      <c r="BL18" s="2461" t="s">
        <v>1559</v>
      </c>
      <c r="BM18" s="2461" t="s">
        <v>1560</v>
      </c>
      <c r="BN18" s="2461" t="s">
        <v>1561</v>
      </c>
      <c r="BO18" s="2461" t="s">
        <v>1562</v>
      </c>
      <c r="BP18" s="2570" t="s">
        <v>1563</v>
      </c>
      <c r="BQ18" s="2461" t="s">
        <v>1564</v>
      </c>
      <c r="BR18" s="2461" t="s">
        <v>1565</v>
      </c>
      <c r="BS18" s="2566" t="s">
        <v>1563</v>
      </c>
      <c r="BT18" s="2461" t="s">
        <v>1564</v>
      </c>
      <c r="BU18" s="2567" t="s">
        <v>1565</v>
      </c>
      <c r="BV18" s="2566" t="s">
        <v>1563</v>
      </c>
      <c r="BW18" s="2461" t="s">
        <v>1564</v>
      </c>
      <c r="BX18" s="2567" t="s">
        <v>1565</v>
      </c>
      <c r="BY18" s="2566" t="s">
        <v>1563</v>
      </c>
      <c r="BZ18" s="2461" t="s">
        <v>1564</v>
      </c>
      <c r="CA18" s="2567" t="s">
        <v>1565</v>
      </c>
      <c r="CB18" s="2566" t="s">
        <v>1563</v>
      </c>
      <c r="CC18" s="2461" t="s">
        <v>1564</v>
      </c>
      <c r="CD18" s="2567" t="s">
        <v>1565</v>
      </c>
      <c r="CE18" s="2566" t="s">
        <v>1563</v>
      </c>
      <c r="CF18" s="2461" t="s">
        <v>1564</v>
      </c>
      <c r="CG18" s="2567" t="s">
        <v>1565</v>
      </c>
      <c r="CH18" s="2566" t="s">
        <v>1563</v>
      </c>
      <c r="CI18" s="2461" t="s">
        <v>1564</v>
      </c>
      <c r="CJ18" s="2461" t="s">
        <v>1565</v>
      </c>
      <c r="CK18" s="2566" t="s">
        <v>1563</v>
      </c>
      <c r="CL18" s="2461" t="s">
        <v>1564</v>
      </c>
      <c r="CM18" s="2461" t="s">
        <v>1565</v>
      </c>
      <c r="CN18" s="2566" t="s">
        <v>1563</v>
      </c>
      <c r="CO18" s="2461" t="s">
        <v>1564</v>
      </c>
      <c r="CP18" s="2461" t="s">
        <v>1565</v>
      </c>
      <c r="CQ18" s="2561" t="s">
        <v>1563</v>
      </c>
      <c r="CR18" s="2563" t="s">
        <v>1564</v>
      </c>
      <c r="CS18" s="2564" t="s">
        <v>1565</v>
      </c>
      <c r="CT18" s="2561" t="s">
        <v>1563</v>
      </c>
      <c r="CU18" s="2563" t="s">
        <v>1564</v>
      </c>
      <c r="CV18" s="2564" t="s">
        <v>1565</v>
      </c>
      <c r="CW18" s="2561" t="s">
        <v>1563</v>
      </c>
      <c r="CX18" s="2563" t="s">
        <v>1564</v>
      </c>
      <c r="CY18" s="2564" t="s">
        <v>1565</v>
      </c>
      <c r="CZ18" s="1563" t="s">
        <v>1566</v>
      </c>
      <c r="DA18" s="1564" t="s">
        <v>1567</v>
      </c>
      <c r="DB18" s="1565" t="s">
        <v>1568</v>
      </c>
      <c r="DC18" s="1425" t="s">
        <v>1569</v>
      </c>
      <c r="DD18" s="1425" t="s">
        <v>1570</v>
      </c>
      <c r="DE18" s="1425" t="s">
        <v>1571</v>
      </c>
      <c r="DF18" s="1425" t="s">
        <v>1572</v>
      </c>
      <c r="DG18" s="1566"/>
      <c r="DH18" s="1420"/>
      <c r="DN18" s="2559" t="s">
        <v>1491</v>
      </c>
      <c r="DO18" s="2560"/>
      <c r="DP18" s="1473">
        <v>10</v>
      </c>
      <c r="DR18" s="1544" t="s">
        <v>1574</v>
      </c>
      <c r="DS18" s="1567">
        <v>0</v>
      </c>
      <c r="DT18" s="1535">
        <v>0</v>
      </c>
      <c r="DU18" s="1567">
        <v>0</v>
      </c>
      <c r="DV18" s="1567">
        <v>0</v>
      </c>
      <c r="DW18" s="1567">
        <v>0</v>
      </c>
      <c r="DX18" s="1567">
        <v>0</v>
      </c>
      <c r="DY18" s="1567">
        <v>0</v>
      </c>
      <c r="DZ18" s="1567">
        <v>0</v>
      </c>
      <c r="EA18" s="1567">
        <v>0</v>
      </c>
      <c r="EB18" s="1567">
        <v>0</v>
      </c>
      <c r="EC18" s="1567">
        <v>0</v>
      </c>
      <c r="ED18" s="1535">
        <v>0</v>
      </c>
      <c r="EE18" s="1567">
        <v>0</v>
      </c>
      <c r="EF18" s="1567">
        <v>0</v>
      </c>
      <c r="EG18" s="1567">
        <v>0</v>
      </c>
      <c r="EH18" s="1567">
        <v>0</v>
      </c>
      <c r="EI18" s="1567">
        <v>0</v>
      </c>
      <c r="EJ18" s="1567">
        <v>0</v>
      </c>
      <c r="EK18" s="1567">
        <v>0</v>
      </c>
      <c r="EL18" s="1567">
        <v>0</v>
      </c>
      <c r="EM18" s="1567">
        <v>0</v>
      </c>
      <c r="EN18" s="1535">
        <v>0</v>
      </c>
      <c r="EO18" s="1567">
        <v>0</v>
      </c>
      <c r="EP18" s="1567">
        <v>0</v>
      </c>
      <c r="EQ18" s="1536">
        <v>0</v>
      </c>
      <c r="ER18" s="1535">
        <v>0</v>
      </c>
      <c r="ES18" s="1568"/>
      <c r="ET18" s="1568"/>
    </row>
    <row r="19" spans="1:151" ht="17.25" customHeight="1">
      <c r="A19" s="1528"/>
      <c r="B19" s="1505"/>
      <c r="C19" s="1506"/>
      <c r="D19" s="2557" t="s">
        <v>1499</v>
      </c>
      <c r="E19" s="2558"/>
      <c r="F19" s="1507"/>
      <c r="G19" s="1508"/>
      <c r="H19" s="1458"/>
      <c r="M19" s="1475"/>
      <c r="Q19" s="1529">
        <f t="shared" si="8"/>
        <v>0</v>
      </c>
      <c r="R19" s="1530">
        <f t="shared" si="9"/>
        <v>0</v>
      </c>
      <c r="S19" s="1530">
        <f t="shared" si="10"/>
        <v>0</v>
      </c>
      <c r="T19" s="1531">
        <f t="shared" si="2"/>
        <v>0</v>
      </c>
      <c r="U19" s="1531">
        <f t="shared" si="3"/>
        <v>0</v>
      </c>
      <c r="V19" s="1531">
        <f t="shared" si="11"/>
        <v>0</v>
      </c>
      <c r="W19" s="1532">
        <f t="shared" si="4"/>
        <v>0</v>
      </c>
      <c r="X19" s="1532">
        <f t="shared" si="5"/>
        <v>0</v>
      </c>
      <c r="Y19" s="1533">
        <f t="shared" si="6"/>
        <v>0</v>
      </c>
      <c r="Z19" s="1531">
        <f t="shared" si="7"/>
        <v>0</v>
      </c>
      <c r="AG19" s="1547" t="str">
        <f>EG9</f>
        <v>A4 Places of Worship</v>
      </c>
      <c r="AH19" s="1548"/>
      <c r="AI19" s="1549"/>
      <c r="AJ19" s="1512">
        <f>EG39</f>
        <v>7.1</v>
      </c>
      <c r="AK19" s="1512">
        <f>EH39</f>
        <v>0</v>
      </c>
      <c r="AL19" s="1513">
        <f>EE40</f>
        <v>1</v>
      </c>
      <c r="AM19" s="1513">
        <f>EF40</f>
        <v>0</v>
      </c>
      <c r="BD19" s="1449"/>
      <c r="BE19" s="2569"/>
      <c r="BF19" s="2461"/>
      <c r="BG19" s="2461"/>
      <c r="BH19" s="2461"/>
      <c r="BI19" s="2461"/>
      <c r="BJ19" s="2461"/>
      <c r="BK19" s="2461"/>
      <c r="BL19" s="2461"/>
      <c r="BM19" s="2461"/>
      <c r="BN19" s="2461"/>
      <c r="BO19" s="2461"/>
      <c r="BP19" s="2570"/>
      <c r="BQ19" s="2461"/>
      <c r="BR19" s="2461"/>
      <c r="BS19" s="2562"/>
      <c r="BT19" s="2504"/>
      <c r="BU19" s="2568"/>
      <c r="BV19" s="2562"/>
      <c r="BW19" s="2504"/>
      <c r="BX19" s="2568"/>
      <c r="BY19" s="2562"/>
      <c r="BZ19" s="2504"/>
      <c r="CA19" s="2568"/>
      <c r="CB19" s="2562"/>
      <c r="CC19" s="2504"/>
      <c r="CD19" s="2568"/>
      <c r="CE19" s="2562"/>
      <c r="CF19" s="2504"/>
      <c r="CG19" s="2568"/>
      <c r="CH19" s="2562"/>
      <c r="CI19" s="2504"/>
      <c r="CJ19" s="2504"/>
      <c r="CK19" s="2562"/>
      <c r="CL19" s="2504"/>
      <c r="CM19" s="2504"/>
      <c r="CN19" s="2562"/>
      <c r="CO19" s="2504"/>
      <c r="CP19" s="2504"/>
      <c r="CQ19" s="2562"/>
      <c r="CR19" s="2504"/>
      <c r="CS19" s="2565"/>
      <c r="CT19" s="2562"/>
      <c r="CU19" s="2504"/>
      <c r="CV19" s="2565"/>
      <c r="CW19" s="2562"/>
      <c r="CX19" s="2504"/>
      <c r="CY19" s="2565"/>
      <c r="CZ19" s="1569"/>
      <c r="DA19" s="1425"/>
      <c r="DB19" s="1570"/>
      <c r="DC19" s="1425"/>
      <c r="DD19" s="1425"/>
      <c r="DE19" s="1425"/>
      <c r="DF19" s="1425"/>
      <c r="DG19" s="1420"/>
      <c r="DH19" s="1420"/>
      <c r="DN19" s="2559" t="s">
        <v>1492</v>
      </c>
      <c r="DO19" s="2560"/>
      <c r="DP19" s="1473">
        <v>10</v>
      </c>
      <c r="DR19" s="1544" t="s">
        <v>1575</v>
      </c>
      <c r="DS19" s="1567">
        <v>0</v>
      </c>
      <c r="DT19" s="1535">
        <v>0</v>
      </c>
      <c r="DU19" s="1567">
        <v>0</v>
      </c>
      <c r="DV19" s="1567">
        <v>0</v>
      </c>
      <c r="DW19" s="1567">
        <v>0</v>
      </c>
      <c r="DX19" s="1567">
        <v>0</v>
      </c>
      <c r="DY19" s="1567">
        <v>0</v>
      </c>
      <c r="DZ19" s="1567">
        <v>0</v>
      </c>
      <c r="EA19" s="1567">
        <v>0</v>
      </c>
      <c r="EB19" s="1567">
        <v>0</v>
      </c>
      <c r="EC19" s="1567">
        <v>0</v>
      </c>
      <c r="ED19" s="1535">
        <v>0</v>
      </c>
      <c r="EE19" s="1567">
        <v>0</v>
      </c>
      <c r="EF19" s="1567">
        <v>0</v>
      </c>
      <c r="EG19" s="1567">
        <v>0</v>
      </c>
      <c r="EH19" s="1567">
        <v>0</v>
      </c>
      <c r="EI19" s="1567">
        <v>0</v>
      </c>
      <c r="EJ19" s="1567">
        <v>0</v>
      </c>
      <c r="EK19" s="1567">
        <v>0</v>
      </c>
      <c r="EL19" s="1567">
        <v>0</v>
      </c>
      <c r="EM19" s="1567">
        <v>0</v>
      </c>
      <c r="EN19" s="1535">
        <v>0</v>
      </c>
      <c r="EO19" s="1567">
        <v>0</v>
      </c>
      <c r="EP19" s="1567">
        <v>0</v>
      </c>
      <c r="EQ19" s="1536">
        <v>0</v>
      </c>
      <c r="ER19" s="1535">
        <v>0</v>
      </c>
      <c r="ES19" s="1568"/>
      <c r="ET19" s="1568"/>
      <c r="EU19" s="1427"/>
    </row>
    <row r="20" spans="1:151" ht="17.25" customHeight="1">
      <c r="A20" s="1528"/>
      <c r="B20" s="1505"/>
      <c r="C20" s="1506"/>
      <c r="D20" s="2557" t="s">
        <v>1499</v>
      </c>
      <c r="E20" s="2558"/>
      <c r="F20" s="1507"/>
      <c r="G20" s="1508"/>
      <c r="H20" s="1458"/>
      <c r="M20" s="1475"/>
      <c r="Q20" s="1529">
        <f t="shared" si="8"/>
        <v>0</v>
      </c>
      <c r="R20" s="1530">
        <f t="shared" si="9"/>
        <v>0</v>
      </c>
      <c r="S20" s="1530">
        <f t="shared" si="10"/>
        <v>0</v>
      </c>
      <c r="T20" s="1531">
        <f t="shared" si="2"/>
        <v>0</v>
      </c>
      <c r="U20" s="1531">
        <f t="shared" si="3"/>
        <v>0</v>
      </c>
      <c r="V20" s="1531">
        <f t="shared" si="11"/>
        <v>0</v>
      </c>
      <c r="W20" s="1532">
        <f t="shared" si="4"/>
        <v>0</v>
      </c>
      <c r="X20" s="1532">
        <f t="shared" si="5"/>
        <v>0</v>
      </c>
      <c r="Y20" s="1533">
        <f t="shared" si="6"/>
        <v>0</v>
      </c>
      <c r="Z20" s="1531">
        <f t="shared" si="7"/>
        <v>0</v>
      </c>
      <c r="AG20" s="1547" t="str">
        <f>EI9</f>
        <v>Airport / Public Transport terminal buildings</v>
      </c>
      <c r="AH20" s="1548"/>
      <c r="AI20" s="1549"/>
      <c r="AJ20" s="1512">
        <f>EI39</f>
        <v>9</v>
      </c>
      <c r="AK20" s="1512">
        <f>EJ39</f>
        <v>9</v>
      </c>
      <c r="AL20" s="1513">
        <f>EI40</f>
        <v>1</v>
      </c>
      <c r="AM20" s="1513">
        <f>EJ40</f>
        <v>1</v>
      </c>
      <c r="BD20" s="1449"/>
      <c r="BE20" s="1571" t="s">
        <v>1208</v>
      </c>
      <c r="BF20" s="1436">
        <v>21</v>
      </c>
      <c r="BG20" s="1436">
        <v>1</v>
      </c>
      <c r="BH20" s="1436">
        <v>5</v>
      </c>
      <c r="BI20" s="1495" t="b">
        <f>BH20&lt;=5</f>
        <v>1</v>
      </c>
      <c r="BJ20" s="1450" t="b">
        <f>MOD(BG20,$BJ$7)=0</f>
        <v>0</v>
      </c>
      <c r="BK20" s="1572">
        <f t="shared" ref="BK20:BK50" si="13">IF(BJ20,BJ$8,0)</f>
        <v>0</v>
      </c>
      <c r="BL20" s="1573">
        <f>BK20</f>
        <v>0</v>
      </c>
      <c r="BM20" s="1436">
        <f t="shared" ref="BM20:BM83" si="14">BL20*$BJ$13</f>
        <v>0</v>
      </c>
      <c r="BN20" s="1495">
        <f t="shared" ref="BN20:BN83" si="15">$BJ$14*(BL20&gt;0)</f>
        <v>0</v>
      </c>
      <c r="BO20" s="1437">
        <f>BM20-BN20</f>
        <v>0</v>
      </c>
      <c r="BP20" s="1574">
        <f t="shared" ref="BP20:BP50" si="16">$Q$334/$BF$20*BR$16*$BI20</f>
        <v>0</v>
      </c>
      <c r="BQ20" s="1575">
        <f t="shared" ref="BQ20:BQ50" si="17">AQ$369/$BF20*$BI20</f>
        <v>0</v>
      </c>
      <c r="BR20" s="1576">
        <f t="shared" ref="BR20:BR83" si="18">IF(BP20-(BQ20*$BR$17)&gt;0,BP20-(BQ20*$BR$17),0)</f>
        <v>0</v>
      </c>
      <c r="BS20" s="1574">
        <f t="shared" ref="BS20:BS50" si="19">$R$334/$BF$20*BU$16*$BI20</f>
        <v>0</v>
      </c>
      <c r="BT20" s="1577">
        <f t="shared" ref="BT20:BT50" si="20">AR$369/$BF20*$BI20</f>
        <v>0</v>
      </c>
      <c r="BU20" s="1576">
        <f t="shared" ref="BU20:BU83" si="21">IF(BS20-(BT20*BU$17)&gt;0,BS20-(BT20*BU$17),0)</f>
        <v>0</v>
      </c>
      <c r="BV20" s="1574">
        <f t="shared" ref="BV20:BV50" si="22">$S$334/$BF$20*BX$16*$BI20</f>
        <v>0</v>
      </c>
      <c r="BW20" s="1577">
        <f t="shared" ref="BW20:BW50" si="23">AS$369/$BF20*$BI20</f>
        <v>0</v>
      </c>
      <c r="BX20" s="1576">
        <f t="shared" ref="BX20:BX83" si="24">IF(BV20-(BW20*BX$17)&gt;0,BV20-(BW20*BX$17),0)</f>
        <v>0</v>
      </c>
      <c r="BY20" s="1574">
        <f t="shared" ref="BY20:BY50" si="25">$T$334/$BF$20*CA$16*$BI20</f>
        <v>0</v>
      </c>
      <c r="BZ20" s="1577">
        <f t="shared" ref="BZ20:BZ50" si="26">AT$369/$BF20*$BI20</f>
        <v>0</v>
      </c>
      <c r="CA20" s="1576">
        <f t="shared" ref="CA20:CA83" si="27">IF(BY20-(BZ20*CA$17)&gt;0,BY20-(BZ20*CA$17),0)</f>
        <v>0</v>
      </c>
      <c r="CB20" s="1495">
        <f t="shared" ref="CB20:CB50" si="28">$W$334/BF20*$CD$16*BI20</f>
        <v>0</v>
      </c>
      <c r="CC20" s="1577">
        <f t="shared" ref="CC20:CC50" si="29">AU$369/$BF20*$BI20</f>
        <v>0</v>
      </c>
      <c r="CD20" s="1576">
        <f t="shared" ref="CD20:CD83" si="30">IF(CB20-(CC20*CD$17)&gt;0,CB20-(CC20*CD$17),0)</f>
        <v>0</v>
      </c>
      <c r="CE20" s="1495">
        <f t="shared" ref="CE20:CE50" si="31">$X$334/BF20*$CG$16*BI20</f>
        <v>0</v>
      </c>
      <c r="CF20" s="1577">
        <f t="shared" ref="CF20:CF50" si="32">AV$369/$BF20*$BI20</f>
        <v>0</v>
      </c>
      <c r="CG20" s="1576">
        <f t="shared" ref="CG20:CG83" si="33">IF(CE20-(CF20*CG$17)&gt;0,CE20-(CF20*CG$17),0)</f>
        <v>0</v>
      </c>
      <c r="CH20" s="1495">
        <f t="shared" ref="CH20:CH50" si="34">$Y$334/BF20*BI20*$CJ$16</f>
        <v>0</v>
      </c>
      <c r="CI20" s="1577">
        <f t="shared" ref="CI20:CI50" si="35">AW$369/$BF20*$BI20</f>
        <v>0</v>
      </c>
      <c r="CJ20" s="1576">
        <f t="shared" ref="CJ20:CJ83" si="36">IF(CH20-(CI20*CJ$17)&gt;0,CH20-(CI20*CJ$17),0)</f>
        <v>0</v>
      </c>
      <c r="CK20" s="1495">
        <f t="shared" ref="CK20:CK50" si="37">$Z$334/BF20*BI20*$CM$16</f>
        <v>0</v>
      </c>
      <c r="CL20" s="1577">
        <f t="shared" ref="CL20:CL50" si="38">AX$369/$BF20*$BI20</f>
        <v>0</v>
      </c>
      <c r="CM20" s="1576">
        <f t="shared" ref="CM20:CM83" si="39">IF(CK20-(CL20*CM$17)&gt;0,CK20-(CL20*CM$17),0)</f>
        <v>0</v>
      </c>
      <c r="CN20" s="1495">
        <f t="shared" ref="CN20:CN50" si="40">$AA$334/BF20*BI20*$CP$16</f>
        <v>0</v>
      </c>
      <c r="CO20" s="1577">
        <f t="shared" ref="CO20:CO50" si="41">$AY$369/$BF20*$BI20</f>
        <v>0</v>
      </c>
      <c r="CP20" s="1576">
        <f t="shared" ref="CP20:CP83" si="42">IF(CN20-(CO20*CP$17)&gt;0,CN20-(CO20*CP$17),0)</f>
        <v>0</v>
      </c>
      <c r="CQ20" s="1495">
        <f t="shared" ref="CQ20:CQ50" si="43">$AB$334/BF20*BI20*$CS$16</f>
        <v>0</v>
      </c>
      <c r="CR20" s="1577">
        <f t="shared" ref="CR20:CR50" si="44">AZ$369/$BF20*$BI20</f>
        <v>0</v>
      </c>
      <c r="CS20" s="1576">
        <f t="shared" ref="CS20:CS83" si="45">IF(CQ20-(CR20*CS$17)&gt;0,CQ20-(CR20*CS$17),0)</f>
        <v>0</v>
      </c>
      <c r="CT20" s="1578">
        <f t="shared" ref="CT20:CT50" si="46">$AC$334/BF20*BI20*$CV$16</f>
        <v>0</v>
      </c>
      <c r="CU20" s="1577">
        <f t="shared" ref="CU20:CU50" si="47">BA$369/$BF20*$BI20</f>
        <v>0</v>
      </c>
      <c r="CV20" s="1576">
        <f t="shared" ref="CV20:CV83" si="48">IF(CT20-(CU20*CV$17)&gt;0,CT20-(CU20*CV$17),0)</f>
        <v>0</v>
      </c>
      <c r="CW20" s="1495">
        <f t="shared" ref="CW20:CW50" si="49">$AD$334/BF20*BI20*$CY$16</f>
        <v>0</v>
      </c>
      <c r="CX20" s="1577">
        <f t="shared" ref="CX20:CX50" si="50">BB$369/$BF20*$BI20</f>
        <v>0</v>
      </c>
      <c r="CY20" s="1576">
        <f t="shared" ref="CY20:CY83" si="51">IF(CW20-(CX20*CY$17)&gt;0,CW20-(CX20*CY$17),0)</f>
        <v>0</v>
      </c>
      <c r="CZ20" s="1574">
        <f t="shared" ref="CZ20:CZ83" si="52">BO20</f>
        <v>0</v>
      </c>
      <c r="DA20" s="1578">
        <f>BR20+BU20+BX20+CA20+CD20+CG20+CJ20+CM20+CP20+CS20+CV20+CY20</f>
        <v>0</v>
      </c>
      <c r="DB20" s="1579">
        <f>CZ20-DA20</f>
        <v>0</v>
      </c>
      <c r="DC20" s="1580">
        <f>IF($DB20&lt;0,0,IF($DB20&gt;$F$405,$F$405,$DB20))</f>
        <v>0</v>
      </c>
      <c r="DD20" s="1578">
        <f>IF($DB20+DC384&lt;0,0,IF($DB20+DC384&gt;$F$405,$F$405,$DB20+DC384))</f>
        <v>0</v>
      </c>
      <c r="DE20" s="1578">
        <f>IF($DB20+DD384&lt;0,0,IF($DB20+DD384&gt;$F$405,$F$405,$DB20+DD384))</f>
        <v>0</v>
      </c>
      <c r="DF20" s="1578">
        <f>IF(DA20-(DE384+CZ20)&lt;0,0,DA20-(DE384+CZ20))</f>
        <v>0</v>
      </c>
      <c r="DG20" s="1420"/>
      <c r="DH20" s="1420"/>
      <c r="DJ20" s="1427"/>
      <c r="DN20" s="2559" t="s">
        <v>1493</v>
      </c>
      <c r="DO20" s="2560"/>
      <c r="DP20" s="1473">
        <v>20</v>
      </c>
      <c r="DR20" s="1544" t="s">
        <v>1576</v>
      </c>
      <c r="DS20" s="1567">
        <v>0</v>
      </c>
      <c r="DT20" s="1535">
        <v>0</v>
      </c>
      <c r="DU20" s="1567">
        <v>0</v>
      </c>
      <c r="DV20" s="1567">
        <v>0</v>
      </c>
      <c r="DW20" s="1567">
        <v>0</v>
      </c>
      <c r="DX20" s="1567">
        <v>0</v>
      </c>
      <c r="DY20" s="1567">
        <v>0</v>
      </c>
      <c r="DZ20" s="1567">
        <v>0</v>
      </c>
      <c r="EA20" s="1567">
        <v>0</v>
      </c>
      <c r="EB20" s="1567">
        <v>0</v>
      </c>
      <c r="EC20" s="1567">
        <v>0</v>
      </c>
      <c r="ED20" s="1535">
        <v>0</v>
      </c>
      <c r="EE20" s="1567">
        <v>0</v>
      </c>
      <c r="EF20" s="1567">
        <v>0</v>
      </c>
      <c r="EG20" s="1567">
        <v>0</v>
      </c>
      <c r="EH20" s="1567">
        <v>0</v>
      </c>
      <c r="EI20" s="1567">
        <v>0</v>
      </c>
      <c r="EJ20" s="1567">
        <v>0</v>
      </c>
      <c r="EK20" s="1567">
        <v>0</v>
      </c>
      <c r="EL20" s="1567">
        <v>0</v>
      </c>
      <c r="EM20" s="1567">
        <v>0</v>
      </c>
      <c r="EN20" s="1535">
        <v>0</v>
      </c>
      <c r="EO20" s="1567">
        <v>0</v>
      </c>
      <c r="EP20" s="1567">
        <v>0</v>
      </c>
      <c r="EQ20" s="1536">
        <v>0</v>
      </c>
      <c r="ER20" s="1535">
        <v>0</v>
      </c>
      <c r="ES20" s="1568"/>
      <c r="ET20" s="1568"/>
      <c r="EU20" s="1427"/>
    </row>
    <row r="21" spans="1:151" ht="17.25" customHeight="1">
      <c r="A21" s="1528"/>
      <c r="B21" s="1505"/>
      <c r="C21" s="1506"/>
      <c r="D21" s="2557" t="s">
        <v>1499</v>
      </c>
      <c r="E21" s="2558"/>
      <c r="F21" s="1507"/>
      <c r="G21" s="1508"/>
      <c r="H21" s="1458"/>
      <c r="M21" s="1475"/>
      <c r="Q21" s="1529">
        <f t="shared" si="8"/>
        <v>0</v>
      </c>
      <c r="R21" s="1530">
        <f t="shared" si="9"/>
        <v>0</v>
      </c>
      <c r="S21" s="1530">
        <f t="shared" si="10"/>
        <v>0</v>
      </c>
      <c r="T21" s="1531">
        <f t="shared" si="2"/>
        <v>0</v>
      </c>
      <c r="U21" s="1531">
        <f t="shared" si="3"/>
        <v>0</v>
      </c>
      <c r="V21" s="1531">
        <f t="shared" si="11"/>
        <v>0</v>
      </c>
      <c r="W21" s="1532">
        <f t="shared" si="4"/>
        <v>0</v>
      </c>
      <c r="X21" s="1532">
        <f t="shared" si="5"/>
        <v>0</v>
      </c>
      <c r="Y21" s="1533">
        <f t="shared" si="6"/>
        <v>0</v>
      </c>
      <c r="Z21" s="1531">
        <f t="shared" si="7"/>
        <v>0</v>
      </c>
      <c r="AG21" s="1547" t="str">
        <f>EK9</f>
        <v>C1 Convention Centre / Exhibition hall</v>
      </c>
      <c r="AH21" s="1548"/>
      <c r="AI21" s="1549"/>
      <c r="AJ21" s="1512">
        <f>EK39</f>
        <v>8</v>
      </c>
      <c r="AK21" s="1512">
        <f>EL39</f>
        <v>0</v>
      </c>
      <c r="AL21" s="1513">
        <f>EK40</f>
        <v>1</v>
      </c>
      <c r="AM21" s="1513">
        <f>EL40</f>
        <v>0</v>
      </c>
      <c r="BD21" s="1449"/>
      <c r="BE21" s="1571" t="s">
        <v>1208</v>
      </c>
      <c r="BF21" s="1436">
        <v>21</v>
      </c>
      <c r="BG21" s="1436">
        <v>2</v>
      </c>
      <c r="BH21" s="1436">
        <v>6</v>
      </c>
      <c r="BI21" s="1495" t="b">
        <f t="shared" ref="BI21:BI84" si="53">BH21&lt;=5</f>
        <v>0</v>
      </c>
      <c r="BJ21" s="1450" t="b">
        <f>MOD(BG21,$BJ$7)=0</f>
        <v>0</v>
      </c>
      <c r="BK21" s="1572">
        <f t="shared" si="13"/>
        <v>0</v>
      </c>
      <c r="BL21" s="1581">
        <f>IF(SUM(BL$20:BL20,BK21)&gt;$BJ$4,0,BK21)</f>
        <v>0</v>
      </c>
      <c r="BM21" s="1436">
        <f t="shared" si="14"/>
        <v>0</v>
      </c>
      <c r="BN21" s="1495">
        <f t="shared" si="15"/>
        <v>0</v>
      </c>
      <c r="BO21" s="1437">
        <f>BM21-BN21</f>
        <v>0</v>
      </c>
      <c r="BP21" s="1574">
        <f t="shared" si="16"/>
        <v>0</v>
      </c>
      <c r="BQ21" s="1577">
        <f t="shared" si="17"/>
        <v>0</v>
      </c>
      <c r="BR21" s="1576">
        <f t="shared" si="18"/>
        <v>0</v>
      </c>
      <c r="BS21" s="1574">
        <f t="shared" si="19"/>
        <v>0</v>
      </c>
      <c r="BT21" s="1577">
        <f t="shared" si="20"/>
        <v>0</v>
      </c>
      <c r="BU21" s="1576">
        <f t="shared" si="21"/>
        <v>0</v>
      </c>
      <c r="BV21" s="1574">
        <f t="shared" si="22"/>
        <v>0</v>
      </c>
      <c r="BW21" s="1577">
        <f t="shared" si="23"/>
        <v>0</v>
      </c>
      <c r="BX21" s="1576">
        <f t="shared" si="24"/>
        <v>0</v>
      </c>
      <c r="BY21" s="1574">
        <f t="shared" si="25"/>
        <v>0</v>
      </c>
      <c r="BZ21" s="1577">
        <f t="shared" si="26"/>
        <v>0</v>
      </c>
      <c r="CA21" s="1576">
        <f t="shared" si="27"/>
        <v>0</v>
      </c>
      <c r="CB21" s="1495">
        <f t="shared" si="28"/>
        <v>0</v>
      </c>
      <c r="CC21" s="1577">
        <f t="shared" si="29"/>
        <v>0</v>
      </c>
      <c r="CD21" s="1576">
        <f t="shared" si="30"/>
        <v>0</v>
      </c>
      <c r="CE21" s="1495">
        <f t="shared" si="31"/>
        <v>0</v>
      </c>
      <c r="CF21" s="1577">
        <f t="shared" si="32"/>
        <v>0</v>
      </c>
      <c r="CG21" s="1576">
        <f t="shared" si="33"/>
        <v>0</v>
      </c>
      <c r="CH21" s="1495">
        <f t="shared" si="34"/>
        <v>0</v>
      </c>
      <c r="CI21" s="1577">
        <f t="shared" si="35"/>
        <v>0</v>
      </c>
      <c r="CJ21" s="1576">
        <f t="shared" si="36"/>
        <v>0</v>
      </c>
      <c r="CK21" s="1495">
        <f t="shared" si="37"/>
        <v>0</v>
      </c>
      <c r="CL21" s="1577">
        <f t="shared" si="38"/>
        <v>0</v>
      </c>
      <c r="CM21" s="1576">
        <f t="shared" si="39"/>
        <v>0</v>
      </c>
      <c r="CN21" s="1495">
        <f t="shared" si="40"/>
        <v>0</v>
      </c>
      <c r="CO21" s="1577">
        <f t="shared" si="41"/>
        <v>0</v>
      </c>
      <c r="CP21" s="1576">
        <f t="shared" si="42"/>
        <v>0</v>
      </c>
      <c r="CQ21" s="1495">
        <f t="shared" si="43"/>
        <v>0</v>
      </c>
      <c r="CR21" s="1577">
        <f t="shared" si="44"/>
        <v>0</v>
      </c>
      <c r="CS21" s="1576">
        <f t="shared" si="45"/>
        <v>0</v>
      </c>
      <c r="CT21" s="1495">
        <f t="shared" si="46"/>
        <v>0</v>
      </c>
      <c r="CU21" s="1577">
        <f t="shared" si="47"/>
        <v>0</v>
      </c>
      <c r="CV21" s="1576">
        <f t="shared" si="48"/>
        <v>0</v>
      </c>
      <c r="CW21" s="1495">
        <f t="shared" si="49"/>
        <v>0</v>
      </c>
      <c r="CX21" s="1577">
        <f t="shared" si="50"/>
        <v>0</v>
      </c>
      <c r="CY21" s="1576">
        <f t="shared" si="51"/>
        <v>0</v>
      </c>
      <c r="CZ21" s="1574">
        <f t="shared" si="52"/>
        <v>0</v>
      </c>
      <c r="DA21" s="1578">
        <f t="shared" ref="DA21:DA84" si="54">BR21+BU21+BX21+CA21+CD21+CG21+CJ21+CM21+CP21+CS21+CV21+CY21</f>
        <v>0</v>
      </c>
      <c r="DB21" s="1579">
        <f t="shared" ref="DB21:DB84" si="55">CZ21-DA21</f>
        <v>0</v>
      </c>
      <c r="DC21" s="1578">
        <f t="shared" ref="DC21:DE84" si="56">IF(DC20+$DB21&lt;0,0,IF(DC20+$DB21&gt;$F$405,$F$405,DC20+$DB21))</f>
        <v>0</v>
      </c>
      <c r="DD21" s="1578">
        <f t="shared" si="56"/>
        <v>0</v>
      </c>
      <c r="DE21" s="1578">
        <f t="shared" si="56"/>
        <v>0</v>
      </c>
      <c r="DF21" s="1578">
        <f>IF(DA21-(DE20+CZ21)&lt;0,0,DA21-(DE20+CZ21))</f>
        <v>0</v>
      </c>
      <c r="DG21" s="1420"/>
      <c r="DH21" s="1420"/>
      <c r="DM21" s="1427"/>
      <c r="DN21" s="2559" t="s">
        <v>1243</v>
      </c>
      <c r="DO21" s="2560"/>
      <c r="DP21" s="1473">
        <v>15</v>
      </c>
      <c r="DR21" s="1544" t="s">
        <v>1577</v>
      </c>
      <c r="DS21" s="1567">
        <v>0</v>
      </c>
      <c r="DT21" s="1535">
        <v>0</v>
      </c>
      <c r="DU21" s="1567">
        <v>0</v>
      </c>
      <c r="DV21" s="1567">
        <v>0</v>
      </c>
      <c r="DW21" s="1567">
        <v>0</v>
      </c>
      <c r="DX21" s="1567">
        <v>0</v>
      </c>
      <c r="DY21" s="1567">
        <v>0</v>
      </c>
      <c r="DZ21" s="1567">
        <v>0</v>
      </c>
      <c r="EA21" s="1567">
        <v>0</v>
      </c>
      <c r="EB21" s="1567">
        <v>0</v>
      </c>
      <c r="EC21" s="1567">
        <v>0</v>
      </c>
      <c r="ED21" s="1535">
        <v>0</v>
      </c>
      <c r="EE21" s="1567">
        <v>0</v>
      </c>
      <c r="EF21" s="1567">
        <v>0</v>
      </c>
      <c r="EG21" s="1567">
        <v>0</v>
      </c>
      <c r="EH21" s="1567">
        <v>0</v>
      </c>
      <c r="EI21" s="1567">
        <v>0</v>
      </c>
      <c r="EJ21" s="1567">
        <v>0</v>
      </c>
      <c r="EK21" s="1567">
        <v>0</v>
      </c>
      <c r="EL21" s="1567">
        <v>0</v>
      </c>
      <c r="EM21" s="1567">
        <v>0</v>
      </c>
      <c r="EN21" s="1535">
        <v>0</v>
      </c>
      <c r="EO21" s="1567">
        <v>0</v>
      </c>
      <c r="EP21" s="1567">
        <v>0</v>
      </c>
      <c r="EQ21" s="1536">
        <v>0</v>
      </c>
      <c r="ER21" s="1535">
        <v>0</v>
      </c>
      <c r="ES21" s="1568"/>
      <c r="ET21" s="1568"/>
      <c r="EU21" s="1427"/>
    </row>
    <row r="22" spans="1:151" ht="21" customHeight="1">
      <c r="A22" s="1528"/>
      <c r="B22" s="1505"/>
      <c r="C22" s="1506"/>
      <c r="D22" s="2557" t="s">
        <v>1499</v>
      </c>
      <c r="E22" s="2558"/>
      <c r="F22" s="1507"/>
      <c r="G22" s="1508"/>
      <c r="H22" s="1458"/>
      <c r="M22" s="1475"/>
      <c r="Q22" s="1529">
        <f t="shared" si="8"/>
        <v>0</v>
      </c>
      <c r="R22" s="1530">
        <f t="shared" si="9"/>
        <v>0</v>
      </c>
      <c r="S22" s="1530">
        <f t="shared" si="10"/>
        <v>0</v>
      </c>
      <c r="T22" s="1531">
        <f t="shared" si="2"/>
        <v>0</v>
      </c>
      <c r="U22" s="1531">
        <f t="shared" si="3"/>
        <v>0</v>
      </c>
      <c r="V22" s="1531">
        <f t="shared" si="11"/>
        <v>0</v>
      </c>
      <c r="W22" s="1532">
        <f t="shared" si="4"/>
        <v>0</v>
      </c>
      <c r="X22" s="1532">
        <f t="shared" si="5"/>
        <v>0</v>
      </c>
      <c r="Y22" s="1533">
        <f t="shared" si="6"/>
        <v>0</v>
      </c>
      <c r="Z22" s="1531">
        <f t="shared" si="7"/>
        <v>0</v>
      </c>
      <c r="AG22" s="1547" t="str">
        <f>EM9</f>
        <v>C2 Libraries / Museums / Galleries</v>
      </c>
      <c r="AH22" s="1548"/>
      <c r="AI22" s="1549"/>
      <c r="AJ22" s="1512">
        <f>EM39</f>
        <v>8</v>
      </c>
      <c r="AK22" s="1512">
        <f>EN39</f>
        <v>0</v>
      </c>
      <c r="AL22" s="1513">
        <f>EM40</f>
        <v>1</v>
      </c>
      <c r="AM22" s="1513">
        <f>EN40</f>
        <v>0</v>
      </c>
      <c r="BD22" s="1449"/>
      <c r="BE22" s="1571" t="s">
        <v>1208</v>
      </c>
      <c r="BF22" s="1436">
        <v>21</v>
      </c>
      <c r="BG22" s="1436">
        <v>3</v>
      </c>
      <c r="BH22" s="1436">
        <v>7</v>
      </c>
      <c r="BI22" s="1495" t="b">
        <f t="shared" si="53"/>
        <v>0</v>
      </c>
      <c r="BJ22" s="1450" t="b">
        <f>MOD(BG22,$BJ$7)=0</f>
        <v>1</v>
      </c>
      <c r="BK22" s="1572">
        <f t="shared" si="13"/>
        <v>7.4545454545454541</v>
      </c>
      <c r="BL22" s="1581">
        <f>IF(SUM(BL$20:BL21,BK22)&gt;$BJ$4,0,BK22)</f>
        <v>7.4545454545454541</v>
      </c>
      <c r="BM22" s="1436">
        <f t="shared" si="14"/>
        <v>0</v>
      </c>
      <c r="BN22" s="1495">
        <f t="shared" si="15"/>
        <v>0</v>
      </c>
      <c r="BO22" s="1437">
        <f>BM22-BN22</f>
        <v>0</v>
      </c>
      <c r="BP22" s="1574">
        <f t="shared" si="16"/>
        <v>0</v>
      </c>
      <c r="BQ22" s="1577">
        <f t="shared" si="17"/>
        <v>0</v>
      </c>
      <c r="BR22" s="1576">
        <f t="shared" si="18"/>
        <v>0</v>
      </c>
      <c r="BS22" s="1574">
        <f t="shared" si="19"/>
        <v>0</v>
      </c>
      <c r="BT22" s="1577">
        <f t="shared" si="20"/>
        <v>0</v>
      </c>
      <c r="BU22" s="1576">
        <f t="shared" si="21"/>
        <v>0</v>
      </c>
      <c r="BV22" s="1574">
        <f t="shared" si="22"/>
        <v>0</v>
      </c>
      <c r="BW22" s="1577">
        <f t="shared" si="23"/>
        <v>0</v>
      </c>
      <c r="BX22" s="1576">
        <f t="shared" si="24"/>
        <v>0</v>
      </c>
      <c r="BY22" s="1574">
        <f t="shared" si="25"/>
        <v>0</v>
      </c>
      <c r="BZ22" s="1577">
        <f t="shared" si="26"/>
        <v>0</v>
      </c>
      <c r="CA22" s="1576">
        <f t="shared" si="27"/>
        <v>0</v>
      </c>
      <c r="CB22" s="1495">
        <f t="shared" si="28"/>
        <v>0</v>
      </c>
      <c r="CC22" s="1577">
        <f t="shared" si="29"/>
        <v>0</v>
      </c>
      <c r="CD22" s="1576">
        <f t="shared" si="30"/>
        <v>0</v>
      </c>
      <c r="CE22" s="1495">
        <f t="shared" si="31"/>
        <v>0</v>
      </c>
      <c r="CF22" s="1577">
        <f t="shared" si="32"/>
        <v>0</v>
      </c>
      <c r="CG22" s="1576">
        <f t="shared" si="33"/>
        <v>0</v>
      </c>
      <c r="CH22" s="1495">
        <f t="shared" si="34"/>
        <v>0</v>
      </c>
      <c r="CI22" s="1577">
        <f t="shared" si="35"/>
        <v>0</v>
      </c>
      <c r="CJ22" s="1576">
        <f t="shared" si="36"/>
        <v>0</v>
      </c>
      <c r="CK22" s="1495">
        <f t="shared" si="37"/>
        <v>0</v>
      </c>
      <c r="CL22" s="1577">
        <f t="shared" si="38"/>
        <v>0</v>
      </c>
      <c r="CM22" s="1576">
        <f t="shared" si="39"/>
        <v>0</v>
      </c>
      <c r="CN22" s="1495">
        <f t="shared" si="40"/>
        <v>0</v>
      </c>
      <c r="CO22" s="1577">
        <f t="shared" si="41"/>
        <v>0</v>
      </c>
      <c r="CP22" s="1576">
        <f t="shared" si="42"/>
        <v>0</v>
      </c>
      <c r="CQ22" s="1495">
        <f t="shared" si="43"/>
        <v>0</v>
      </c>
      <c r="CR22" s="1577">
        <f t="shared" si="44"/>
        <v>0</v>
      </c>
      <c r="CS22" s="1576">
        <f t="shared" si="45"/>
        <v>0</v>
      </c>
      <c r="CT22" s="1495">
        <f t="shared" si="46"/>
        <v>0</v>
      </c>
      <c r="CU22" s="1577">
        <f t="shared" si="47"/>
        <v>0</v>
      </c>
      <c r="CV22" s="1576">
        <f t="shared" si="48"/>
        <v>0</v>
      </c>
      <c r="CW22" s="1495">
        <f t="shared" si="49"/>
        <v>0</v>
      </c>
      <c r="CX22" s="1577">
        <f t="shared" si="50"/>
        <v>0</v>
      </c>
      <c r="CY22" s="1576">
        <f t="shared" si="51"/>
        <v>0</v>
      </c>
      <c r="CZ22" s="1574">
        <f t="shared" si="52"/>
        <v>0</v>
      </c>
      <c r="DA22" s="1578">
        <f t="shared" si="54"/>
        <v>0</v>
      </c>
      <c r="DB22" s="1579">
        <f t="shared" si="55"/>
        <v>0</v>
      </c>
      <c r="DC22" s="1578">
        <f t="shared" si="56"/>
        <v>0</v>
      </c>
      <c r="DD22" s="1578">
        <f t="shared" si="56"/>
        <v>0</v>
      </c>
      <c r="DE22" s="1578">
        <f t="shared" si="56"/>
        <v>0</v>
      </c>
      <c r="DF22" s="1578">
        <f t="shared" ref="DF22:DF85" si="57">IF(DA22-(DE21+CZ22)&lt;0,0,DA22-(DE21+CZ22))</f>
        <v>0</v>
      </c>
      <c r="DG22" s="1420"/>
      <c r="DH22" s="1420"/>
      <c r="DM22" s="1427"/>
      <c r="DN22" s="2559" t="s">
        <v>1494</v>
      </c>
      <c r="DO22" s="2560"/>
      <c r="DP22" s="1582">
        <v>5</v>
      </c>
      <c r="DR22" s="1544" t="s">
        <v>1578</v>
      </c>
      <c r="DS22" s="1567">
        <v>0.15</v>
      </c>
      <c r="DT22" s="1535">
        <v>0</v>
      </c>
      <c r="DU22" s="1567">
        <v>0</v>
      </c>
      <c r="DV22" s="1567">
        <v>0</v>
      </c>
      <c r="DW22" s="1567">
        <v>0.25</v>
      </c>
      <c r="DX22" s="1567">
        <v>0.25</v>
      </c>
      <c r="DY22" s="1567">
        <v>0</v>
      </c>
      <c r="DZ22" s="1567">
        <v>0</v>
      </c>
      <c r="EA22" s="1567">
        <v>0</v>
      </c>
      <c r="EB22" s="1567">
        <v>0</v>
      </c>
      <c r="EC22" s="1567">
        <v>0</v>
      </c>
      <c r="ED22" s="1535">
        <v>0</v>
      </c>
      <c r="EE22" s="1567">
        <v>0</v>
      </c>
      <c r="EF22" s="1567">
        <v>0</v>
      </c>
      <c r="EG22" s="1567">
        <v>0.1</v>
      </c>
      <c r="EH22" s="1567">
        <v>0</v>
      </c>
      <c r="EI22" s="1567">
        <v>0</v>
      </c>
      <c r="EJ22" s="1567">
        <v>0</v>
      </c>
      <c r="EK22" s="1567">
        <v>0</v>
      </c>
      <c r="EL22" s="1567">
        <v>0</v>
      </c>
      <c r="EM22" s="1567">
        <v>0</v>
      </c>
      <c r="EN22" s="1535">
        <v>0</v>
      </c>
      <c r="EO22" s="1567">
        <v>0</v>
      </c>
      <c r="EP22" s="1567">
        <v>0</v>
      </c>
      <c r="EQ22" s="1567">
        <v>0.25</v>
      </c>
      <c r="ER22" s="1535">
        <v>0</v>
      </c>
      <c r="ES22" s="1568"/>
      <c r="ET22" s="1568"/>
      <c r="EU22" s="1427"/>
    </row>
    <row r="23" spans="1:151" ht="21" customHeight="1">
      <c r="A23" s="1528"/>
      <c r="B23" s="1505"/>
      <c r="C23" s="1506"/>
      <c r="D23" s="2557" t="s">
        <v>1499</v>
      </c>
      <c r="E23" s="2558"/>
      <c r="F23" s="1507"/>
      <c r="G23" s="1508"/>
      <c r="H23" s="1458"/>
      <c r="M23" s="1475"/>
      <c r="Q23" s="1529">
        <f t="shared" si="8"/>
        <v>0</v>
      </c>
      <c r="R23" s="1530">
        <f t="shared" si="9"/>
        <v>0</v>
      </c>
      <c r="S23" s="1530">
        <f t="shared" si="10"/>
        <v>0</v>
      </c>
      <c r="T23" s="1531">
        <f t="shared" si="2"/>
        <v>0</v>
      </c>
      <c r="U23" s="1531">
        <f t="shared" si="3"/>
        <v>0</v>
      </c>
      <c r="V23" s="1531">
        <f t="shared" si="11"/>
        <v>0</v>
      </c>
      <c r="W23" s="1532">
        <f t="shared" si="4"/>
        <v>0</v>
      </c>
      <c r="X23" s="1532">
        <f t="shared" si="5"/>
        <v>0</v>
      </c>
      <c r="Y23" s="1533">
        <f t="shared" si="6"/>
        <v>0</v>
      </c>
      <c r="Z23" s="1531">
        <f t="shared" si="7"/>
        <v>0</v>
      </c>
      <c r="AG23" s="1547" t="str">
        <f>EO9</f>
        <v>Courts</v>
      </c>
      <c r="AH23" s="1548"/>
      <c r="AI23" s="1549"/>
      <c r="AJ23" s="1512">
        <f>EO39</f>
        <v>8</v>
      </c>
      <c r="AK23" s="1512">
        <f>EP39</f>
        <v>0</v>
      </c>
      <c r="AL23" s="1513">
        <f>EO40</f>
        <v>1</v>
      </c>
      <c r="AM23" s="1513">
        <f>EP40</f>
        <v>0</v>
      </c>
      <c r="BD23" s="1449"/>
      <c r="BE23" s="1571" t="s">
        <v>1208</v>
      </c>
      <c r="BF23" s="1436">
        <v>21</v>
      </c>
      <c r="BG23" s="1436">
        <v>4</v>
      </c>
      <c r="BH23" s="1436">
        <v>1</v>
      </c>
      <c r="BI23" s="1495" t="b">
        <f t="shared" si="53"/>
        <v>1</v>
      </c>
      <c r="BJ23" s="1450" t="b">
        <f t="shared" ref="BJ23:BJ50" si="58">MOD(BG23,$BJ$7)=0</f>
        <v>0</v>
      </c>
      <c r="BK23" s="1572">
        <f t="shared" si="13"/>
        <v>0</v>
      </c>
      <c r="BL23" s="1581">
        <f>IF(SUM(BL$20:BL22,BK23)&gt;$BJ$4,0,BK23)</f>
        <v>0</v>
      </c>
      <c r="BM23" s="1436">
        <f t="shared" si="14"/>
        <v>0</v>
      </c>
      <c r="BN23" s="1495">
        <f t="shared" si="15"/>
        <v>0</v>
      </c>
      <c r="BO23" s="1437">
        <f>BM23-BN23</f>
        <v>0</v>
      </c>
      <c r="BP23" s="1574">
        <f t="shared" si="16"/>
        <v>0</v>
      </c>
      <c r="BQ23" s="1577">
        <f t="shared" si="17"/>
        <v>0</v>
      </c>
      <c r="BR23" s="1576">
        <f t="shared" si="18"/>
        <v>0</v>
      </c>
      <c r="BS23" s="1574">
        <f t="shared" si="19"/>
        <v>0</v>
      </c>
      <c r="BT23" s="1577">
        <f t="shared" si="20"/>
        <v>0</v>
      </c>
      <c r="BU23" s="1576">
        <f t="shared" si="21"/>
        <v>0</v>
      </c>
      <c r="BV23" s="1574">
        <f t="shared" si="22"/>
        <v>0</v>
      </c>
      <c r="BW23" s="1577">
        <f t="shared" si="23"/>
        <v>0</v>
      </c>
      <c r="BX23" s="1576">
        <f t="shared" si="24"/>
        <v>0</v>
      </c>
      <c r="BY23" s="1574">
        <f t="shared" si="25"/>
        <v>0</v>
      </c>
      <c r="BZ23" s="1577">
        <f t="shared" si="26"/>
        <v>0</v>
      </c>
      <c r="CA23" s="1576">
        <f t="shared" si="27"/>
        <v>0</v>
      </c>
      <c r="CB23" s="1495">
        <f t="shared" si="28"/>
        <v>0</v>
      </c>
      <c r="CC23" s="1577">
        <f t="shared" si="29"/>
        <v>0</v>
      </c>
      <c r="CD23" s="1576">
        <f t="shared" si="30"/>
        <v>0</v>
      </c>
      <c r="CE23" s="1495">
        <f t="shared" si="31"/>
        <v>0</v>
      </c>
      <c r="CF23" s="1577">
        <f t="shared" si="32"/>
        <v>0</v>
      </c>
      <c r="CG23" s="1576">
        <f t="shared" si="33"/>
        <v>0</v>
      </c>
      <c r="CH23" s="1495">
        <f t="shared" si="34"/>
        <v>0</v>
      </c>
      <c r="CI23" s="1577">
        <f t="shared" si="35"/>
        <v>0</v>
      </c>
      <c r="CJ23" s="1576">
        <f t="shared" si="36"/>
        <v>0</v>
      </c>
      <c r="CK23" s="1495">
        <f t="shared" si="37"/>
        <v>0</v>
      </c>
      <c r="CL23" s="1577">
        <f t="shared" si="38"/>
        <v>0</v>
      </c>
      <c r="CM23" s="1576">
        <f t="shared" si="39"/>
        <v>0</v>
      </c>
      <c r="CN23" s="1495">
        <f t="shared" si="40"/>
        <v>0</v>
      </c>
      <c r="CO23" s="1577">
        <f t="shared" si="41"/>
        <v>0</v>
      </c>
      <c r="CP23" s="1576">
        <f t="shared" si="42"/>
        <v>0</v>
      </c>
      <c r="CQ23" s="1495">
        <f t="shared" si="43"/>
        <v>0</v>
      </c>
      <c r="CR23" s="1577">
        <f t="shared" si="44"/>
        <v>0</v>
      </c>
      <c r="CS23" s="1576">
        <f t="shared" si="45"/>
        <v>0</v>
      </c>
      <c r="CT23" s="1495">
        <f t="shared" si="46"/>
        <v>0</v>
      </c>
      <c r="CU23" s="1577">
        <f t="shared" si="47"/>
        <v>0</v>
      </c>
      <c r="CV23" s="1576">
        <f t="shared" si="48"/>
        <v>0</v>
      </c>
      <c r="CW23" s="1495">
        <f t="shared" si="49"/>
        <v>0</v>
      </c>
      <c r="CX23" s="1577">
        <f t="shared" si="50"/>
        <v>0</v>
      </c>
      <c r="CY23" s="1576">
        <f t="shared" si="51"/>
        <v>0</v>
      </c>
      <c r="CZ23" s="1574">
        <f t="shared" si="52"/>
        <v>0</v>
      </c>
      <c r="DA23" s="1578">
        <f>BR23+BU23+BX23+CA23+CD23+CG23+CJ23+CM23+CP23+CS23+CV23+CY23</f>
        <v>0</v>
      </c>
      <c r="DB23" s="1579">
        <f>CZ23-DA23</f>
        <v>0</v>
      </c>
      <c r="DC23" s="1578">
        <f t="shared" si="56"/>
        <v>0</v>
      </c>
      <c r="DD23" s="1578">
        <f t="shared" si="56"/>
        <v>0</v>
      </c>
      <c r="DE23" s="1578">
        <f t="shared" si="56"/>
        <v>0</v>
      </c>
      <c r="DF23" s="1578">
        <f>IF(DA23-(DE22+CZ23)&lt;0,0,DA23-(DE22+CZ23))</f>
        <v>0</v>
      </c>
      <c r="DG23" s="1420"/>
      <c r="DH23" s="1420"/>
      <c r="DM23" s="1427"/>
      <c r="DR23" s="1544" t="s">
        <v>1579</v>
      </c>
      <c r="DS23" s="1567">
        <v>0.6</v>
      </c>
      <c r="DT23" s="1567">
        <v>0.05</v>
      </c>
      <c r="DU23" s="1567">
        <v>0.1</v>
      </c>
      <c r="DV23" s="1567">
        <v>0</v>
      </c>
      <c r="DW23" s="1567">
        <v>0.25</v>
      </c>
      <c r="DX23" s="1567">
        <v>0.25</v>
      </c>
      <c r="DY23" s="1567">
        <v>0</v>
      </c>
      <c r="DZ23" s="1567">
        <v>0</v>
      </c>
      <c r="EA23" s="1567">
        <v>0</v>
      </c>
      <c r="EB23" s="1567">
        <v>0</v>
      </c>
      <c r="EC23" s="1567">
        <v>0.25</v>
      </c>
      <c r="ED23" s="1535">
        <v>0</v>
      </c>
      <c r="EE23" s="1567">
        <v>0.1</v>
      </c>
      <c r="EF23" s="1567">
        <v>0</v>
      </c>
      <c r="EG23" s="1567">
        <v>0.25</v>
      </c>
      <c r="EH23" s="1567">
        <v>0</v>
      </c>
      <c r="EI23" s="1567">
        <v>0.25</v>
      </c>
      <c r="EJ23" s="1567">
        <v>0.25</v>
      </c>
      <c r="EK23" s="1567">
        <v>0</v>
      </c>
      <c r="EL23" s="1567">
        <v>0</v>
      </c>
      <c r="EM23" s="1567">
        <v>0</v>
      </c>
      <c r="EN23" s="1535">
        <v>0</v>
      </c>
      <c r="EO23" s="1567">
        <v>0</v>
      </c>
      <c r="EP23" s="1567">
        <v>0</v>
      </c>
      <c r="EQ23" s="1567">
        <v>1</v>
      </c>
      <c r="ER23" s="1535">
        <v>1</v>
      </c>
      <c r="ES23" s="1568"/>
      <c r="ET23" s="1568"/>
      <c r="EU23" s="1427"/>
    </row>
    <row r="24" spans="1:151" ht="21" customHeight="1">
      <c r="A24" s="1528"/>
      <c r="B24" s="1505"/>
      <c r="C24" s="1506"/>
      <c r="D24" s="2557" t="s">
        <v>1499</v>
      </c>
      <c r="E24" s="2558"/>
      <c r="F24" s="1507"/>
      <c r="G24" s="1508"/>
      <c r="H24" s="1458"/>
      <c r="M24" s="1475"/>
      <c r="Q24" s="1529">
        <f t="shared" si="8"/>
        <v>0</v>
      </c>
      <c r="R24" s="1530">
        <f t="shared" si="9"/>
        <v>0</v>
      </c>
      <c r="S24" s="1530">
        <f t="shared" si="10"/>
        <v>0</v>
      </c>
      <c r="T24" s="1531">
        <f t="shared" si="2"/>
        <v>0</v>
      </c>
      <c r="U24" s="1531">
        <f t="shared" si="3"/>
        <v>0</v>
      </c>
      <c r="V24" s="1531">
        <f t="shared" si="11"/>
        <v>0</v>
      </c>
      <c r="W24" s="1532">
        <f t="shared" si="4"/>
        <v>0</v>
      </c>
      <c r="X24" s="1532">
        <f t="shared" si="5"/>
        <v>0</v>
      </c>
      <c r="Y24" s="1533">
        <f t="shared" si="6"/>
        <v>0</v>
      </c>
      <c r="Z24" s="1531">
        <f t="shared" si="7"/>
        <v>0</v>
      </c>
      <c r="AG24" s="1477" t="str">
        <f>EQ9</f>
        <v>Gym</v>
      </c>
      <c r="AH24" s="1478"/>
      <c r="AI24" s="1479"/>
      <c r="AJ24" s="1512">
        <f>EQ39</f>
        <v>7.25</v>
      </c>
      <c r="AK24" s="1512">
        <f>ER39</f>
        <v>14</v>
      </c>
      <c r="AL24" s="1513">
        <f>EQ40</f>
        <v>1</v>
      </c>
      <c r="AM24" s="1513">
        <f>ER40</f>
        <v>1</v>
      </c>
      <c r="BD24" s="1449"/>
      <c r="BE24" s="1571" t="s">
        <v>1208</v>
      </c>
      <c r="BF24" s="1436">
        <v>21</v>
      </c>
      <c r="BG24" s="1436">
        <v>5</v>
      </c>
      <c r="BH24" s="1436">
        <v>2</v>
      </c>
      <c r="BI24" s="1495" t="b">
        <f t="shared" si="53"/>
        <v>1</v>
      </c>
      <c r="BJ24" s="1450" t="b">
        <f t="shared" si="58"/>
        <v>0</v>
      </c>
      <c r="BK24" s="1572">
        <f t="shared" si="13"/>
        <v>0</v>
      </c>
      <c r="BL24" s="1581">
        <f>IF(SUM(BL$20:BL23,BK24)&gt;$BJ$4,0,BK24)</f>
        <v>0</v>
      </c>
      <c r="BM24" s="1436">
        <f t="shared" si="14"/>
        <v>0</v>
      </c>
      <c r="BN24" s="1495">
        <f t="shared" si="15"/>
        <v>0</v>
      </c>
      <c r="BO24" s="1437">
        <f>BM24-BN24</f>
        <v>0</v>
      </c>
      <c r="BP24" s="1574">
        <f t="shared" si="16"/>
        <v>0</v>
      </c>
      <c r="BQ24" s="1577">
        <f t="shared" si="17"/>
        <v>0</v>
      </c>
      <c r="BR24" s="1576">
        <f t="shared" si="18"/>
        <v>0</v>
      </c>
      <c r="BS24" s="1574">
        <f t="shared" si="19"/>
        <v>0</v>
      </c>
      <c r="BT24" s="1577">
        <f t="shared" si="20"/>
        <v>0</v>
      </c>
      <c r="BU24" s="1576">
        <f t="shared" si="21"/>
        <v>0</v>
      </c>
      <c r="BV24" s="1574">
        <f t="shared" si="22"/>
        <v>0</v>
      </c>
      <c r="BW24" s="1577">
        <f t="shared" si="23"/>
        <v>0</v>
      </c>
      <c r="BX24" s="1576">
        <f t="shared" si="24"/>
        <v>0</v>
      </c>
      <c r="BY24" s="1574">
        <f t="shared" si="25"/>
        <v>0</v>
      </c>
      <c r="BZ24" s="1577">
        <f t="shared" si="26"/>
        <v>0</v>
      </c>
      <c r="CA24" s="1576">
        <f t="shared" si="27"/>
        <v>0</v>
      </c>
      <c r="CB24" s="1495">
        <f t="shared" si="28"/>
        <v>0</v>
      </c>
      <c r="CC24" s="1577">
        <f t="shared" si="29"/>
        <v>0</v>
      </c>
      <c r="CD24" s="1576">
        <f t="shared" si="30"/>
        <v>0</v>
      </c>
      <c r="CE24" s="1495">
        <f t="shared" si="31"/>
        <v>0</v>
      </c>
      <c r="CF24" s="1577">
        <f t="shared" si="32"/>
        <v>0</v>
      </c>
      <c r="CG24" s="1576">
        <f t="shared" si="33"/>
        <v>0</v>
      </c>
      <c r="CH24" s="1495">
        <f t="shared" si="34"/>
        <v>0</v>
      </c>
      <c r="CI24" s="1577">
        <f t="shared" si="35"/>
        <v>0</v>
      </c>
      <c r="CJ24" s="1576">
        <f t="shared" si="36"/>
        <v>0</v>
      </c>
      <c r="CK24" s="1495">
        <f t="shared" si="37"/>
        <v>0</v>
      </c>
      <c r="CL24" s="1577">
        <f t="shared" si="38"/>
        <v>0</v>
      </c>
      <c r="CM24" s="1576">
        <f t="shared" si="39"/>
        <v>0</v>
      </c>
      <c r="CN24" s="1495">
        <f t="shared" si="40"/>
        <v>0</v>
      </c>
      <c r="CO24" s="1577">
        <f t="shared" si="41"/>
        <v>0</v>
      </c>
      <c r="CP24" s="1576">
        <f t="shared" si="42"/>
        <v>0</v>
      </c>
      <c r="CQ24" s="1495">
        <f t="shared" si="43"/>
        <v>0</v>
      </c>
      <c r="CR24" s="1577">
        <f t="shared" si="44"/>
        <v>0</v>
      </c>
      <c r="CS24" s="1576">
        <f t="shared" si="45"/>
        <v>0</v>
      </c>
      <c r="CT24" s="1495">
        <f t="shared" si="46"/>
        <v>0</v>
      </c>
      <c r="CU24" s="1577">
        <f t="shared" si="47"/>
        <v>0</v>
      </c>
      <c r="CV24" s="1576">
        <f t="shared" si="48"/>
        <v>0</v>
      </c>
      <c r="CW24" s="1495">
        <f t="shared" si="49"/>
        <v>0</v>
      </c>
      <c r="CX24" s="1577">
        <f t="shared" si="50"/>
        <v>0</v>
      </c>
      <c r="CY24" s="1576">
        <f t="shared" si="51"/>
        <v>0</v>
      </c>
      <c r="CZ24" s="1574">
        <f t="shared" si="52"/>
        <v>0</v>
      </c>
      <c r="DA24" s="1578">
        <f t="shared" si="54"/>
        <v>0</v>
      </c>
      <c r="DB24" s="1579">
        <f t="shared" si="55"/>
        <v>0</v>
      </c>
      <c r="DC24" s="1578">
        <f t="shared" si="56"/>
        <v>0</v>
      </c>
      <c r="DD24" s="1578">
        <f t="shared" si="56"/>
        <v>0</v>
      </c>
      <c r="DE24" s="1578">
        <f t="shared" si="56"/>
        <v>0</v>
      </c>
      <c r="DF24" s="1578">
        <f t="shared" si="57"/>
        <v>0</v>
      </c>
      <c r="DG24" s="1420"/>
      <c r="DH24" s="1420"/>
      <c r="DM24" s="1427"/>
      <c r="DN24" s="1427"/>
      <c r="DO24" s="1427"/>
      <c r="DP24" s="1427"/>
      <c r="DR24" s="1544" t="s">
        <v>1580</v>
      </c>
      <c r="DS24" s="1567">
        <v>1</v>
      </c>
      <c r="DT24" s="1567">
        <v>0.05</v>
      </c>
      <c r="DU24" s="1567">
        <v>0.25</v>
      </c>
      <c r="DV24" s="1567">
        <v>0</v>
      </c>
      <c r="DW24" s="1567">
        <v>0.5</v>
      </c>
      <c r="DX24" s="1567">
        <v>0.5</v>
      </c>
      <c r="DY24" s="1567">
        <v>0</v>
      </c>
      <c r="DZ24" s="1567">
        <v>0</v>
      </c>
      <c r="EA24" s="1567">
        <v>0.75</v>
      </c>
      <c r="EB24" s="1567">
        <v>0</v>
      </c>
      <c r="EC24" s="1567">
        <v>0.5</v>
      </c>
      <c r="ED24" s="1535">
        <v>0</v>
      </c>
      <c r="EE24" s="1567">
        <v>0.25</v>
      </c>
      <c r="EF24" s="1567">
        <v>0</v>
      </c>
      <c r="EG24" s="1567">
        <v>0.75</v>
      </c>
      <c r="EH24" s="1567">
        <v>0</v>
      </c>
      <c r="EI24" s="1567">
        <v>0.5</v>
      </c>
      <c r="EJ24" s="1567">
        <v>0.5</v>
      </c>
      <c r="EK24" s="1567">
        <v>0.75</v>
      </c>
      <c r="EL24" s="1567">
        <v>0</v>
      </c>
      <c r="EM24" s="1567">
        <v>0</v>
      </c>
      <c r="EN24" s="1535">
        <v>0</v>
      </c>
      <c r="EO24" s="1567">
        <v>0.75</v>
      </c>
      <c r="EP24" s="1567">
        <v>0</v>
      </c>
      <c r="EQ24" s="1567">
        <v>0.25</v>
      </c>
      <c r="ER24" s="1535">
        <v>1</v>
      </c>
      <c r="ES24" s="1568"/>
      <c r="ET24" s="1568"/>
      <c r="EU24" s="1427"/>
    </row>
    <row r="25" spans="1:151" ht="21" customHeight="1">
      <c r="A25" s="1528"/>
      <c r="B25" s="1505"/>
      <c r="C25" s="1506"/>
      <c r="D25" s="2557" t="s">
        <v>1499</v>
      </c>
      <c r="E25" s="2558"/>
      <c r="F25" s="1507"/>
      <c r="G25" s="1508"/>
      <c r="H25" s="1458"/>
      <c r="M25" s="1475"/>
      <c r="Q25" s="1529">
        <f t="shared" si="8"/>
        <v>0</v>
      </c>
      <c r="R25" s="1530">
        <f t="shared" si="9"/>
        <v>0</v>
      </c>
      <c r="S25" s="1530">
        <f t="shared" si="10"/>
        <v>0</v>
      </c>
      <c r="T25" s="1531">
        <f t="shared" si="2"/>
        <v>0</v>
      </c>
      <c r="U25" s="1531">
        <f t="shared" si="3"/>
        <v>0</v>
      </c>
      <c r="V25" s="1531">
        <f t="shared" si="11"/>
        <v>0</v>
      </c>
      <c r="W25" s="1532">
        <f t="shared" si="4"/>
        <v>0</v>
      </c>
      <c r="X25" s="1532">
        <f t="shared" si="5"/>
        <v>0</v>
      </c>
      <c r="Y25" s="1533">
        <f t="shared" si="6"/>
        <v>0</v>
      </c>
      <c r="Z25" s="1531">
        <f t="shared" si="7"/>
        <v>0</v>
      </c>
      <c r="AG25" s="1477" t="str">
        <f>ES9</f>
        <v>&lt;User Defined&gt;</v>
      </c>
      <c r="AH25" s="1478"/>
      <c r="AI25" s="1479"/>
      <c r="AJ25" s="1512">
        <f>ES39</f>
        <v>0</v>
      </c>
      <c r="AK25" s="1512">
        <f>ET39</f>
        <v>0</v>
      </c>
      <c r="AL25" s="1513">
        <f>ES40</f>
        <v>0</v>
      </c>
      <c r="AM25" s="1513">
        <f>ET40</f>
        <v>0</v>
      </c>
      <c r="BD25" s="1449"/>
      <c r="BE25" s="1571" t="s">
        <v>1208</v>
      </c>
      <c r="BF25" s="1436">
        <v>21</v>
      </c>
      <c r="BG25" s="1436">
        <v>6</v>
      </c>
      <c r="BH25" s="1436">
        <v>3</v>
      </c>
      <c r="BI25" s="1495" t="b">
        <f t="shared" si="53"/>
        <v>1</v>
      </c>
      <c r="BJ25" s="1450" t="b">
        <f t="shared" si="58"/>
        <v>1</v>
      </c>
      <c r="BK25" s="1572">
        <f t="shared" si="13"/>
        <v>7.4545454545454541</v>
      </c>
      <c r="BL25" s="1581">
        <f>IF(SUM(BL$20:BL24,BK25)&gt;$BJ$4,0,BK25)</f>
        <v>7.4545454545454541</v>
      </c>
      <c r="BM25" s="1436">
        <f t="shared" si="14"/>
        <v>0</v>
      </c>
      <c r="BN25" s="1495">
        <f t="shared" si="15"/>
        <v>0</v>
      </c>
      <c r="BO25" s="1437">
        <f t="shared" ref="BO25:BO88" si="59">BM25-BN25</f>
        <v>0</v>
      </c>
      <c r="BP25" s="1574">
        <f t="shared" si="16"/>
        <v>0</v>
      </c>
      <c r="BQ25" s="1577">
        <f t="shared" si="17"/>
        <v>0</v>
      </c>
      <c r="BR25" s="1576">
        <f t="shared" si="18"/>
        <v>0</v>
      </c>
      <c r="BS25" s="1574">
        <f t="shared" si="19"/>
        <v>0</v>
      </c>
      <c r="BT25" s="1577">
        <f t="shared" si="20"/>
        <v>0</v>
      </c>
      <c r="BU25" s="1576">
        <f t="shared" si="21"/>
        <v>0</v>
      </c>
      <c r="BV25" s="1574">
        <f t="shared" si="22"/>
        <v>0</v>
      </c>
      <c r="BW25" s="1577">
        <f t="shared" si="23"/>
        <v>0</v>
      </c>
      <c r="BX25" s="1576">
        <f t="shared" si="24"/>
        <v>0</v>
      </c>
      <c r="BY25" s="1574">
        <f t="shared" si="25"/>
        <v>0</v>
      </c>
      <c r="BZ25" s="1577">
        <f t="shared" si="26"/>
        <v>0</v>
      </c>
      <c r="CA25" s="1576">
        <f t="shared" si="27"/>
        <v>0</v>
      </c>
      <c r="CB25" s="1495">
        <f t="shared" si="28"/>
        <v>0</v>
      </c>
      <c r="CC25" s="1577">
        <f t="shared" si="29"/>
        <v>0</v>
      </c>
      <c r="CD25" s="1576">
        <f t="shared" si="30"/>
        <v>0</v>
      </c>
      <c r="CE25" s="1495">
        <f t="shared" si="31"/>
        <v>0</v>
      </c>
      <c r="CF25" s="1577">
        <f t="shared" si="32"/>
        <v>0</v>
      </c>
      <c r="CG25" s="1576">
        <f t="shared" si="33"/>
        <v>0</v>
      </c>
      <c r="CH25" s="1495">
        <f t="shared" si="34"/>
        <v>0</v>
      </c>
      <c r="CI25" s="1577">
        <f t="shared" si="35"/>
        <v>0</v>
      </c>
      <c r="CJ25" s="1576">
        <f t="shared" si="36"/>
        <v>0</v>
      </c>
      <c r="CK25" s="1495">
        <f t="shared" si="37"/>
        <v>0</v>
      </c>
      <c r="CL25" s="1577">
        <f t="shared" si="38"/>
        <v>0</v>
      </c>
      <c r="CM25" s="1576">
        <f t="shared" si="39"/>
        <v>0</v>
      </c>
      <c r="CN25" s="1495">
        <f t="shared" si="40"/>
        <v>0</v>
      </c>
      <c r="CO25" s="1577">
        <f t="shared" si="41"/>
        <v>0</v>
      </c>
      <c r="CP25" s="1576">
        <f t="shared" si="42"/>
        <v>0</v>
      </c>
      <c r="CQ25" s="1495">
        <f t="shared" si="43"/>
        <v>0</v>
      </c>
      <c r="CR25" s="1577">
        <f t="shared" si="44"/>
        <v>0</v>
      </c>
      <c r="CS25" s="1576">
        <f t="shared" si="45"/>
        <v>0</v>
      </c>
      <c r="CT25" s="1495">
        <f t="shared" si="46"/>
        <v>0</v>
      </c>
      <c r="CU25" s="1577">
        <f t="shared" si="47"/>
        <v>0</v>
      </c>
      <c r="CV25" s="1576">
        <f t="shared" si="48"/>
        <v>0</v>
      </c>
      <c r="CW25" s="1495">
        <f t="shared" si="49"/>
        <v>0</v>
      </c>
      <c r="CX25" s="1577">
        <f t="shared" si="50"/>
        <v>0</v>
      </c>
      <c r="CY25" s="1576">
        <f t="shared" si="51"/>
        <v>0</v>
      </c>
      <c r="CZ25" s="1574">
        <f t="shared" si="52"/>
        <v>0</v>
      </c>
      <c r="DA25" s="1578">
        <f t="shared" si="54"/>
        <v>0</v>
      </c>
      <c r="DB25" s="1579">
        <f t="shared" si="55"/>
        <v>0</v>
      </c>
      <c r="DC25" s="1578">
        <f t="shared" si="56"/>
        <v>0</v>
      </c>
      <c r="DD25" s="1578">
        <f t="shared" si="56"/>
        <v>0</v>
      </c>
      <c r="DE25" s="1578">
        <f t="shared" si="56"/>
        <v>0</v>
      </c>
      <c r="DF25" s="1578">
        <f t="shared" si="57"/>
        <v>0</v>
      </c>
      <c r="DG25" s="1420"/>
      <c r="DH25" s="1420"/>
      <c r="DM25" s="1427"/>
      <c r="DR25" s="1544" t="s">
        <v>1581</v>
      </c>
      <c r="DS25" s="1567">
        <v>1</v>
      </c>
      <c r="DT25" s="1567">
        <v>0.05</v>
      </c>
      <c r="DU25" s="1567">
        <v>0.75</v>
      </c>
      <c r="DV25" s="1567">
        <v>0</v>
      </c>
      <c r="DW25" s="1567">
        <v>0.5</v>
      </c>
      <c r="DX25" s="1567">
        <v>0.5</v>
      </c>
      <c r="DY25" s="1567">
        <v>0</v>
      </c>
      <c r="DZ25" s="1567">
        <v>0.25</v>
      </c>
      <c r="EA25" s="1567">
        <v>1</v>
      </c>
      <c r="EB25" s="1567">
        <v>0</v>
      </c>
      <c r="EC25" s="1567">
        <v>1</v>
      </c>
      <c r="ED25" s="1535">
        <v>0</v>
      </c>
      <c r="EE25" s="1567">
        <v>0.75</v>
      </c>
      <c r="EF25" s="1567">
        <v>0</v>
      </c>
      <c r="EG25" s="1567">
        <v>1</v>
      </c>
      <c r="EH25" s="1567">
        <v>0</v>
      </c>
      <c r="EI25" s="1567">
        <v>1</v>
      </c>
      <c r="EJ25" s="1567">
        <v>1</v>
      </c>
      <c r="EK25" s="1567">
        <v>1</v>
      </c>
      <c r="EL25" s="1567">
        <v>0</v>
      </c>
      <c r="EM25" s="1567">
        <v>1</v>
      </c>
      <c r="EN25" s="1535">
        <v>0</v>
      </c>
      <c r="EO25" s="1567">
        <v>1</v>
      </c>
      <c r="EP25" s="1567">
        <v>0</v>
      </c>
      <c r="EQ25" s="1567">
        <v>0</v>
      </c>
      <c r="ER25" s="1535">
        <v>1</v>
      </c>
      <c r="ES25" s="1568"/>
      <c r="ET25" s="1568"/>
      <c r="EU25" s="1427"/>
    </row>
    <row r="26" spans="1:151" ht="21" customHeight="1">
      <c r="A26" s="1528"/>
      <c r="B26" s="1505"/>
      <c r="C26" s="1506"/>
      <c r="D26" s="2557" t="s">
        <v>1499</v>
      </c>
      <c r="E26" s="2558"/>
      <c r="F26" s="1507"/>
      <c r="G26" s="1508"/>
      <c r="H26" s="1458"/>
      <c r="M26" s="1475"/>
      <c r="Q26" s="1529">
        <f t="shared" si="8"/>
        <v>0</v>
      </c>
      <c r="R26" s="1530">
        <f t="shared" si="9"/>
        <v>0</v>
      </c>
      <c r="S26" s="1530">
        <f t="shared" si="10"/>
        <v>0</v>
      </c>
      <c r="T26" s="1531">
        <f t="shared" si="2"/>
        <v>0</v>
      </c>
      <c r="U26" s="1531">
        <f t="shared" si="3"/>
        <v>0</v>
      </c>
      <c r="V26" s="1531">
        <f t="shared" si="11"/>
        <v>0</v>
      </c>
      <c r="W26" s="1532">
        <f t="shared" si="4"/>
        <v>0</v>
      </c>
      <c r="X26" s="1532">
        <f t="shared" si="5"/>
        <v>0</v>
      </c>
      <c r="Y26" s="1533">
        <f t="shared" si="6"/>
        <v>0</v>
      </c>
      <c r="Z26" s="1531">
        <f t="shared" si="7"/>
        <v>0</v>
      </c>
      <c r="BD26" s="1449"/>
      <c r="BE26" s="1571" t="s">
        <v>1208</v>
      </c>
      <c r="BF26" s="1436">
        <v>21</v>
      </c>
      <c r="BG26" s="1436">
        <v>7</v>
      </c>
      <c r="BH26" s="1436">
        <v>4</v>
      </c>
      <c r="BI26" s="1495" t="b">
        <f t="shared" si="53"/>
        <v>1</v>
      </c>
      <c r="BJ26" s="1450" t="b">
        <f t="shared" si="58"/>
        <v>0</v>
      </c>
      <c r="BK26" s="1572">
        <f t="shared" si="13"/>
        <v>0</v>
      </c>
      <c r="BL26" s="1581">
        <f>IF(SUM(BL$20:BL25,BK26)&gt;$BJ$4,0,BK26)</f>
        <v>0</v>
      </c>
      <c r="BM26" s="1436">
        <f t="shared" si="14"/>
        <v>0</v>
      </c>
      <c r="BN26" s="1495">
        <f t="shared" si="15"/>
        <v>0</v>
      </c>
      <c r="BO26" s="1437">
        <f t="shared" si="59"/>
        <v>0</v>
      </c>
      <c r="BP26" s="1574">
        <f t="shared" si="16"/>
        <v>0</v>
      </c>
      <c r="BQ26" s="1577">
        <f t="shared" si="17"/>
        <v>0</v>
      </c>
      <c r="BR26" s="1576">
        <f t="shared" si="18"/>
        <v>0</v>
      </c>
      <c r="BS26" s="1574">
        <f t="shared" si="19"/>
        <v>0</v>
      </c>
      <c r="BT26" s="1577">
        <f t="shared" si="20"/>
        <v>0</v>
      </c>
      <c r="BU26" s="1576">
        <f t="shared" si="21"/>
        <v>0</v>
      </c>
      <c r="BV26" s="1574">
        <f t="shared" si="22"/>
        <v>0</v>
      </c>
      <c r="BW26" s="1577">
        <f t="shared" si="23"/>
        <v>0</v>
      </c>
      <c r="BX26" s="1576">
        <f t="shared" si="24"/>
        <v>0</v>
      </c>
      <c r="BY26" s="1574">
        <f t="shared" si="25"/>
        <v>0</v>
      </c>
      <c r="BZ26" s="1577">
        <f t="shared" si="26"/>
        <v>0</v>
      </c>
      <c r="CA26" s="1576">
        <f t="shared" si="27"/>
        <v>0</v>
      </c>
      <c r="CB26" s="1495">
        <f t="shared" si="28"/>
        <v>0</v>
      </c>
      <c r="CC26" s="1577">
        <f t="shared" si="29"/>
        <v>0</v>
      </c>
      <c r="CD26" s="1576">
        <f t="shared" si="30"/>
        <v>0</v>
      </c>
      <c r="CE26" s="1495">
        <f t="shared" si="31"/>
        <v>0</v>
      </c>
      <c r="CF26" s="1577">
        <f t="shared" si="32"/>
        <v>0</v>
      </c>
      <c r="CG26" s="1576">
        <f t="shared" si="33"/>
        <v>0</v>
      </c>
      <c r="CH26" s="1495">
        <f t="shared" si="34"/>
        <v>0</v>
      </c>
      <c r="CI26" s="1577">
        <f t="shared" si="35"/>
        <v>0</v>
      </c>
      <c r="CJ26" s="1576">
        <f t="shared" si="36"/>
        <v>0</v>
      </c>
      <c r="CK26" s="1495">
        <f t="shared" si="37"/>
        <v>0</v>
      </c>
      <c r="CL26" s="1577">
        <f t="shared" si="38"/>
        <v>0</v>
      </c>
      <c r="CM26" s="1576">
        <f t="shared" si="39"/>
        <v>0</v>
      </c>
      <c r="CN26" s="1495">
        <f t="shared" si="40"/>
        <v>0</v>
      </c>
      <c r="CO26" s="1577">
        <f t="shared" si="41"/>
        <v>0</v>
      </c>
      <c r="CP26" s="1576">
        <f t="shared" si="42"/>
        <v>0</v>
      </c>
      <c r="CQ26" s="1495">
        <f t="shared" si="43"/>
        <v>0</v>
      </c>
      <c r="CR26" s="1577">
        <f t="shared" si="44"/>
        <v>0</v>
      </c>
      <c r="CS26" s="1576">
        <f t="shared" si="45"/>
        <v>0</v>
      </c>
      <c r="CT26" s="1495">
        <f t="shared" si="46"/>
        <v>0</v>
      </c>
      <c r="CU26" s="1577">
        <f t="shared" si="47"/>
        <v>0</v>
      </c>
      <c r="CV26" s="1576">
        <f t="shared" si="48"/>
        <v>0</v>
      </c>
      <c r="CW26" s="1495">
        <f t="shared" si="49"/>
        <v>0</v>
      </c>
      <c r="CX26" s="1577">
        <f t="shared" si="50"/>
        <v>0</v>
      </c>
      <c r="CY26" s="1576">
        <f t="shared" si="51"/>
        <v>0</v>
      </c>
      <c r="CZ26" s="1574">
        <f t="shared" si="52"/>
        <v>0</v>
      </c>
      <c r="DA26" s="1578">
        <f t="shared" si="54"/>
        <v>0</v>
      </c>
      <c r="DB26" s="1579">
        <f t="shared" si="55"/>
        <v>0</v>
      </c>
      <c r="DC26" s="1578">
        <f t="shared" si="56"/>
        <v>0</v>
      </c>
      <c r="DD26" s="1578">
        <f t="shared" si="56"/>
        <v>0</v>
      </c>
      <c r="DE26" s="1578">
        <f t="shared" si="56"/>
        <v>0</v>
      </c>
      <c r="DF26" s="1578">
        <f t="shared" si="57"/>
        <v>0</v>
      </c>
      <c r="DG26" s="1420"/>
      <c r="DH26" s="1420"/>
      <c r="DM26" s="1427"/>
      <c r="DR26" s="1544" t="s">
        <v>1582</v>
      </c>
      <c r="DS26" s="1567">
        <v>1</v>
      </c>
      <c r="DT26" s="1567">
        <v>0.05</v>
      </c>
      <c r="DU26" s="1583">
        <v>1</v>
      </c>
      <c r="DV26" s="1583">
        <v>0</v>
      </c>
      <c r="DW26" s="1583">
        <v>0.5</v>
      </c>
      <c r="DX26" s="1583">
        <v>0.5</v>
      </c>
      <c r="DY26" s="1583">
        <v>0</v>
      </c>
      <c r="DZ26" s="1567">
        <v>0.25</v>
      </c>
      <c r="EA26" s="1583">
        <v>1</v>
      </c>
      <c r="EB26" s="1583">
        <v>0</v>
      </c>
      <c r="EC26" s="1583">
        <v>1</v>
      </c>
      <c r="ED26" s="1535">
        <v>0</v>
      </c>
      <c r="EE26" s="1583">
        <v>1</v>
      </c>
      <c r="EF26" s="1567">
        <v>0</v>
      </c>
      <c r="EG26" s="1583">
        <v>1</v>
      </c>
      <c r="EH26" s="1583">
        <v>0</v>
      </c>
      <c r="EI26" s="1583">
        <v>1</v>
      </c>
      <c r="EJ26" s="1583">
        <v>1</v>
      </c>
      <c r="EK26" s="1583">
        <v>1</v>
      </c>
      <c r="EL26" s="1583">
        <v>0</v>
      </c>
      <c r="EM26" s="1567">
        <v>1</v>
      </c>
      <c r="EN26" s="1535">
        <v>0</v>
      </c>
      <c r="EO26" s="1583">
        <v>1</v>
      </c>
      <c r="EP26" s="1583">
        <v>0</v>
      </c>
      <c r="EQ26" s="1567">
        <v>0</v>
      </c>
      <c r="ER26" s="1535">
        <v>1</v>
      </c>
      <c r="ES26" s="1568"/>
      <c r="ET26" s="1568"/>
      <c r="EU26" s="1427"/>
    </row>
    <row r="27" spans="1:151" ht="21" customHeight="1">
      <c r="A27" s="1528"/>
      <c r="B27" s="1505"/>
      <c r="C27" s="1506"/>
      <c r="D27" s="2557" t="s">
        <v>1499</v>
      </c>
      <c r="E27" s="2558"/>
      <c r="F27" s="1507"/>
      <c r="G27" s="1508"/>
      <c r="H27" s="1458"/>
      <c r="M27" s="1475"/>
      <c r="Q27" s="1529">
        <f t="shared" si="8"/>
        <v>0</v>
      </c>
      <c r="R27" s="1530">
        <f t="shared" si="9"/>
        <v>0</v>
      </c>
      <c r="S27" s="1530">
        <f t="shared" si="10"/>
        <v>0</v>
      </c>
      <c r="T27" s="1531">
        <f t="shared" si="2"/>
        <v>0</v>
      </c>
      <c r="U27" s="1531">
        <f t="shared" si="3"/>
        <v>0</v>
      </c>
      <c r="V27" s="1531">
        <f t="shared" si="11"/>
        <v>0</v>
      </c>
      <c r="W27" s="1532">
        <f t="shared" si="4"/>
        <v>0</v>
      </c>
      <c r="X27" s="1532">
        <f t="shared" si="5"/>
        <v>0</v>
      </c>
      <c r="Y27" s="1533">
        <f t="shared" si="6"/>
        <v>0</v>
      </c>
      <c r="Z27" s="1531">
        <f t="shared" si="7"/>
        <v>0</v>
      </c>
      <c r="BD27" s="1449"/>
      <c r="BE27" s="1571" t="s">
        <v>1208</v>
      </c>
      <c r="BF27" s="1436">
        <v>21</v>
      </c>
      <c r="BG27" s="1436">
        <v>8</v>
      </c>
      <c r="BH27" s="1436">
        <v>5</v>
      </c>
      <c r="BI27" s="1495" t="b">
        <f t="shared" si="53"/>
        <v>1</v>
      </c>
      <c r="BJ27" s="1450" t="b">
        <f t="shared" si="58"/>
        <v>0</v>
      </c>
      <c r="BK27" s="1572">
        <f t="shared" si="13"/>
        <v>0</v>
      </c>
      <c r="BL27" s="1581">
        <f>IF(SUM(BL$20:BL26,BK27)&gt;$BJ$4,0,BK27)</f>
        <v>0</v>
      </c>
      <c r="BM27" s="1436">
        <f t="shared" si="14"/>
        <v>0</v>
      </c>
      <c r="BN27" s="1495">
        <f t="shared" si="15"/>
        <v>0</v>
      </c>
      <c r="BO27" s="1437">
        <f t="shared" si="59"/>
        <v>0</v>
      </c>
      <c r="BP27" s="1574">
        <f t="shared" si="16"/>
        <v>0</v>
      </c>
      <c r="BQ27" s="1577">
        <f t="shared" si="17"/>
        <v>0</v>
      </c>
      <c r="BR27" s="1576">
        <f t="shared" si="18"/>
        <v>0</v>
      </c>
      <c r="BS27" s="1574">
        <f t="shared" si="19"/>
        <v>0</v>
      </c>
      <c r="BT27" s="1577">
        <f t="shared" si="20"/>
        <v>0</v>
      </c>
      <c r="BU27" s="1576">
        <f t="shared" si="21"/>
        <v>0</v>
      </c>
      <c r="BV27" s="1574">
        <f t="shared" si="22"/>
        <v>0</v>
      </c>
      <c r="BW27" s="1577">
        <f t="shared" si="23"/>
        <v>0</v>
      </c>
      <c r="BX27" s="1576">
        <f t="shared" si="24"/>
        <v>0</v>
      </c>
      <c r="BY27" s="1574">
        <f t="shared" si="25"/>
        <v>0</v>
      </c>
      <c r="BZ27" s="1577">
        <f t="shared" si="26"/>
        <v>0</v>
      </c>
      <c r="CA27" s="1576">
        <f t="shared" si="27"/>
        <v>0</v>
      </c>
      <c r="CB27" s="1495">
        <f t="shared" si="28"/>
        <v>0</v>
      </c>
      <c r="CC27" s="1577">
        <f t="shared" si="29"/>
        <v>0</v>
      </c>
      <c r="CD27" s="1576">
        <f t="shared" si="30"/>
        <v>0</v>
      </c>
      <c r="CE27" s="1495">
        <f t="shared" si="31"/>
        <v>0</v>
      </c>
      <c r="CF27" s="1577">
        <f t="shared" si="32"/>
        <v>0</v>
      </c>
      <c r="CG27" s="1576">
        <f t="shared" si="33"/>
        <v>0</v>
      </c>
      <c r="CH27" s="1495">
        <f t="shared" si="34"/>
        <v>0</v>
      </c>
      <c r="CI27" s="1577">
        <f t="shared" si="35"/>
        <v>0</v>
      </c>
      <c r="CJ27" s="1576">
        <f t="shared" si="36"/>
        <v>0</v>
      </c>
      <c r="CK27" s="1495">
        <f t="shared" si="37"/>
        <v>0</v>
      </c>
      <c r="CL27" s="1577">
        <f t="shared" si="38"/>
        <v>0</v>
      </c>
      <c r="CM27" s="1576">
        <f t="shared" si="39"/>
        <v>0</v>
      </c>
      <c r="CN27" s="1495">
        <f t="shared" si="40"/>
        <v>0</v>
      </c>
      <c r="CO27" s="1577">
        <f t="shared" si="41"/>
        <v>0</v>
      </c>
      <c r="CP27" s="1576">
        <f t="shared" si="42"/>
        <v>0</v>
      </c>
      <c r="CQ27" s="1495">
        <f t="shared" si="43"/>
        <v>0</v>
      </c>
      <c r="CR27" s="1577">
        <f t="shared" si="44"/>
        <v>0</v>
      </c>
      <c r="CS27" s="1576">
        <f t="shared" si="45"/>
        <v>0</v>
      </c>
      <c r="CT27" s="1495">
        <f t="shared" si="46"/>
        <v>0</v>
      </c>
      <c r="CU27" s="1577">
        <f t="shared" si="47"/>
        <v>0</v>
      </c>
      <c r="CV27" s="1576">
        <f t="shared" si="48"/>
        <v>0</v>
      </c>
      <c r="CW27" s="1495">
        <f t="shared" si="49"/>
        <v>0</v>
      </c>
      <c r="CX27" s="1577">
        <f t="shared" si="50"/>
        <v>0</v>
      </c>
      <c r="CY27" s="1576">
        <f t="shared" si="51"/>
        <v>0</v>
      </c>
      <c r="CZ27" s="1574">
        <f t="shared" si="52"/>
        <v>0</v>
      </c>
      <c r="DA27" s="1578">
        <f t="shared" si="54"/>
        <v>0</v>
      </c>
      <c r="DB27" s="1579">
        <f t="shared" si="55"/>
        <v>0</v>
      </c>
      <c r="DC27" s="1578">
        <f t="shared" si="56"/>
        <v>0</v>
      </c>
      <c r="DD27" s="1578">
        <f t="shared" si="56"/>
        <v>0</v>
      </c>
      <c r="DE27" s="1578">
        <f t="shared" si="56"/>
        <v>0</v>
      </c>
      <c r="DF27" s="1578">
        <f t="shared" si="57"/>
        <v>0</v>
      </c>
      <c r="DG27" s="1420"/>
      <c r="DH27" s="1420"/>
      <c r="DM27" s="1427"/>
      <c r="DR27" s="1544" t="s">
        <v>1583</v>
      </c>
      <c r="DS27" s="1567">
        <v>1</v>
      </c>
      <c r="DT27" s="1567">
        <v>0.05</v>
      </c>
      <c r="DU27" s="1583">
        <v>1</v>
      </c>
      <c r="DV27" s="1583">
        <v>0</v>
      </c>
      <c r="DW27" s="1583">
        <v>1</v>
      </c>
      <c r="DX27" s="1583">
        <v>1</v>
      </c>
      <c r="DY27" s="1583">
        <v>0.25</v>
      </c>
      <c r="DZ27" s="1567">
        <v>0.25</v>
      </c>
      <c r="EA27" s="1583">
        <v>0.75</v>
      </c>
      <c r="EB27" s="1583">
        <v>0</v>
      </c>
      <c r="EC27" s="1583">
        <v>1</v>
      </c>
      <c r="ED27" s="1535">
        <v>0</v>
      </c>
      <c r="EE27" s="1583">
        <v>1</v>
      </c>
      <c r="EF27" s="1567">
        <v>0</v>
      </c>
      <c r="EG27" s="1583">
        <v>0.5</v>
      </c>
      <c r="EH27" s="1583">
        <v>0</v>
      </c>
      <c r="EI27" s="1583">
        <v>1</v>
      </c>
      <c r="EJ27" s="1583">
        <v>1</v>
      </c>
      <c r="EK27" s="1583">
        <v>0.75</v>
      </c>
      <c r="EL27" s="1583">
        <v>0</v>
      </c>
      <c r="EM27" s="1567">
        <v>1</v>
      </c>
      <c r="EN27" s="1535">
        <v>0</v>
      </c>
      <c r="EO27" s="1583">
        <v>0.75</v>
      </c>
      <c r="EP27" s="1583">
        <v>0</v>
      </c>
      <c r="EQ27" s="1567">
        <v>0.25</v>
      </c>
      <c r="ER27" s="1535">
        <v>1</v>
      </c>
      <c r="ES27" s="1568"/>
      <c r="ET27" s="1568"/>
      <c r="EU27" s="1427"/>
    </row>
    <row r="28" spans="1:151" ht="21" customHeight="1">
      <c r="A28" s="1528"/>
      <c r="B28" s="1475"/>
      <c r="C28" s="1584">
        <f>SUM(C13:C27)</f>
        <v>0</v>
      </c>
      <c r="D28" s="1585"/>
      <c r="E28" s="1475"/>
      <c r="G28" s="1475"/>
      <c r="H28" s="1458"/>
      <c r="M28" s="1475"/>
      <c r="Q28" s="1529">
        <f t="shared" si="8"/>
        <v>0</v>
      </c>
      <c r="R28" s="1530">
        <f t="shared" si="9"/>
        <v>0</v>
      </c>
      <c r="S28" s="1530">
        <f t="shared" si="10"/>
        <v>0</v>
      </c>
      <c r="T28" s="1531">
        <f t="shared" si="2"/>
        <v>0</v>
      </c>
      <c r="U28" s="1531">
        <f t="shared" si="3"/>
        <v>0</v>
      </c>
      <c r="V28" s="1531">
        <f t="shared" si="11"/>
        <v>0</v>
      </c>
      <c r="W28" s="1532">
        <f t="shared" si="4"/>
        <v>0</v>
      </c>
      <c r="X28" s="1532">
        <f t="shared" si="5"/>
        <v>0</v>
      </c>
      <c r="Y28" s="1533">
        <f t="shared" si="6"/>
        <v>0</v>
      </c>
      <c r="Z28" s="1531">
        <f t="shared" si="7"/>
        <v>0</v>
      </c>
      <c r="BD28" s="1449"/>
      <c r="BE28" s="1571" t="s">
        <v>1208</v>
      </c>
      <c r="BF28" s="1436">
        <v>21</v>
      </c>
      <c r="BG28" s="1436">
        <v>9</v>
      </c>
      <c r="BH28" s="1436">
        <v>6</v>
      </c>
      <c r="BI28" s="1495" t="b">
        <f t="shared" si="53"/>
        <v>0</v>
      </c>
      <c r="BJ28" s="1450" t="b">
        <f t="shared" si="58"/>
        <v>1</v>
      </c>
      <c r="BK28" s="1572">
        <f t="shared" si="13"/>
        <v>7.4545454545454541</v>
      </c>
      <c r="BL28" s="1581">
        <f>IF(SUM(BL$20:BL27,BK28)&gt;$BJ$4,0,BK28)</f>
        <v>7.4545454545454541</v>
      </c>
      <c r="BM28" s="1436">
        <f t="shared" si="14"/>
        <v>0</v>
      </c>
      <c r="BN28" s="1495">
        <f t="shared" si="15"/>
        <v>0</v>
      </c>
      <c r="BO28" s="1437">
        <f t="shared" si="59"/>
        <v>0</v>
      </c>
      <c r="BP28" s="1574">
        <f t="shared" si="16"/>
        <v>0</v>
      </c>
      <c r="BQ28" s="1577">
        <f t="shared" si="17"/>
        <v>0</v>
      </c>
      <c r="BR28" s="1576">
        <f t="shared" si="18"/>
        <v>0</v>
      </c>
      <c r="BS28" s="1574">
        <f t="shared" si="19"/>
        <v>0</v>
      </c>
      <c r="BT28" s="1577">
        <f t="shared" si="20"/>
        <v>0</v>
      </c>
      <c r="BU28" s="1576">
        <f t="shared" si="21"/>
        <v>0</v>
      </c>
      <c r="BV28" s="1574">
        <f t="shared" si="22"/>
        <v>0</v>
      </c>
      <c r="BW28" s="1577">
        <f t="shared" si="23"/>
        <v>0</v>
      </c>
      <c r="BX28" s="1576">
        <f t="shared" si="24"/>
        <v>0</v>
      </c>
      <c r="BY28" s="1574">
        <f t="shared" si="25"/>
        <v>0</v>
      </c>
      <c r="BZ28" s="1577">
        <f t="shared" si="26"/>
        <v>0</v>
      </c>
      <c r="CA28" s="1576">
        <f t="shared" si="27"/>
        <v>0</v>
      </c>
      <c r="CB28" s="1495">
        <f t="shared" si="28"/>
        <v>0</v>
      </c>
      <c r="CC28" s="1577">
        <f t="shared" si="29"/>
        <v>0</v>
      </c>
      <c r="CD28" s="1576">
        <f t="shared" si="30"/>
        <v>0</v>
      </c>
      <c r="CE28" s="1495">
        <f t="shared" si="31"/>
        <v>0</v>
      </c>
      <c r="CF28" s="1577">
        <f t="shared" si="32"/>
        <v>0</v>
      </c>
      <c r="CG28" s="1576">
        <f t="shared" si="33"/>
        <v>0</v>
      </c>
      <c r="CH28" s="1495">
        <f t="shared" si="34"/>
        <v>0</v>
      </c>
      <c r="CI28" s="1577">
        <f t="shared" si="35"/>
        <v>0</v>
      </c>
      <c r="CJ28" s="1576">
        <f t="shared" si="36"/>
        <v>0</v>
      </c>
      <c r="CK28" s="1495">
        <f t="shared" si="37"/>
        <v>0</v>
      </c>
      <c r="CL28" s="1577">
        <f t="shared" si="38"/>
        <v>0</v>
      </c>
      <c r="CM28" s="1576">
        <f t="shared" si="39"/>
        <v>0</v>
      </c>
      <c r="CN28" s="1495">
        <f t="shared" si="40"/>
        <v>0</v>
      </c>
      <c r="CO28" s="1577">
        <f t="shared" si="41"/>
        <v>0</v>
      </c>
      <c r="CP28" s="1576">
        <f t="shared" si="42"/>
        <v>0</v>
      </c>
      <c r="CQ28" s="1495">
        <f t="shared" si="43"/>
        <v>0</v>
      </c>
      <c r="CR28" s="1577">
        <f t="shared" si="44"/>
        <v>0</v>
      </c>
      <c r="CS28" s="1576">
        <f t="shared" si="45"/>
        <v>0</v>
      </c>
      <c r="CT28" s="1495">
        <f t="shared" si="46"/>
        <v>0</v>
      </c>
      <c r="CU28" s="1577">
        <f t="shared" si="47"/>
        <v>0</v>
      </c>
      <c r="CV28" s="1576">
        <f t="shared" si="48"/>
        <v>0</v>
      </c>
      <c r="CW28" s="1495">
        <f t="shared" si="49"/>
        <v>0</v>
      </c>
      <c r="CX28" s="1577">
        <f t="shared" si="50"/>
        <v>0</v>
      </c>
      <c r="CY28" s="1576">
        <f t="shared" si="51"/>
        <v>0</v>
      </c>
      <c r="CZ28" s="1574">
        <f t="shared" si="52"/>
        <v>0</v>
      </c>
      <c r="DA28" s="1578">
        <f t="shared" si="54"/>
        <v>0</v>
      </c>
      <c r="DB28" s="1579">
        <f t="shared" si="55"/>
        <v>0</v>
      </c>
      <c r="DC28" s="1578">
        <f t="shared" si="56"/>
        <v>0</v>
      </c>
      <c r="DD28" s="1578">
        <f t="shared" si="56"/>
        <v>0</v>
      </c>
      <c r="DE28" s="1578">
        <f t="shared" si="56"/>
        <v>0</v>
      </c>
      <c r="DF28" s="1578">
        <f>IF(DA28-(DE27+CZ28)&lt;0,0,DA28-(DE27+CZ28))</f>
        <v>0</v>
      </c>
      <c r="DG28" s="1420"/>
      <c r="DH28" s="1420"/>
      <c r="DM28" s="1427"/>
      <c r="DR28" s="1544" t="s">
        <v>1584</v>
      </c>
      <c r="DS28" s="1567">
        <v>1</v>
      </c>
      <c r="DT28" s="1567">
        <v>0.05</v>
      </c>
      <c r="DU28" s="1583">
        <v>0.5</v>
      </c>
      <c r="DV28" s="1583">
        <v>0</v>
      </c>
      <c r="DW28" s="1583">
        <v>1</v>
      </c>
      <c r="DX28" s="1583">
        <v>1</v>
      </c>
      <c r="DY28" s="1583">
        <v>1</v>
      </c>
      <c r="DZ28" s="1567">
        <v>0.25</v>
      </c>
      <c r="EA28" s="1583">
        <v>0.75</v>
      </c>
      <c r="EB28" s="1583">
        <v>0</v>
      </c>
      <c r="EC28" s="1583">
        <v>0.75</v>
      </c>
      <c r="ED28" s="1535">
        <v>0</v>
      </c>
      <c r="EE28" s="1583">
        <v>0.5</v>
      </c>
      <c r="EF28" s="1567">
        <v>0</v>
      </c>
      <c r="EG28" s="1583">
        <v>0.5</v>
      </c>
      <c r="EH28" s="1583">
        <v>0</v>
      </c>
      <c r="EI28" s="1583">
        <v>0.75</v>
      </c>
      <c r="EJ28" s="1583">
        <v>0.75</v>
      </c>
      <c r="EK28" s="1583">
        <v>0.75</v>
      </c>
      <c r="EL28" s="1583">
        <v>0</v>
      </c>
      <c r="EM28" s="1567">
        <v>1</v>
      </c>
      <c r="EN28" s="1535">
        <v>0</v>
      </c>
      <c r="EO28" s="1583">
        <v>0.75</v>
      </c>
      <c r="EP28" s="1583">
        <v>0</v>
      </c>
      <c r="EQ28" s="1567">
        <v>1</v>
      </c>
      <c r="ER28" s="1535">
        <v>1</v>
      </c>
      <c r="ES28" s="1568"/>
      <c r="ET28" s="1568"/>
      <c r="EU28" s="1427"/>
    </row>
    <row r="29" spans="1:151" ht="21" customHeight="1">
      <c r="A29" s="1528"/>
      <c r="F29" s="1586"/>
      <c r="G29" s="1586"/>
      <c r="H29" s="1586"/>
      <c r="I29" s="1475"/>
      <c r="J29" s="1475"/>
      <c r="K29" s="1475"/>
      <c r="L29" s="1475"/>
      <c r="M29" s="1475"/>
      <c r="Q29" s="1529">
        <f t="shared" si="8"/>
        <v>0</v>
      </c>
      <c r="R29" s="1530">
        <f t="shared" si="9"/>
        <v>0</v>
      </c>
      <c r="S29" s="1530">
        <f t="shared" si="10"/>
        <v>0</v>
      </c>
      <c r="T29" s="1531">
        <f t="shared" si="2"/>
        <v>0</v>
      </c>
      <c r="U29" s="1531">
        <f t="shared" si="3"/>
        <v>0</v>
      </c>
      <c r="V29" s="1531">
        <f t="shared" si="11"/>
        <v>0</v>
      </c>
      <c r="W29" s="1532">
        <f t="shared" si="4"/>
        <v>0</v>
      </c>
      <c r="X29" s="1532">
        <f t="shared" si="5"/>
        <v>0</v>
      </c>
      <c r="Y29" s="1533">
        <f t="shared" si="6"/>
        <v>0</v>
      </c>
      <c r="Z29" s="1531">
        <f t="shared" si="7"/>
        <v>0</v>
      </c>
      <c r="BD29" s="1449"/>
      <c r="BE29" s="1571" t="s">
        <v>1208</v>
      </c>
      <c r="BF29" s="1436">
        <v>21</v>
      </c>
      <c r="BG29" s="1436">
        <v>10</v>
      </c>
      <c r="BH29" s="1436">
        <v>7</v>
      </c>
      <c r="BI29" s="1495" t="b">
        <f t="shared" si="53"/>
        <v>0</v>
      </c>
      <c r="BJ29" s="1450" t="b">
        <f t="shared" si="58"/>
        <v>0</v>
      </c>
      <c r="BK29" s="1572">
        <f t="shared" si="13"/>
        <v>0</v>
      </c>
      <c r="BL29" s="1581">
        <f>IF(SUM(BL$20:BL28,BK29)&gt;$BJ$4,0,BK29)</f>
        <v>0</v>
      </c>
      <c r="BM29" s="1436">
        <f t="shared" si="14"/>
        <v>0</v>
      </c>
      <c r="BN29" s="1495">
        <f t="shared" si="15"/>
        <v>0</v>
      </c>
      <c r="BO29" s="1437">
        <f>BM29-BN29</f>
        <v>0</v>
      </c>
      <c r="BP29" s="1574">
        <f t="shared" si="16"/>
        <v>0</v>
      </c>
      <c r="BQ29" s="1577">
        <f t="shared" si="17"/>
        <v>0</v>
      </c>
      <c r="BR29" s="1576">
        <f t="shared" si="18"/>
        <v>0</v>
      </c>
      <c r="BS29" s="1574">
        <f t="shared" si="19"/>
        <v>0</v>
      </c>
      <c r="BT29" s="1577">
        <f t="shared" si="20"/>
        <v>0</v>
      </c>
      <c r="BU29" s="1576">
        <f t="shared" si="21"/>
        <v>0</v>
      </c>
      <c r="BV29" s="1574">
        <f t="shared" si="22"/>
        <v>0</v>
      </c>
      <c r="BW29" s="1577">
        <f t="shared" si="23"/>
        <v>0</v>
      </c>
      <c r="BX29" s="1576">
        <f t="shared" si="24"/>
        <v>0</v>
      </c>
      <c r="BY29" s="1574">
        <f t="shared" si="25"/>
        <v>0</v>
      </c>
      <c r="BZ29" s="1577">
        <f t="shared" si="26"/>
        <v>0</v>
      </c>
      <c r="CA29" s="1576">
        <f t="shared" si="27"/>
        <v>0</v>
      </c>
      <c r="CB29" s="1495">
        <f t="shared" si="28"/>
        <v>0</v>
      </c>
      <c r="CC29" s="1577">
        <f t="shared" si="29"/>
        <v>0</v>
      </c>
      <c r="CD29" s="1576">
        <f t="shared" si="30"/>
        <v>0</v>
      </c>
      <c r="CE29" s="1495">
        <f t="shared" si="31"/>
        <v>0</v>
      </c>
      <c r="CF29" s="1577">
        <f t="shared" si="32"/>
        <v>0</v>
      </c>
      <c r="CG29" s="1576">
        <f t="shared" si="33"/>
        <v>0</v>
      </c>
      <c r="CH29" s="1495">
        <f t="shared" si="34"/>
        <v>0</v>
      </c>
      <c r="CI29" s="1577">
        <f t="shared" si="35"/>
        <v>0</v>
      </c>
      <c r="CJ29" s="1576">
        <f t="shared" si="36"/>
        <v>0</v>
      </c>
      <c r="CK29" s="1495">
        <f t="shared" si="37"/>
        <v>0</v>
      </c>
      <c r="CL29" s="1577">
        <f t="shared" si="38"/>
        <v>0</v>
      </c>
      <c r="CM29" s="1576">
        <f t="shared" si="39"/>
        <v>0</v>
      </c>
      <c r="CN29" s="1495">
        <f t="shared" si="40"/>
        <v>0</v>
      </c>
      <c r="CO29" s="1577">
        <f t="shared" si="41"/>
        <v>0</v>
      </c>
      <c r="CP29" s="1576">
        <f t="shared" si="42"/>
        <v>0</v>
      </c>
      <c r="CQ29" s="1495">
        <f t="shared" si="43"/>
        <v>0</v>
      </c>
      <c r="CR29" s="1577">
        <f t="shared" si="44"/>
        <v>0</v>
      </c>
      <c r="CS29" s="1576">
        <f t="shared" si="45"/>
        <v>0</v>
      </c>
      <c r="CT29" s="1495">
        <f t="shared" si="46"/>
        <v>0</v>
      </c>
      <c r="CU29" s="1577">
        <f t="shared" si="47"/>
        <v>0</v>
      </c>
      <c r="CV29" s="1576">
        <f t="shared" si="48"/>
        <v>0</v>
      </c>
      <c r="CW29" s="1495">
        <f t="shared" si="49"/>
        <v>0</v>
      </c>
      <c r="CX29" s="1577">
        <f t="shared" si="50"/>
        <v>0</v>
      </c>
      <c r="CY29" s="1576">
        <f t="shared" si="51"/>
        <v>0</v>
      </c>
      <c r="CZ29" s="1574">
        <f t="shared" si="52"/>
        <v>0</v>
      </c>
      <c r="DA29" s="1578">
        <f t="shared" si="54"/>
        <v>0</v>
      </c>
      <c r="DB29" s="1579">
        <f t="shared" si="55"/>
        <v>0</v>
      </c>
      <c r="DC29" s="1578">
        <f t="shared" si="56"/>
        <v>0</v>
      </c>
      <c r="DD29" s="1578">
        <f t="shared" si="56"/>
        <v>0</v>
      </c>
      <c r="DE29" s="1578">
        <f t="shared" si="56"/>
        <v>0</v>
      </c>
      <c r="DF29" s="1578">
        <f t="shared" si="57"/>
        <v>0</v>
      </c>
      <c r="DG29" s="1420"/>
      <c r="DH29" s="1420"/>
      <c r="DM29" s="1427"/>
      <c r="DR29" s="1544" t="s">
        <v>1586</v>
      </c>
      <c r="DS29" s="1567">
        <v>1</v>
      </c>
      <c r="DT29" s="1567">
        <v>0.05</v>
      </c>
      <c r="DU29" s="1583">
        <v>0.5</v>
      </c>
      <c r="DV29" s="1583">
        <v>0</v>
      </c>
      <c r="DW29" s="1583">
        <v>0.5</v>
      </c>
      <c r="DX29" s="1583">
        <v>0.5</v>
      </c>
      <c r="DY29" s="1583">
        <v>1</v>
      </c>
      <c r="DZ29" s="1567">
        <v>0.25</v>
      </c>
      <c r="EA29" s="1583">
        <v>1</v>
      </c>
      <c r="EB29" s="1583">
        <v>0</v>
      </c>
      <c r="EC29" s="1583">
        <v>0.75</v>
      </c>
      <c r="ED29" s="1535">
        <v>0</v>
      </c>
      <c r="EE29" s="1583">
        <v>0.5</v>
      </c>
      <c r="EF29" s="1567">
        <v>0</v>
      </c>
      <c r="EG29" s="1583">
        <v>1</v>
      </c>
      <c r="EH29" s="1583">
        <v>0</v>
      </c>
      <c r="EI29" s="1583">
        <v>0.75</v>
      </c>
      <c r="EJ29" s="1583">
        <v>0.75</v>
      </c>
      <c r="EK29" s="1583">
        <v>1</v>
      </c>
      <c r="EL29" s="1583">
        <v>0</v>
      </c>
      <c r="EM29" s="1567">
        <v>1</v>
      </c>
      <c r="EN29" s="1535">
        <v>0</v>
      </c>
      <c r="EO29" s="1583">
        <v>1</v>
      </c>
      <c r="EP29" s="1583">
        <v>0</v>
      </c>
      <c r="EQ29" s="1567">
        <v>1</v>
      </c>
      <c r="ER29" s="1535">
        <v>1</v>
      </c>
      <c r="ES29" s="1568"/>
      <c r="ET29" s="1568"/>
      <c r="EU29" s="1427"/>
    </row>
    <row r="30" spans="1:151" ht="21" customHeight="1">
      <c r="A30" s="1587"/>
      <c r="B30" s="1588" t="s">
        <v>2321</v>
      </c>
      <c r="E30" s="1586"/>
      <c r="F30" s="1586"/>
      <c r="G30" s="1586"/>
      <c r="H30" s="1586"/>
      <c r="I30" s="1475"/>
      <c r="J30" s="1475"/>
      <c r="K30" s="1475"/>
      <c r="L30" s="1475"/>
      <c r="M30" s="1475"/>
      <c r="Q30" s="1589"/>
      <c r="R30" s="1589"/>
      <c r="S30" s="1589"/>
      <c r="T30" s="1589"/>
      <c r="U30" s="1590" t="s">
        <v>32</v>
      </c>
      <c r="V30" s="1591">
        <f>SUM(V15:V29)</f>
        <v>0</v>
      </c>
      <c r="W30" s="1589"/>
      <c r="X30" s="1589"/>
      <c r="Y30" s="1589"/>
      <c r="Z30" s="1591">
        <f>SUM(Z15:Z29)</f>
        <v>0</v>
      </c>
      <c r="BD30" s="1449"/>
      <c r="BE30" s="1571" t="s">
        <v>1208</v>
      </c>
      <c r="BF30" s="1436">
        <v>21</v>
      </c>
      <c r="BG30" s="1436">
        <v>11</v>
      </c>
      <c r="BH30" s="1436">
        <v>1</v>
      </c>
      <c r="BI30" s="1495" t="b">
        <f t="shared" si="53"/>
        <v>1</v>
      </c>
      <c r="BJ30" s="1450" t="b">
        <f t="shared" si="58"/>
        <v>0</v>
      </c>
      <c r="BK30" s="1572">
        <f t="shared" si="13"/>
        <v>0</v>
      </c>
      <c r="BL30" s="1581">
        <f>IF(SUM(BL$20:BL29,BK30)&gt;$BJ$4,0,BK30)</f>
        <v>0</v>
      </c>
      <c r="BM30" s="1436">
        <f t="shared" si="14"/>
        <v>0</v>
      </c>
      <c r="BN30" s="1495">
        <f t="shared" si="15"/>
        <v>0</v>
      </c>
      <c r="BO30" s="1437">
        <f t="shared" si="59"/>
        <v>0</v>
      </c>
      <c r="BP30" s="1574">
        <f t="shared" si="16"/>
        <v>0</v>
      </c>
      <c r="BQ30" s="1577">
        <f t="shared" si="17"/>
        <v>0</v>
      </c>
      <c r="BR30" s="1576">
        <f t="shared" si="18"/>
        <v>0</v>
      </c>
      <c r="BS30" s="1574">
        <f t="shared" si="19"/>
        <v>0</v>
      </c>
      <c r="BT30" s="1577">
        <f t="shared" si="20"/>
        <v>0</v>
      </c>
      <c r="BU30" s="1576">
        <f t="shared" si="21"/>
        <v>0</v>
      </c>
      <c r="BV30" s="1574">
        <f t="shared" si="22"/>
        <v>0</v>
      </c>
      <c r="BW30" s="1577">
        <f t="shared" si="23"/>
        <v>0</v>
      </c>
      <c r="BX30" s="1576">
        <f t="shared" si="24"/>
        <v>0</v>
      </c>
      <c r="BY30" s="1574">
        <f t="shared" si="25"/>
        <v>0</v>
      </c>
      <c r="BZ30" s="1577">
        <f t="shared" si="26"/>
        <v>0</v>
      </c>
      <c r="CA30" s="1576">
        <f t="shared" si="27"/>
        <v>0</v>
      </c>
      <c r="CB30" s="1495">
        <f t="shared" si="28"/>
        <v>0</v>
      </c>
      <c r="CC30" s="1577">
        <f t="shared" si="29"/>
        <v>0</v>
      </c>
      <c r="CD30" s="1576">
        <f t="shared" si="30"/>
        <v>0</v>
      </c>
      <c r="CE30" s="1495">
        <f t="shared" si="31"/>
        <v>0</v>
      </c>
      <c r="CF30" s="1577">
        <f t="shared" si="32"/>
        <v>0</v>
      </c>
      <c r="CG30" s="1576">
        <f t="shared" si="33"/>
        <v>0</v>
      </c>
      <c r="CH30" s="1495">
        <f t="shared" si="34"/>
        <v>0</v>
      </c>
      <c r="CI30" s="1577">
        <f t="shared" si="35"/>
        <v>0</v>
      </c>
      <c r="CJ30" s="1576">
        <f t="shared" si="36"/>
        <v>0</v>
      </c>
      <c r="CK30" s="1495">
        <f t="shared" si="37"/>
        <v>0</v>
      </c>
      <c r="CL30" s="1577">
        <f t="shared" si="38"/>
        <v>0</v>
      </c>
      <c r="CM30" s="1576">
        <f t="shared" si="39"/>
        <v>0</v>
      </c>
      <c r="CN30" s="1495">
        <f t="shared" si="40"/>
        <v>0</v>
      </c>
      <c r="CO30" s="1577">
        <f t="shared" si="41"/>
        <v>0</v>
      </c>
      <c r="CP30" s="1576">
        <f t="shared" si="42"/>
        <v>0</v>
      </c>
      <c r="CQ30" s="1495">
        <f t="shared" si="43"/>
        <v>0</v>
      </c>
      <c r="CR30" s="1577">
        <f t="shared" si="44"/>
        <v>0</v>
      </c>
      <c r="CS30" s="1576">
        <f t="shared" si="45"/>
        <v>0</v>
      </c>
      <c r="CT30" s="1495">
        <f t="shared" si="46"/>
        <v>0</v>
      </c>
      <c r="CU30" s="1577">
        <f t="shared" si="47"/>
        <v>0</v>
      </c>
      <c r="CV30" s="1576">
        <f t="shared" si="48"/>
        <v>0</v>
      </c>
      <c r="CW30" s="1495">
        <f t="shared" si="49"/>
        <v>0</v>
      </c>
      <c r="CX30" s="1577">
        <f t="shared" si="50"/>
        <v>0</v>
      </c>
      <c r="CY30" s="1576">
        <f t="shared" si="51"/>
        <v>0</v>
      </c>
      <c r="CZ30" s="1574">
        <f t="shared" si="52"/>
        <v>0</v>
      </c>
      <c r="DA30" s="1578">
        <f t="shared" si="54"/>
        <v>0</v>
      </c>
      <c r="DB30" s="1579">
        <f t="shared" si="55"/>
        <v>0</v>
      </c>
      <c r="DC30" s="1578">
        <f t="shared" si="56"/>
        <v>0</v>
      </c>
      <c r="DD30" s="1578">
        <f t="shared" si="56"/>
        <v>0</v>
      </c>
      <c r="DE30" s="1578">
        <f t="shared" si="56"/>
        <v>0</v>
      </c>
      <c r="DF30" s="1578">
        <f t="shared" si="57"/>
        <v>0</v>
      </c>
      <c r="DG30" s="1420"/>
      <c r="DH30" s="1420"/>
      <c r="DM30" s="1427"/>
      <c r="DR30" s="1544" t="s">
        <v>1587</v>
      </c>
      <c r="DS30" s="1567">
        <v>1</v>
      </c>
      <c r="DT30" s="1567">
        <v>0.05</v>
      </c>
      <c r="DU30" s="1583">
        <v>1</v>
      </c>
      <c r="DV30" s="1583">
        <v>0</v>
      </c>
      <c r="DW30" s="1583">
        <v>0.25</v>
      </c>
      <c r="DX30" s="1583">
        <v>0.25</v>
      </c>
      <c r="DY30" s="1583">
        <v>0.75</v>
      </c>
      <c r="DZ30" s="1567">
        <v>0.25</v>
      </c>
      <c r="EA30" s="1583">
        <v>1</v>
      </c>
      <c r="EB30" s="1583">
        <v>0</v>
      </c>
      <c r="EC30" s="1583">
        <v>1</v>
      </c>
      <c r="ED30" s="1535">
        <v>0</v>
      </c>
      <c r="EE30" s="1583">
        <v>1</v>
      </c>
      <c r="EF30" s="1567">
        <v>0</v>
      </c>
      <c r="EG30" s="1583">
        <v>1</v>
      </c>
      <c r="EH30" s="1583">
        <v>0</v>
      </c>
      <c r="EI30" s="1583">
        <v>1</v>
      </c>
      <c r="EJ30" s="1583">
        <v>1</v>
      </c>
      <c r="EK30" s="1583">
        <v>1</v>
      </c>
      <c r="EL30" s="1583">
        <v>0</v>
      </c>
      <c r="EM30" s="1567">
        <v>1</v>
      </c>
      <c r="EN30" s="1535">
        <v>0</v>
      </c>
      <c r="EO30" s="1583">
        <v>1</v>
      </c>
      <c r="EP30" s="1583">
        <v>0</v>
      </c>
      <c r="EQ30" s="1567">
        <v>0.5</v>
      </c>
      <c r="ER30" s="1535">
        <v>1</v>
      </c>
      <c r="ES30" s="1568"/>
      <c r="ET30" s="1568"/>
      <c r="EU30" s="1427"/>
    </row>
    <row r="31" spans="1:151" ht="21" customHeight="1">
      <c r="A31" s="1592"/>
      <c r="B31" s="2527" t="s">
        <v>1963</v>
      </c>
      <c r="C31" s="2551"/>
      <c r="D31" s="2519" t="s">
        <v>827</v>
      </c>
      <c r="E31" s="2520"/>
      <c r="F31" s="1586"/>
      <c r="G31" s="1586"/>
      <c r="H31" s="1586"/>
      <c r="I31" s="1475"/>
      <c r="J31" s="1475"/>
      <c r="K31" s="1475"/>
      <c r="L31" s="1475"/>
      <c r="M31" s="1475"/>
      <c r="BD31" s="1449"/>
      <c r="BE31" s="1571" t="s">
        <v>1208</v>
      </c>
      <c r="BF31" s="1436">
        <v>21</v>
      </c>
      <c r="BG31" s="1436">
        <v>12</v>
      </c>
      <c r="BH31" s="1436">
        <v>2</v>
      </c>
      <c r="BI31" s="1495" t="b">
        <f t="shared" si="53"/>
        <v>1</v>
      </c>
      <c r="BJ31" s="1450" t="b">
        <f t="shared" si="58"/>
        <v>1</v>
      </c>
      <c r="BK31" s="1572">
        <f t="shared" si="13"/>
        <v>7.4545454545454541</v>
      </c>
      <c r="BL31" s="1581">
        <f>IF(SUM(BL$20:BL30,BK31)&gt;$BJ$4,0,BK31)</f>
        <v>7.4545454545454541</v>
      </c>
      <c r="BM31" s="1436">
        <f t="shared" si="14"/>
        <v>0</v>
      </c>
      <c r="BN31" s="1495">
        <f t="shared" si="15"/>
        <v>0</v>
      </c>
      <c r="BO31" s="1437">
        <f t="shared" si="59"/>
        <v>0</v>
      </c>
      <c r="BP31" s="1574">
        <f t="shared" si="16"/>
        <v>0</v>
      </c>
      <c r="BQ31" s="1577">
        <f t="shared" si="17"/>
        <v>0</v>
      </c>
      <c r="BR31" s="1576">
        <f t="shared" si="18"/>
        <v>0</v>
      </c>
      <c r="BS31" s="1574">
        <f t="shared" si="19"/>
        <v>0</v>
      </c>
      <c r="BT31" s="1577">
        <f t="shared" si="20"/>
        <v>0</v>
      </c>
      <c r="BU31" s="1576">
        <f t="shared" si="21"/>
        <v>0</v>
      </c>
      <c r="BV31" s="1574">
        <f t="shared" si="22"/>
        <v>0</v>
      </c>
      <c r="BW31" s="1577">
        <f t="shared" si="23"/>
        <v>0</v>
      </c>
      <c r="BX31" s="1576">
        <f t="shared" si="24"/>
        <v>0</v>
      </c>
      <c r="BY31" s="1574">
        <f t="shared" si="25"/>
        <v>0</v>
      </c>
      <c r="BZ31" s="1577">
        <f t="shared" si="26"/>
        <v>0</v>
      </c>
      <c r="CA31" s="1576">
        <f t="shared" si="27"/>
        <v>0</v>
      </c>
      <c r="CB31" s="1495">
        <f t="shared" si="28"/>
        <v>0</v>
      </c>
      <c r="CC31" s="1577">
        <f t="shared" si="29"/>
        <v>0</v>
      </c>
      <c r="CD31" s="1576">
        <f t="shared" si="30"/>
        <v>0</v>
      </c>
      <c r="CE31" s="1495">
        <f t="shared" si="31"/>
        <v>0</v>
      </c>
      <c r="CF31" s="1577">
        <f t="shared" si="32"/>
        <v>0</v>
      </c>
      <c r="CG31" s="1576">
        <f t="shared" si="33"/>
        <v>0</v>
      </c>
      <c r="CH31" s="1495">
        <f t="shared" si="34"/>
        <v>0</v>
      </c>
      <c r="CI31" s="1577">
        <f t="shared" si="35"/>
        <v>0</v>
      </c>
      <c r="CJ31" s="1576">
        <f t="shared" si="36"/>
        <v>0</v>
      </c>
      <c r="CK31" s="1495">
        <f t="shared" si="37"/>
        <v>0</v>
      </c>
      <c r="CL31" s="1577">
        <f t="shared" si="38"/>
        <v>0</v>
      </c>
      <c r="CM31" s="1576">
        <f t="shared" si="39"/>
        <v>0</v>
      </c>
      <c r="CN31" s="1495">
        <f t="shared" si="40"/>
        <v>0</v>
      </c>
      <c r="CO31" s="1577">
        <f t="shared" si="41"/>
        <v>0</v>
      </c>
      <c r="CP31" s="1576">
        <f t="shared" si="42"/>
        <v>0</v>
      </c>
      <c r="CQ31" s="1495">
        <f t="shared" si="43"/>
        <v>0</v>
      </c>
      <c r="CR31" s="1577">
        <f t="shared" si="44"/>
        <v>0</v>
      </c>
      <c r="CS31" s="1576">
        <f t="shared" si="45"/>
        <v>0</v>
      </c>
      <c r="CT31" s="1495">
        <f t="shared" si="46"/>
        <v>0</v>
      </c>
      <c r="CU31" s="1577">
        <f t="shared" si="47"/>
        <v>0</v>
      </c>
      <c r="CV31" s="1576">
        <f t="shared" si="48"/>
        <v>0</v>
      </c>
      <c r="CW31" s="1495">
        <f t="shared" si="49"/>
        <v>0</v>
      </c>
      <c r="CX31" s="1577">
        <f t="shared" si="50"/>
        <v>0</v>
      </c>
      <c r="CY31" s="1576">
        <f t="shared" si="51"/>
        <v>0</v>
      </c>
      <c r="CZ31" s="1574">
        <f t="shared" si="52"/>
        <v>0</v>
      </c>
      <c r="DA31" s="1578">
        <f t="shared" si="54"/>
        <v>0</v>
      </c>
      <c r="DB31" s="1579">
        <f t="shared" si="55"/>
        <v>0</v>
      </c>
      <c r="DC31" s="1578">
        <f t="shared" si="56"/>
        <v>0</v>
      </c>
      <c r="DD31" s="1578">
        <f t="shared" si="56"/>
        <v>0</v>
      </c>
      <c r="DE31" s="1578">
        <f t="shared" si="56"/>
        <v>0</v>
      </c>
      <c r="DF31" s="1578">
        <f t="shared" si="57"/>
        <v>0</v>
      </c>
      <c r="DG31" s="1420"/>
      <c r="DH31" s="1420"/>
      <c r="DM31" s="1427"/>
      <c r="DR31" s="1544" t="s">
        <v>1591</v>
      </c>
      <c r="DS31" s="1567">
        <v>1</v>
      </c>
      <c r="DT31" s="1567">
        <v>0.05</v>
      </c>
      <c r="DU31" s="1583">
        <v>1</v>
      </c>
      <c r="DV31" s="1583">
        <v>0</v>
      </c>
      <c r="DW31" s="1583">
        <v>0.25</v>
      </c>
      <c r="DX31" s="1583">
        <v>0.25</v>
      </c>
      <c r="DY31" s="1583">
        <v>0</v>
      </c>
      <c r="DZ31" s="1567">
        <v>0.25</v>
      </c>
      <c r="EA31" s="1583">
        <v>1</v>
      </c>
      <c r="EB31" s="1583">
        <v>0</v>
      </c>
      <c r="EC31" s="1583">
        <v>1</v>
      </c>
      <c r="ED31" s="1535">
        <v>0</v>
      </c>
      <c r="EE31" s="1583">
        <v>1</v>
      </c>
      <c r="EF31" s="1567">
        <v>0</v>
      </c>
      <c r="EG31" s="1583">
        <v>0.5</v>
      </c>
      <c r="EH31" s="1583">
        <v>0</v>
      </c>
      <c r="EI31" s="1583">
        <v>1</v>
      </c>
      <c r="EJ31" s="1583">
        <v>1</v>
      </c>
      <c r="EK31" s="1583">
        <v>1</v>
      </c>
      <c r="EL31" s="1583">
        <v>0</v>
      </c>
      <c r="EM31" s="1567">
        <v>1</v>
      </c>
      <c r="EN31" s="1535">
        <v>0</v>
      </c>
      <c r="EO31" s="1583">
        <v>1</v>
      </c>
      <c r="EP31" s="1583">
        <v>0</v>
      </c>
      <c r="EQ31" s="1567">
        <v>0</v>
      </c>
      <c r="ER31" s="1535">
        <v>1</v>
      </c>
      <c r="ES31" s="1593"/>
      <c r="ET31" s="1593"/>
      <c r="EU31" s="1427"/>
    </row>
    <row r="32" spans="1:151" ht="21" customHeight="1">
      <c r="A32" s="1592"/>
      <c r="B32" s="2527" t="s">
        <v>1936</v>
      </c>
      <c r="C32" s="2551"/>
      <c r="D32" s="2552" t="str">
        <f>IFERROR(VLOOKUP($D$31,'Rainfall data'!$B$4:$Q$34,16,FALSE),"")</f>
        <v>Zone 2 - Temperate Interior</v>
      </c>
      <c r="E32" s="2553"/>
      <c r="BD32" s="1449"/>
      <c r="BE32" s="1571" t="s">
        <v>1208</v>
      </c>
      <c r="BF32" s="1436">
        <v>21</v>
      </c>
      <c r="BG32" s="1436">
        <v>13</v>
      </c>
      <c r="BH32" s="1436">
        <v>3</v>
      </c>
      <c r="BI32" s="1495" t="b">
        <f t="shared" si="53"/>
        <v>1</v>
      </c>
      <c r="BJ32" s="1450" t="b">
        <f t="shared" si="58"/>
        <v>0</v>
      </c>
      <c r="BK32" s="1572">
        <f t="shared" si="13"/>
        <v>0</v>
      </c>
      <c r="BL32" s="1581">
        <f>IF(SUM(BL$20:BL31,BK32)&gt;$BJ$4,0,BK32)</f>
        <v>0</v>
      </c>
      <c r="BM32" s="1436">
        <f t="shared" si="14"/>
        <v>0</v>
      </c>
      <c r="BN32" s="1495">
        <f t="shared" si="15"/>
        <v>0</v>
      </c>
      <c r="BO32" s="1437">
        <f t="shared" si="59"/>
        <v>0</v>
      </c>
      <c r="BP32" s="1574">
        <f t="shared" si="16"/>
        <v>0</v>
      </c>
      <c r="BQ32" s="1577">
        <f t="shared" si="17"/>
        <v>0</v>
      </c>
      <c r="BR32" s="1576">
        <f t="shared" si="18"/>
        <v>0</v>
      </c>
      <c r="BS32" s="1574">
        <f t="shared" si="19"/>
        <v>0</v>
      </c>
      <c r="BT32" s="1577">
        <f t="shared" si="20"/>
        <v>0</v>
      </c>
      <c r="BU32" s="1576">
        <f t="shared" si="21"/>
        <v>0</v>
      </c>
      <c r="BV32" s="1574">
        <f t="shared" si="22"/>
        <v>0</v>
      </c>
      <c r="BW32" s="1577">
        <f t="shared" si="23"/>
        <v>0</v>
      </c>
      <c r="BX32" s="1576">
        <f t="shared" si="24"/>
        <v>0</v>
      </c>
      <c r="BY32" s="1574">
        <f t="shared" si="25"/>
        <v>0</v>
      </c>
      <c r="BZ32" s="1577">
        <f t="shared" si="26"/>
        <v>0</v>
      </c>
      <c r="CA32" s="1576">
        <f t="shared" si="27"/>
        <v>0</v>
      </c>
      <c r="CB32" s="1495">
        <f t="shared" si="28"/>
        <v>0</v>
      </c>
      <c r="CC32" s="1577">
        <f t="shared" si="29"/>
        <v>0</v>
      </c>
      <c r="CD32" s="1576">
        <f t="shared" si="30"/>
        <v>0</v>
      </c>
      <c r="CE32" s="1495">
        <f t="shared" si="31"/>
        <v>0</v>
      </c>
      <c r="CF32" s="1577">
        <f t="shared" si="32"/>
        <v>0</v>
      </c>
      <c r="CG32" s="1576">
        <f t="shared" si="33"/>
        <v>0</v>
      </c>
      <c r="CH32" s="1495">
        <f t="shared" si="34"/>
        <v>0</v>
      </c>
      <c r="CI32" s="1577">
        <f t="shared" si="35"/>
        <v>0</v>
      </c>
      <c r="CJ32" s="1576">
        <f t="shared" si="36"/>
        <v>0</v>
      </c>
      <c r="CK32" s="1495">
        <f t="shared" si="37"/>
        <v>0</v>
      </c>
      <c r="CL32" s="1577">
        <f t="shared" si="38"/>
        <v>0</v>
      </c>
      <c r="CM32" s="1576">
        <f t="shared" si="39"/>
        <v>0</v>
      </c>
      <c r="CN32" s="1495">
        <f t="shared" si="40"/>
        <v>0</v>
      </c>
      <c r="CO32" s="1577">
        <f t="shared" si="41"/>
        <v>0</v>
      </c>
      <c r="CP32" s="1576">
        <f t="shared" si="42"/>
        <v>0</v>
      </c>
      <c r="CQ32" s="1495">
        <f t="shared" si="43"/>
        <v>0</v>
      </c>
      <c r="CR32" s="1577">
        <f t="shared" si="44"/>
        <v>0</v>
      </c>
      <c r="CS32" s="1576">
        <f t="shared" si="45"/>
        <v>0</v>
      </c>
      <c r="CT32" s="1495">
        <f t="shared" si="46"/>
        <v>0</v>
      </c>
      <c r="CU32" s="1577">
        <f t="shared" si="47"/>
        <v>0</v>
      </c>
      <c r="CV32" s="1576">
        <f t="shared" si="48"/>
        <v>0</v>
      </c>
      <c r="CW32" s="1495">
        <f t="shared" si="49"/>
        <v>0</v>
      </c>
      <c r="CX32" s="1577">
        <f t="shared" si="50"/>
        <v>0</v>
      </c>
      <c r="CY32" s="1576">
        <f t="shared" si="51"/>
        <v>0</v>
      </c>
      <c r="CZ32" s="1574">
        <f t="shared" si="52"/>
        <v>0</v>
      </c>
      <c r="DA32" s="1578">
        <f t="shared" si="54"/>
        <v>0</v>
      </c>
      <c r="DB32" s="1579">
        <f t="shared" si="55"/>
        <v>0</v>
      </c>
      <c r="DC32" s="1578">
        <f t="shared" si="56"/>
        <v>0</v>
      </c>
      <c r="DD32" s="1578">
        <f t="shared" si="56"/>
        <v>0</v>
      </c>
      <c r="DE32" s="1578">
        <f t="shared" si="56"/>
        <v>0</v>
      </c>
      <c r="DF32" s="1578">
        <f t="shared" si="57"/>
        <v>0</v>
      </c>
      <c r="DG32" s="1420"/>
      <c r="DH32" s="1420"/>
      <c r="DJ32" s="1427"/>
      <c r="DK32" s="1427"/>
      <c r="DL32" s="1427"/>
      <c r="DM32" s="1427"/>
      <c r="DR32" s="1544" t="s">
        <v>1594</v>
      </c>
      <c r="DS32" s="1583">
        <v>0.5</v>
      </c>
      <c r="DT32" s="1583">
        <v>0</v>
      </c>
      <c r="DU32" s="1583">
        <v>0.5</v>
      </c>
      <c r="DV32" s="1583">
        <v>0</v>
      </c>
      <c r="DW32" s="1583">
        <v>0.25</v>
      </c>
      <c r="DX32" s="1583">
        <v>0.25</v>
      </c>
      <c r="DY32" s="1583">
        <v>0</v>
      </c>
      <c r="DZ32" s="1567">
        <v>0.25</v>
      </c>
      <c r="EA32" s="1583">
        <v>0.75</v>
      </c>
      <c r="EB32" s="1583">
        <v>0</v>
      </c>
      <c r="EC32" s="1583">
        <v>1</v>
      </c>
      <c r="ED32" s="1535">
        <v>0</v>
      </c>
      <c r="EE32" s="1583">
        <v>0.5</v>
      </c>
      <c r="EF32" s="1567">
        <v>0</v>
      </c>
      <c r="EG32" s="1583">
        <v>0.5</v>
      </c>
      <c r="EH32" s="1583">
        <v>0</v>
      </c>
      <c r="EI32" s="1583">
        <v>1</v>
      </c>
      <c r="EJ32" s="1583">
        <v>1</v>
      </c>
      <c r="EK32" s="1583">
        <v>0.75</v>
      </c>
      <c r="EL32" s="1583">
        <v>0</v>
      </c>
      <c r="EM32" s="1567">
        <v>1</v>
      </c>
      <c r="EN32" s="1535">
        <v>0</v>
      </c>
      <c r="EO32" s="1583">
        <v>0.75</v>
      </c>
      <c r="EP32" s="1583">
        <v>0</v>
      </c>
      <c r="EQ32" s="1567">
        <v>0</v>
      </c>
      <c r="ER32" s="1535">
        <v>1</v>
      </c>
      <c r="ES32" s="1593"/>
      <c r="ET32" s="1593"/>
      <c r="EU32" s="1427"/>
    </row>
    <row r="33" spans="1:153" s="1440" customFormat="1" ht="21" customHeight="1">
      <c r="A33" s="1594"/>
      <c r="B33" s="1458"/>
      <c r="C33" s="1458"/>
      <c r="D33" s="1458"/>
      <c r="E33" s="1475"/>
      <c r="F33" s="1422"/>
      <c r="G33" s="1422"/>
      <c r="H33" s="1422"/>
      <c r="L33" s="1595"/>
      <c r="M33" s="1595"/>
      <c r="N33" s="1430"/>
      <c r="O33" s="1430"/>
      <c r="P33" s="1430"/>
      <c r="Q33" s="1430"/>
      <c r="R33" s="1430"/>
      <c r="S33" s="1430"/>
      <c r="T33" s="1430"/>
      <c r="U33" s="1430"/>
      <c r="V33" s="1430"/>
      <c r="W33" s="1430"/>
      <c r="X33" s="1430"/>
      <c r="Y33" s="1430"/>
      <c r="Z33" s="1430"/>
      <c r="AA33" s="1430"/>
      <c r="AB33" s="1430"/>
      <c r="AC33" s="1430"/>
      <c r="AD33" s="1430"/>
      <c r="AE33" s="1430"/>
      <c r="AF33" s="1430"/>
      <c r="AG33" s="1430"/>
      <c r="AH33" s="1430"/>
      <c r="AI33" s="1430"/>
      <c r="AJ33" s="1430"/>
      <c r="AK33" s="1430"/>
      <c r="AL33" s="1430"/>
      <c r="AM33" s="1430"/>
      <c r="AN33" s="1430"/>
      <c r="AO33" s="1430"/>
      <c r="AP33" s="1430"/>
      <c r="AQ33" s="1430"/>
      <c r="AR33" s="1430"/>
      <c r="AS33" s="1430"/>
      <c r="AT33" s="1430"/>
      <c r="AU33" s="1430"/>
      <c r="AV33" s="1430"/>
      <c r="AW33" s="1430"/>
      <c r="AX33" s="1430"/>
      <c r="AY33" s="1430"/>
      <c r="AZ33" s="1430"/>
      <c r="BA33" s="1430"/>
      <c r="BB33" s="1430"/>
      <c r="BC33" s="1430"/>
      <c r="BD33" s="1449"/>
      <c r="BE33" s="1571" t="s">
        <v>1208</v>
      </c>
      <c r="BF33" s="1436">
        <v>21</v>
      </c>
      <c r="BG33" s="1436">
        <v>14</v>
      </c>
      <c r="BH33" s="1436">
        <v>4</v>
      </c>
      <c r="BI33" s="1495" t="b">
        <f t="shared" si="53"/>
        <v>1</v>
      </c>
      <c r="BJ33" s="1450" t="b">
        <f t="shared" si="58"/>
        <v>0</v>
      </c>
      <c r="BK33" s="1572">
        <f t="shared" si="13"/>
        <v>0</v>
      </c>
      <c r="BL33" s="1581">
        <f>IF(SUM(BL$20:BL32,BK33)&gt;$BJ$4,0,BK33)</f>
        <v>0</v>
      </c>
      <c r="BM33" s="1436">
        <f t="shared" si="14"/>
        <v>0</v>
      </c>
      <c r="BN33" s="1495">
        <f t="shared" si="15"/>
        <v>0</v>
      </c>
      <c r="BO33" s="1437">
        <f t="shared" si="59"/>
        <v>0</v>
      </c>
      <c r="BP33" s="1574">
        <f t="shared" si="16"/>
        <v>0</v>
      </c>
      <c r="BQ33" s="1577">
        <f t="shared" si="17"/>
        <v>0</v>
      </c>
      <c r="BR33" s="1576">
        <f t="shared" si="18"/>
        <v>0</v>
      </c>
      <c r="BS33" s="1574">
        <f t="shared" si="19"/>
        <v>0</v>
      </c>
      <c r="BT33" s="1577">
        <f t="shared" si="20"/>
        <v>0</v>
      </c>
      <c r="BU33" s="1576">
        <f t="shared" si="21"/>
        <v>0</v>
      </c>
      <c r="BV33" s="1574">
        <f t="shared" si="22"/>
        <v>0</v>
      </c>
      <c r="BW33" s="1577">
        <f t="shared" si="23"/>
        <v>0</v>
      </c>
      <c r="BX33" s="1576">
        <f t="shared" si="24"/>
        <v>0</v>
      </c>
      <c r="BY33" s="1574">
        <f t="shared" si="25"/>
        <v>0</v>
      </c>
      <c r="BZ33" s="1577">
        <f t="shared" si="26"/>
        <v>0</v>
      </c>
      <c r="CA33" s="1576">
        <f t="shared" si="27"/>
        <v>0</v>
      </c>
      <c r="CB33" s="1495">
        <f t="shared" si="28"/>
        <v>0</v>
      </c>
      <c r="CC33" s="1577">
        <f t="shared" si="29"/>
        <v>0</v>
      </c>
      <c r="CD33" s="1576">
        <f t="shared" si="30"/>
        <v>0</v>
      </c>
      <c r="CE33" s="1495">
        <f t="shared" si="31"/>
        <v>0</v>
      </c>
      <c r="CF33" s="1577">
        <f t="shared" si="32"/>
        <v>0</v>
      </c>
      <c r="CG33" s="1576">
        <f t="shared" si="33"/>
        <v>0</v>
      </c>
      <c r="CH33" s="1495">
        <f t="shared" si="34"/>
        <v>0</v>
      </c>
      <c r="CI33" s="1577">
        <f t="shared" si="35"/>
        <v>0</v>
      </c>
      <c r="CJ33" s="1576">
        <f t="shared" si="36"/>
        <v>0</v>
      </c>
      <c r="CK33" s="1495">
        <f t="shared" si="37"/>
        <v>0</v>
      </c>
      <c r="CL33" s="1577">
        <f t="shared" si="38"/>
        <v>0</v>
      </c>
      <c r="CM33" s="1576">
        <f t="shared" si="39"/>
        <v>0</v>
      </c>
      <c r="CN33" s="1495">
        <f t="shared" si="40"/>
        <v>0</v>
      </c>
      <c r="CO33" s="1577">
        <f t="shared" si="41"/>
        <v>0</v>
      </c>
      <c r="CP33" s="1576">
        <f t="shared" si="42"/>
        <v>0</v>
      </c>
      <c r="CQ33" s="1495">
        <f t="shared" si="43"/>
        <v>0</v>
      </c>
      <c r="CR33" s="1577">
        <f t="shared" si="44"/>
        <v>0</v>
      </c>
      <c r="CS33" s="1576">
        <f t="shared" si="45"/>
        <v>0</v>
      </c>
      <c r="CT33" s="1495">
        <f t="shared" si="46"/>
        <v>0</v>
      </c>
      <c r="CU33" s="1577">
        <f t="shared" si="47"/>
        <v>0</v>
      </c>
      <c r="CV33" s="1576">
        <f t="shared" si="48"/>
        <v>0</v>
      </c>
      <c r="CW33" s="1495">
        <f t="shared" si="49"/>
        <v>0</v>
      </c>
      <c r="CX33" s="1577">
        <f t="shared" si="50"/>
        <v>0</v>
      </c>
      <c r="CY33" s="1576">
        <f t="shared" si="51"/>
        <v>0</v>
      </c>
      <c r="CZ33" s="1574">
        <f t="shared" si="52"/>
        <v>0</v>
      </c>
      <c r="DA33" s="1578">
        <f t="shared" si="54"/>
        <v>0</v>
      </c>
      <c r="DB33" s="1579">
        <f t="shared" si="55"/>
        <v>0</v>
      </c>
      <c r="DC33" s="1578">
        <f t="shared" si="56"/>
        <v>0</v>
      </c>
      <c r="DD33" s="1578">
        <f t="shared" si="56"/>
        <v>0</v>
      </c>
      <c r="DE33" s="1578">
        <f t="shared" si="56"/>
        <v>0</v>
      </c>
      <c r="DF33" s="1578">
        <f t="shared" si="57"/>
        <v>0</v>
      </c>
      <c r="DG33" s="1420"/>
      <c r="DH33" s="1420"/>
      <c r="DI33" s="1422"/>
      <c r="DJ33" s="1428"/>
      <c r="DK33" s="1428"/>
      <c r="DL33" s="1427"/>
      <c r="DM33" s="1427"/>
      <c r="DN33" s="1428"/>
      <c r="DO33" s="1428"/>
      <c r="DP33" s="1428"/>
      <c r="DQ33" s="1422"/>
      <c r="DR33" s="1544" t="s">
        <v>1595</v>
      </c>
      <c r="DS33" s="1583">
        <v>0.15</v>
      </c>
      <c r="DT33" s="1583">
        <v>0</v>
      </c>
      <c r="DU33" s="1583">
        <v>0.5</v>
      </c>
      <c r="DV33" s="1583">
        <v>0</v>
      </c>
      <c r="DW33" s="1583">
        <v>0.5</v>
      </c>
      <c r="DX33" s="1583">
        <v>0.5</v>
      </c>
      <c r="DY33" s="1583">
        <v>0</v>
      </c>
      <c r="DZ33" s="1583">
        <v>0</v>
      </c>
      <c r="EA33" s="1583">
        <v>0</v>
      </c>
      <c r="EB33" s="1583">
        <v>0</v>
      </c>
      <c r="EC33" s="1583">
        <v>0.5</v>
      </c>
      <c r="ED33" s="1535">
        <v>0</v>
      </c>
      <c r="EE33" s="1583">
        <v>0.5</v>
      </c>
      <c r="EF33" s="1567">
        <v>0</v>
      </c>
      <c r="EG33" s="1583">
        <v>0</v>
      </c>
      <c r="EH33" s="1583">
        <v>0</v>
      </c>
      <c r="EI33" s="1583">
        <v>0.5</v>
      </c>
      <c r="EJ33" s="1583">
        <v>0.5</v>
      </c>
      <c r="EK33" s="1583">
        <v>0</v>
      </c>
      <c r="EL33" s="1583">
        <v>0</v>
      </c>
      <c r="EM33" s="1583">
        <v>0</v>
      </c>
      <c r="EN33" s="1535">
        <v>0</v>
      </c>
      <c r="EO33" s="1583">
        <v>0</v>
      </c>
      <c r="EP33" s="1583">
        <v>0</v>
      </c>
      <c r="EQ33" s="1567">
        <v>0.5</v>
      </c>
      <c r="ER33" s="1535">
        <v>1</v>
      </c>
      <c r="ES33" s="1593"/>
      <c r="ET33" s="1593"/>
      <c r="EU33" s="1427"/>
    </row>
    <row r="34" spans="1:153" s="1440" customFormat="1" ht="21" customHeight="1">
      <c r="A34" s="1594"/>
      <c r="B34" s="1458"/>
      <c r="C34" s="1475"/>
      <c r="D34" s="1596" t="s">
        <v>1588</v>
      </c>
      <c r="E34" s="1597" t="s">
        <v>1589</v>
      </c>
      <c r="F34" s="1422"/>
      <c r="G34" s="1422"/>
      <c r="H34" s="1422"/>
      <c r="L34" s="1422"/>
      <c r="M34" s="1422"/>
      <c r="N34" s="1476"/>
      <c r="O34" s="1430"/>
      <c r="P34" s="1430"/>
      <c r="Q34" s="1430"/>
      <c r="R34" s="1466" t="s">
        <v>1496</v>
      </c>
      <c r="S34" s="1466" t="s">
        <v>1497</v>
      </c>
      <c r="T34" s="1466"/>
      <c r="U34" s="1466"/>
      <c r="V34" s="1466"/>
      <c r="W34" s="1466"/>
      <c r="X34" s="1466"/>
      <c r="Y34" s="1466"/>
      <c r="Z34" s="1466"/>
      <c r="AA34" s="1466"/>
      <c r="AB34" s="1466"/>
      <c r="AC34" s="1466"/>
      <c r="AD34" s="1466"/>
      <c r="AE34" s="1466"/>
      <c r="AF34" s="1466"/>
      <c r="AG34" s="1430"/>
      <c r="AH34" s="1430"/>
      <c r="AI34" s="1430"/>
      <c r="AJ34" s="1430"/>
      <c r="AK34" s="1430"/>
      <c r="AL34" s="1430"/>
      <c r="AM34" s="1430"/>
      <c r="AN34" s="1430"/>
      <c r="AO34" s="1430"/>
      <c r="AP34" s="1430"/>
      <c r="AQ34" s="1430"/>
      <c r="AR34" s="1430"/>
      <c r="AS34" s="1430"/>
      <c r="AT34" s="1430"/>
      <c r="AU34" s="1430"/>
      <c r="AV34" s="1430"/>
      <c r="AW34" s="1430"/>
      <c r="AX34" s="1430"/>
      <c r="AY34" s="1430"/>
      <c r="AZ34" s="1430"/>
      <c r="BA34" s="1430"/>
      <c r="BB34" s="1430"/>
      <c r="BC34" s="1430"/>
      <c r="BD34" s="1449"/>
      <c r="BE34" s="1571" t="s">
        <v>1208</v>
      </c>
      <c r="BF34" s="1436">
        <v>21</v>
      </c>
      <c r="BG34" s="1436">
        <v>15</v>
      </c>
      <c r="BH34" s="1436">
        <v>5</v>
      </c>
      <c r="BI34" s="1495" t="b">
        <f t="shared" si="53"/>
        <v>1</v>
      </c>
      <c r="BJ34" s="1450" t="b">
        <f t="shared" si="58"/>
        <v>1</v>
      </c>
      <c r="BK34" s="1572">
        <f t="shared" si="13"/>
        <v>7.4545454545454541</v>
      </c>
      <c r="BL34" s="1581">
        <f>IF(SUM(BL$20:BL33,BK34)&gt;$BJ$4,0,BK34)</f>
        <v>7.4545454545454541</v>
      </c>
      <c r="BM34" s="1436">
        <f t="shared" si="14"/>
        <v>0</v>
      </c>
      <c r="BN34" s="1495">
        <f t="shared" si="15"/>
        <v>0</v>
      </c>
      <c r="BO34" s="1437">
        <f t="shared" si="59"/>
        <v>0</v>
      </c>
      <c r="BP34" s="1574">
        <f t="shared" si="16"/>
        <v>0</v>
      </c>
      <c r="BQ34" s="1577">
        <f t="shared" si="17"/>
        <v>0</v>
      </c>
      <c r="BR34" s="1576">
        <f t="shared" si="18"/>
        <v>0</v>
      </c>
      <c r="BS34" s="1574">
        <f t="shared" si="19"/>
        <v>0</v>
      </c>
      <c r="BT34" s="1577">
        <f t="shared" si="20"/>
        <v>0</v>
      </c>
      <c r="BU34" s="1576">
        <f t="shared" si="21"/>
        <v>0</v>
      </c>
      <c r="BV34" s="1574">
        <f t="shared" si="22"/>
        <v>0</v>
      </c>
      <c r="BW34" s="1577">
        <f t="shared" si="23"/>
        <v>0</v>
      </c>
      <c r="BX34" s="1576">
        <f t="shared" si="24"/>
        <v>0</v>
      </c>
      <c r="BY34" s="1574">
        <f t="shared" si="25"/>
        <v>0</v>
      </c>
      <c r="BZ34" s="1577">
        <f t="shared" si="26"/>
        <v>0</v>
      </c>
      <c r="CA34" s="1576">
        <f t="shared" si="27"/>
        <v>0</v>
      </c>
      <c r="CB34" s="1495">
        <f t="shared" si="28"/>
        <v>0</v>
      </c>
      <c r="CC34" s="1577">
        <f t="shared" si="29"/>
        <v>0</v>
      </c>
      <c r="CD34" s="1576">
        <f t="shared" si="30"/>
        <v>0</v>
      </c>
      <c r="CE34" s="1495">
        <f t="shared" si="31"/>
        <v>0</v>
      </c>
      <c r="CF34" s="1577">
        <f t="shared" si="32"/>
        <v>0</v>
      </c>
      <c r="CG34" s="1576">
        <f t="shared" si="33"/>
        <v>0</v>
      </c>
      <c r="CH34" s="1495">
        <f t="shared" si="34"/>
        <v>0</v>
      </c>
      <c r="CI34" s="1577">
        <f t="shared" si="35"/>
        <v>0</v>
      </c>
      <c r="CJ34" s="1576">
        <f t="shared" si="36"/>
        <v>0</v>
      </c>
      <c r="CK34" s="1495">
        <f t="shared" si="37"/>
        <v>0</v>
      </c>
      <c r="CL34" s="1577">
        <f t="shared" si="38"/>
        <v>0</v>
      </c>
      <c r="CM34" s="1576">
        <f t="shared" si="39"/>
        <v>0</v>
      </c>
      <c r="CN34" s="1495">
        <f t="shared" si="40"/>
        <v>0</v>
      </c>
      <c r="CO34" s="1577">
        <f t="shared" si="41"/>
        <v>0</v>
      </c>
      <c r="CP34" s="1576">
        <f t="shared" si="42"/>
        <v>0</v>
      </c>
      <c r="CQ34" s="1495">
        <f t="shared" si="43"/>
        <v>0</v>
      </c>
      <c r="CR34" s="1577">
        <f t="shared" si="44"/>
        <v>0</v>
      </c>
      <c r="CS34" s="1576">
        <f t="shared" si="45"/>
        <v>0</v>
      </c>
      <c r="CT34" s="1495">
        <f t="shared" si="46"/>
        <v>0</v>
      </c>
      <c r="CU34" s="1577">
        <f t="shared" si="47"/>
        <v>0</v>
      </c>
      <c r="CV34" s="1576">
        <f t="shared" si="48"/>
        <v>0</v>
      </c>
      <c r="CW34" s="1495">
        <f t="shared" si="49"/>
        <v>0</v>
      </c>
      <c r="CX34" s="1577">
        <f t="shared" si="50"/>
        <v>0</v>
      </c>
      <c r="CY34" s="1576">
        <f t="shared" si="51"/>
        <v>0</v>
      </c>
      <c r="CZ34" s="1574">
        <f t="shared" si="52"/>
        <v>0</v>
      </c>
      <c r="DA34" s="1578">
        <f t="shared" si="54"/>
        <v>0</v>
      </c>
      <c r="DB34" s="1579">
        <f t="shared" si="55"/>
        <v>0</v>
      </c>
      <c r="DC34" s="1578">
        <f t="shared" si="56"/>
        <v>0</v>
      </c>
      <c r="DD34" s="1578">
        <f t="shared" si="56"/>
        <v>0</v>
      </c>
      <c r="DE34" s="1578">
        <f t="shared" si="56"/>
        <v>0</v>
      </c>
      <c r="DF34" s="1578">
        <f t="shared" si="57"/>
        <v>0</v>
      </c>
      <c r="DG34" s="1538"/>
      <c r="DH34" s="1420"/>
      <c r="DI34" s="1422"/>
      <c r="DJ34" s="1428"/>
      <c r="DK34" s="1428"/>
      <c r="DL34" s="1427"/>
      <c r="DM34" s="1427"/>
      <c r="DN34" s="1428"/>
      <c r="DO34" s="1428"/>
      <c r="DP34" s="1428"/>
      <c r="DQ34" s="1422"/>
      <c r="DR34" s="1544" t="s">
        <v>1596</v>
      </c>
      <c r="DS34" s="1583">
        <v>0.05</v>
      </c>
      <c r="DT34" s="1583">
        <v>0</v>
      </c>
      <c r="DU34" s="1583">
        <v>0</v>
      </c>
      <c r="DV34" s="1583">
        <v>0</v>
      </c>
      <c r="DW34" s="1583">
        <v>1</v>
      </c>
      <c r="DX34" s="1583">
        <v>1</v>
      </c>
      <c r="DY34" s="1583">
        <v>0</v>
      </c>
      <c r="DZ34" s="1583">
        <v>0</v>
      </c>
      <c r="EA34" s="1583">
        <v>0</v>
      </c>
      <c r="EB34" s="1583">
        <v>0</v>
      </c>
      <c r="EC34" s="1583">
        <v>0.25</v>
      </c>
      <c r="ED34" s="1535">
        <v>0</v>
      </c>
      <c r="EE34" s="1583">
        <v>0</v>
      </c>
      <c r="EF34" s="1567">
        <v>0</v>
      </c>
      <c r="EG34" s="1583">
        <v>0</v>
      </c>
      <c r="EH34" s="1583">
        <v>0</v>
      </c>
      <c r="EI34" s="1583">
        <v>0.25</v>
      </c>
      <c r="EJ34" s="1583">
        <v>0.25</v>
      </c>
      <c r="EK34" s="1583">
        <v>0</v>
      </c>
      <c r="EL34" s="1583">
        <v>0</v>
      </c>
      <c r="EM34" s="1583">
        <v>0</v>
      </c>
      <c r="EN34" s="1535">
        <v>0</v>
      </c>
      <c r="EO34" s="1583">
        <v>0</v>
      </c>
      <c r="EP34" s="1583">
        <v>0</v>
      </c>
      <c r="EQ34" s="1567">
        <v>1</v>
      </c>
      <c r="ER34" s="1535">
        <v>1</v>
      </c>
      <c r="ES34" s="1593"/>
      <c r="ET34" s="1593"/>
      <c r="EU34" s="1427"/>
    </row>
    <row r="35" spans="1:153" s="1440" customFormat="1" ht="17.25" customHeight="1">
      <c r="A35" s="1587"/>
      <c r="B35" s="1458"/>
      <c r="C35" s="1475"/>
      <c r="D35" s="1598" t="s">
        <v>1592</v>
      </c>
      <c r="E35" s="1597" t="s">
        <v>1593</v>
      </c>
      <c r="F35" s="1422"/>
      <c r="G35" s="1422"/>
      <c r="H35" s="1422"/>
      <c r="L35" s="1422"/>
      <c r="M35" s="1422"/>
      <c r="N35" s="1476"/>
      <c r="O35" s="1430"/>
      <c r="P35" s="1430"/>
      <c r="Q35" s="1430"/>
      <c r="R35" s="1599"/>
      <c r="S35" s="1599"/>
      <c r="T35" s="1599" t="s">
        <v>1208</v>
      </c>
      <c r="U35" s="1599" t="s">
        <v>1209</v>
      </c>
      <c r="V35" s="1599" t="s">
        <v>1210</v>
      </c>
      <c r="W35" s="1599" t="s">
        <v>1211</v>
      </c>
      <c r="X35" s="1599" t="s">
        <v>1212</v>
      </c>
      <c r="Y35" s="1599" t="s">
        <v>1213</v>
      </c>
      <c r="Z35" s="1599" t="s">
        <v>1214</v>
      </c>
      <c r="AA35" s="1599" t="s">
        <v>1215</v>
      </c>
      <c r="AB35" s="1599" t="s">
        <v>1216</v>
      </c>
      <c r="AC35" s="1599" t="s">
        <v>1217</v>
      </c>
      <c r="AD35" s="1599" t="s">
        <v>1218</v>
      </c>
      <c r="AE35" s="1599" t="s">
        <v>1219</v>
      </c>
      <c r="AF35" s="1599" t="s">
        <v>32</v>
      </c>
      <c r="AG35" s="1430"/>
      <c r="AH35" s="1430"/>
      <c r="AI35" s="1430"/>
      <c r="AJ35" s="1430"/>
      <c r="AK35" s="1430"/>
      <c r="AL35" s="1430"/>
      <c r="AM35" s="1430"/>
      <c r="AN35" s="1430"/>
      <c r="AO35" s="1430"/>
      <c r="AP35" s="1430"/>
      <c r="AQ35" s="1430"/>
      <c r="AR35" s="1430"/>
      <c r="AS35" s="1430"/>
      <c r="AT35" s="1430"/>
      <c r="AU35" s="1430"/>
      <c r="AV35" s="1430"/>
      <c r="AW35" s="1430"/>
      <c r="AX35" s="1430"/>
      <c r="AY35" s="1430"/>
      <c r="AZ35" s="1430"/>
      <c r="BA35" s="1430"/>
      <c r="BB35" s="1430"/>
      <c r="BC35" s="1430"/>
      <c r="BD35" s="1449"/>
      <c r="BE35" s="1571" t="s">
        <v>1208</v>
      </c>
      <c r="BF35" s="1436">
        <v>21</v>
      </c>
      <c r="BG35" s="1436">
        <v>16</v>
      </c>
      <c r="BH35" s="1436">
        <v>6</v>
      </c>
      <c r="BI35" s="1495" t="b">
        <f t="shared" si="53"/>
        <v>0</v>
      </c>
      <c r="BJ35" s="1450" t="b">
        <f t="shared" si="58"/>
        <v>0</v>
      </c>
      <c r="BK35" s="1572">
        <f t="shared" si="13"/>
        <v>0</v>
      </c>
      <c r="BL35" s="1581">
        <f>IF(SUM(BL$20:BL34,BK35)&gt;$BJ$4,0,BK35)</f>
        <v>0</v>
      </c>
      <c r="BM35" s="1436">
        <f t="shared" si="14"/>
        <v>0</v>
      </c>
      <c r="BN35" s="1495">
        <f t="shared" si="15"/>
        <v>0</v>
      </c>
      <c r="BO35" s="1437">
        <f t="shared" si="59"/>
        <v>0</v>
      </c>
      <c r="BP35" s="1574">
        <f t="shared" si="16"/>
        <v>0</v>
      </c>
      <c r="BQ35" s="1577">
        <f t="shared" si="17"/>
        <v>0</v>
      </c>
      <c r="BR35" s="1576">
        <f t="shared" si="18"/>
        <v>0</v>
      </c>
      <c r="BS35" s="1574">
        <f t="shared" si="19"/>
        <v>0</v>
      </c>
      <c r="BT35" s="1577">
        <f t="shared" si="20"/>
        <v>0</v>
      </c>
      <c r="BU35" s="1576">
        <f t="shared" si="21"/>
        <v>0</v>
      </c>
      <c r="BV35" s="1574">
        <f t="shared" si="22"/>
        <v>0</v>
      </c>
      <c r="BW35" s="1577">
        <f t="shared" si="23"/>
        <v>0</v>
      </c>
      <c r="BX35" s="1576">
        <f t="shared" si="24"/>
        <v>0</v>
      </c>
      <c r="BY35" s="1574">
        <f t="shared" si="25"/>
        <v>0</v>
      </c>
      <c r="BZ35" s="1577">
        <f t="shared" si="26"/>
        <v>0</v>
      </c>
      <c r="CA35" s="1576">
        <f t="shared" si="27"/>
        <v>0</v>
      </c>
      <c r="CB35" s="1495">
        <f t="shared" si="28"/>
        <v>0</v>
      </c>
      <c r="CC35" s="1577">
        <f t="shared" si="29"/>
        <v>0</v>
      </c>
      <c r="CD35" s="1576">
        <f t="shared" si="30"/>
        <v>0</v>
      </c>
      <c r="CE35" s="1495">
        <f t="shared" si="31"/>
        <v>0</v>
      </c>
      <c r="CF35" s="1577">
        <f t="shared" si="32"/>
        <v>0</v>
      </c>
      <c r="CG35" s="1576">
        <f t="shared" si="33"/>
        <v>0</v>
      </c>
      <c r="CH35" s="1495">
        <f t="shared" si="34"/>
        <v>0</v>
      </c>
      <c r="CI35" s="1577">
        <f t="shared" si="35"/>
        <v>0</v>
      </c>
      <c r="CJ35" s="1576">
        <f t="shared" si="36"/>
        <v>0</v>
      </c>
      <c r="CK35" s="1495">
        <f t="shared" si="37"/>
        <v>0</v>
      </c>
      <c r="CL35" s="1577">
        <f t="shared" si="38"/>
        <v>0</v>
      </c>
      <c r="CM35" s="1576">
        <f t="shared" si="39"/>
        <v>0</v>
      </c>
      <c r="CN35" s="1495">
        <f t="shared" si="40"/>
        <v>0</v>
      </c>
      <c r="CO35" s="1577">
        <f t="shared" si="41"/>
        <v>0</v>
      </c>
      <c r="CP35" s="1576">
        <f t="shared" si="42"/>
        <v>0</v>
      </c>
      <c r="CQ35" s="1495">
        <f t="shared" si="43"/>
        <v>0</v>
      </c>
      <c r="CR35" s="1577">
        <f t="shared" si="44"/>
        <v>0</v>
      </c>
      <c r="CS35" s="1576">
        <f t="shared" si="45"/>
        <v>0</v>
      </c>
      <c r="CT35" s="1495">
        <f t="shared" si="46"/>
        <v>0</v>
      </c>
      <c r="CU35" s="1577">
        <f t="shared" si="47"/>
        <v>0</v>
      </c>
      <c r="CV35" s="1576">
        <f t="shared" si="48"/>
        <v>0</v>
      </c>
      <c r="CW35" s="1495">
        <f t="shared" si="49"/>
        <v>0</v>
      </c>
      <c r="CX35" s="1577">
        <f t="shared" si="50"/>
        <v>0</v>
      </c>
      <c r="CY35" s="1576">
        <f t="shared" si="51"/>
        <v>0</v>
      </c>
      <c r="CZ35" s="1574">
        <f t="shared" si="52"/>
        <v>0</v>
      </c>
      <c r="DA35" s="1578">
        <f t="shared" si="54"/>
        <v>0</v>
      </c>
      <c r="DB35" s="1579">
        <f t="shared" si="55"/>
        <v>0</v>
      </c>
      <c r="DC35" s="1578">
        <f t="shared" si="56"/>
        <v>0</v>
      </c>
      <c r="DD35" s="1578">
        <f t="shared" si="56"/>
        <v>0</v>
      </c>
      <c r="DE35" s="1578">
        <f t="shared" si="56"/>
        <v>0</v>
      </c>
      <c r="DF35" s="1578">
        <f t="shared" si="57"/>
        <v>0</v>
      </c>
      <c r="DG35" s="1538"/>
      <c r="DH35" s="1420"/>
      <c r="DI35" s="1422"/>
      <c r="DJ35" s="1428"/>
      <c r="DK35" s="1428"/>
      <c r="DL35" s="1427"/>
      <c r="DM35" s="1427"/>
      <c r="DN35" s="1428"/>
      <c r="DO35" s="1428"/>
      <c r="DP35" s="1428"/>
      <c r="DQ35" s="1422"/>
      <c r="DR35" s="1544" t="s">
        <v>1597</v>
      </c>
      <c r="DS35" s="1583">
        <v>0.05</v>
      </c>
      <c r="DT35" s="1583">
        <v>0</v>
      </c>
      <c r="DU35" s="1583">
        <v>0</v>
      </c>
      <c r="DV35" s="1583">
        <v>0</v>
      </c>
      <c r="DW35" s="1583">
        <v>1</v>
      </c>
      <c r="DX35" s="1583">
        <v>1</v>
      </c>
      <c r="DY35" s="1583">
        <v>0</v>
      </c>
      <c r="DZ35" s="1583">
        <v>0</v>
      </c>
      <c r="EA35" s="1583">
        <v>0</v>
      </c>
      <c r="EB35" s="1583">
        <v>0</v>
      </c>
      <c r="EC35" s="1583">
        <v>0</v>
      </c>
      <c r="ED35" s="1535">
        <v>0</v>
      </c>
      <c r="EE35" s="1583">
        <v>0</v>
      </c>
      <c r="EF35" s="1567">
        <v>0</v>
      </c>
      <c r="EG35" s="1583">
        <v>0</v>
      </c>
      <c r="EH35" s="1583">
        <v>0</v>
      </c>
      <c r="EI35" s="1583">
        <v>0</v>
      </c>
      <c r="EJ35" s="1583">
        <v>0</v>
      </c>
      <c r="EK35" s="1583">
        <v>0</v>
      </c>
      <c r="EL35" s="1583">
        <v>0</v>
      </c>
      <c r="EM35" s="1583">
        <v>0</v>
      </c>
      <c r="EN35" s="1535">
        <v>0</v>
      </c>
      <c r="EO35" s="1583">
        <v>0</v>
      </c>
      <c r="EP35" s="1583">
        <v>0</v>
      </c>
      <c r="EQ35" s="1567">
        <v>1</v>
      </c>
      <c r="ER35" s="1535">
        <v>1</v>
      </c>
      <c r="ES35" s="1593"/>
      <c r="ET35" s="1593"/>
      <c r="EU35" s="1427"/>
    </row>
    <row r="36" spans="1:153" s="1440" customFormat="1" ht="17.25" customHeight="1">
      <c r="A36" s="1587"/>
      <c r="B36" s="1458"/>
      <c r="C36" s="1600" t="s">
        <v>800</v>
      </c>
      <c r="D36" s="1601">
        <f>IFERROR(VLOOKUP($D$31,'Rainfall data'!$B$3:$O$33,'Potable Water Calculator'!O38,FALSE),"")</f>
        <v>82</v>
      </c>
      <c r="E36" s="1601">
        <f>IFERROR(VLOOKUP($D$31,'Rainfall data'!$B$44:$P$74,'Potable Water Calculator'!O38,FALSE),"")</f>
        <v>11</v>
      </c>
      <c r="F36" s="1422"/>
      <c r="G36" s="1422"/>
      <c r="H36" s="1422"/>
      <c r="L36" s="1422"/>
      <c r="M36" s="1422"/>
      <c r="N36" s="1476"/>
      <c r="O36" s="1430"/>
      <c r="P36" s="1430"/>
      <c r="Q36" s="1430"/>
      <c r="R36" s="1599"/>
      <c r="S36" s="1599" t="s">
        <v>1514</v>
      </c>
      <c r="T36" s="1602">
        <v>31</v>
      </c>
      <c r="U36" s="1602">
        <v>28</v>
      </c>
      <c r="V36" s="1602">
        <v>31</v>
      </c>
      <c r="W36" s="1602">
        <v>30</v>
      </c>
      <c r="X36" s="1602">
        <v>31</v>
      </c>
      <c r="Y36" s="1602">
        <v>30</v>
      </c>
      <c r="Z36" s="1602">
        <v>31</v>
      </c>
      <c r="AA36" s="1602">
        <v>31</v>
      </c>
      <c r="AB36" s="1602">
        <v>30</v>
      </c>
      <c r="AC36" s="1602">
        <v>31</v>
      </c>
      <c r="AD36" s="1602">
        <v>30</v>
      </c>
      <c r="AE36" s="1602">
        <v>31</v>
      </c>
      <c r="AF36" s="1602" t="s">
        <v>1515</v>
      </c>
      <c r="AG36" s="1430"/>
      <c r="AH36" s="1430"/>
      <c r="AI36" s="1430"/>
      <c r="AJ36" s="1430"/>
      <c r="AK36" s="1430"/>
      <c r="AL36" s="1430"/>
      <c r="AM36" s="1430"/>
      <c r="AN36" s="1430"/>
      <c r="AO36" s="1430"/>
      <c r="AP36" s="1430"/>
      <c r="AQ36" s="1430"/>
      <c r="AR36" s="1430"/>
      <c r="AS36" s="1430"/>
      <c r="AT36" s="1430"/>
      <c r="AU36" s="1430"/>
      <c r="AV36" s="1430"/>
      <c r="AW36" s="1430"/>
      <c r="AX36" s="1430"/>
      <c r="AY36" s="1430"/>
      <c r="AZ36" s="1430"/>
      <c r="BA36" s="1430"/>
      <c r="BB36" s="1430"/>
      <c r="BC36" s="1430"/>
      <c r="BD36" s="1449"/>
      <c r="BE36" s="1571" t="s">
        <v>1208</v>
      </c>
      <c r="BF36" s="1436">
        <v>21</v>
      </c>
      <c r="BG36" s="1436">
        <v>17</v>
      </c>
      <c r="BH36" s="1436">
        <v>7</v>
      </c>
      <c r="BI36" s="1495" t="b">
        <f t="shared" si="53"/>
        <v>0</v>
      </c>
      <c r="BJ36" s="1450" t="b">
        <f t="shared" si="58"/>
        <v>0</v>
      </c>
      <c r="BK36" s="1572">
        <f t="shared" si="13"/>
        <v>0</v>
      </c>
      <c r="BL36" s="1581">
        <f>IF(SUM(BL$20:BL35,BK36)&gt;$BJ$4,0,BK36)</f>
        <v>0</v>
      </c>
      <c r="BM36" s="1436">
        <f t="shared" si="14"/>
        <v>0</v>
      </c>
      <c r="BN36" s="1495">
        <f t="shared" si="15"/>
        <v>0</v>
      </c>
      <c r="BO36" s="1437">
        <f t="shared" si="59"/>
        <v>0</v>
      </c>
      <c r="BP36" s="1574">
        <f t="shared" si="16"/>
        <v>0</v>
      </c>
      <c r="BQ36" s="1577">
        <f t="shared" si="17"/>
        <v>0</v>
      </c>
      <c r="BR36" s="1576">
        <f t="shared" si="18"/>
        <v>0</v>
      </c>
      <c r="BS36" s="1574">
        <f t="shared" si="19"/>
        <v>0</v>
      </c>
      <c r="BT36" s="1577">
        <f t="shared" si="20"/>
        <v>0</v>
      </c>
      <c r="BU36" s="1576">
        <f t="shared" si="21"/>
        <v>0</v>
      </c>
      <c r="BV36" s="1574">
        <f t="shared" si="22"/>
        <v>0</v>
      </c>
      <c r="BW36" s="1577">
        <f t="shared" si="23"/>
        <v>0</v>
      </c>
      <c r="BX36" s="1576">
        <f t="shared" si="24"/>
        <v>0</v>
      </c>
      <c r="BY36" s="1574">
        <f t="shared" si="25"/>
        <v>0</v>
      </c>
      <c r="BZ36" s="1577">
        <f t="shared" si="26"/>
        <v>0</v>
      </c>
      <c r="CA36" s="1576">
        <f t="shared" si="27"/>
        <v>0</v>
      </c>
      <c r="CB36" s="1495">
        <f t="shared" si="28"/>
        <v>0</v>
      </c>
      <c r="CC36" s="1577">
        <f t="shared" si="29"/>
        <v>0</v>
      </c>
      <c r="CD36" s="1576">
        <f t="shared" si="30"/>
        <v>0</v>
      </c>
      <c r="CE36" s="1495">
        <f t="shared" si="31"/>
        <v>0</v>
      </c>
      <c r="CF36" s="1577">
        <f t="shared" si="32"/>
        <v>0</v>
      </c>
      <c r="CG36" s="1576">
        <f t="shared" si="33"/>
        <v>0</v>
      </c>
      <c r="CH36" s="1495">
        <f t="shared" si="34"/>
        <v>0</v>
      </c>
      <c r="CI36" s="1577">
        <f t="shared" si="35"/>
        <v>0</v>
      </c>
      <c r="CJ36" s="1576">
        <f t="shared" si="36"/>
        <v>0</v>
      </c>
      <c r="CK36" s="1495">
        <f t="shared" si="37"/>
        <v>0</v>
      </c>
      <c r="CL36" s="1577">
        <f t="shared" si="38"/>
        <v>0</v>
      </c>
      <c r="CM36" s="1576">
        <f t="shared" si="39"/>
        <v>0</v>
      </c>
      <c r="CN36" s="1495">
        <f t="shared" si="40"/>
        <v>0</v>
      </c>
      <c r="CO36" s="1577">
        <f t="shared" si="41"/>
        <v>0</v>
      </c>
      <c r="CP36" s="1576">
        <f t="shared" si="42"/>
        <v>0</v>
      </c>
      <c r="CQ36" s="1495">
        <f t="shared" si="43"/>
        <v>0</v>
      </c>
      <c r="CR36" s="1577">
        <f t="shared" si="44"/>
        <v>0</v>
      </c>
      <c r="CS36" s="1576">
        <f t="shared" si="45"/>
        <v>0</v>
      </c>
      <c r="CT36" s="1495">
        <f t="shared" si="46"/>
        <v>0</v>
      </c>
      <c r="CU36" s="1577">
        <f t="shared" si="47"/>
        <v>0</v>
      </c>
      <c r="CV36" s="1576">
        <f t="shared" si="48"/>
        <v>0</v>
      </c>
      <c r="CW36" s="1495">
        <f t="shared" si="49"/>
        <v>0</v>
      </c>
      <c r="CX36" s="1577">
        <f t="shared" si="50"/>
        <v>0</v>
      </c>
      <c r="CY36" s="1576">
        <f t="shared" si="51"/>
        <v>0</v>
      </c>
      <c r="CZ36" s="1574">
        <f t="shared" si="52"/>
        <v>0</v>
      </c>
      <c r="DA36" s="1578">
        <f t="shared" si="54"/>
        <v>0</v>
      </c>
      <c r="DB36" s="1579">
        <f t="shared" si="55"/>
        <v>0</v>
      </c>
      <c r="DC36" s="1578">
        <f t="shared" si="56"/>
        <v>0</v>
      </c>
      <c r="DD36" s="1578">
        <f t="shared" si="56"/>
        <v>0</v>
      </c>
      <c r="DE36" s="1578">
        <f t="shared" si="56"/>
        <v>0</v>
      </c>
      <c r="DF36" s="1578">
        <f t="shared" si="57"/>
        <v>0</v>
      </c>
      <c r="DG36" s="1538"/>
      <c r="DH36" s="1420"/>
      <c r="DJ36" s="1428"/>
      <c r="DK36" s="1428"/>
      <c r="DL36" s="1427"/>
      <c r="DM36" s="1427"/>
      <c r="DN36" s="1428"/>
      <c r="DO36" s="1428"/>
      <c r="DP36" s="1428"/>
      <c r="DQ36" s="1422"/>
      <c r="DR36" s="1544" t="s">
        <v>1598</v>
      </c>
      <c r="DS36" s="1583">
        <v>0</v>
      </c>
      <c r="DT36" s="1583">
        <v>0</v>
      </c>
      <c r="DU36" s="1583">
        <v>0</v>
      </c>
      <c r="DV36" s="1583">
        <v>0</v>
      </c>
      <c r="DW36" s="1583">
        <v>1</v>
      </c>
      <c r="DX36" s="1583">
        <v>1</v>
      </c>
      <c r="DY36" s="1583">
        <v>0</v>
      </c>
      <c r="DZ36" s="1583">
        <v>0</v>
      </c>
      <c r="EA36" s="1583">
        <v>0</v>
      </c>
      <c r="EB36" s="1583">
        <v>0</v>
      </c>
      <c r="EC36" s="1583">
        <v>0</v>
      </c>
      <c r="ED36" s="1535">
        <v>0</v>
      </c>
      <c r="EE36" s="1583">
        <v>0</v>
      </c>
      <c r="EF36" s="1567">
        <v>0</v>
      </c>
      <c r="EG36" s="1583">
        <v>0</v>
      </c>
      <c r="EH36" s="1583">
        <v>0</v>
      </c>
      <c r="EI36" s="1583">
        <v>0</v>
      </c>
      <c r="EJ36" s="1583">
        <v>0</v>
      </c>
      <c r="EK36" s="1583">
        <v>0</v>
      </c>
      <c r="EL36" s="1583">
        <v>0</v>
      </c>
      <c r="EM36" s="1583">
        <v>0</v>
      </c>
      <c r="EN36" s="1535">
        <v>0</v>
      </c>
      <c r="EO36" s="1583">
        <v>0</v>
      </c>
      <c r="EP36" s="1583">
        <v>0</v>
      </c>
      <c r="EQ36" s="1567">
        <v>0.5</v>
      </c>
      <c r="ER36" s="1535">
        <v>1</v>
      </c>
      <c r="ES36" s="1593"/>
      <c r="ET36" s="1593"/>
      <c r="EU36" s="1427"/>
    </row>
    <row r="37" spans="1:153" s="1440" customFormat="1" ht="17.25" customHeight="1">
      <c r="A37" s="1587"/>
      <c r="B37" s="1458"/>
      <c r="C37" s="1600" t="s">
        <v>801</v>
      </c>
      <c r="D37" s="1601">
        <f>IFERROR(VLOOKUP($D$31,'Rainfall data'!$B$3:$O$33,'Potable Water Calculator'!O39,FALSE),"")</f>
        <v>60</v>
      </c>
      <c r="E37" s="1601">
        <f>IFERROR(VLOOKUP($D$31,'Rainfall data'!$B$44:$P$74,'Potable Water Calculator'!O39,FALSE),"")</f>
        <v>8</v>
      </c>
      <c r="F37" s="1422"/>
      <c r="G37" s="1422"/>
      <c r="H37" s="1422"/>
      <c r="L37" s="1422"/>
      <c r="M37" s="1422"/>
      <c r="N37" s="1476"/>
      <c r="O37" s="1476" t="s">
        <v>1590</v>
      </c>
      <c r="P37" s="1430"/>
      <c r="Q37" s="1430"/>
      <c r="R37" s="1599" t="s">
        <v>1530</v>
      </c>
      <c r="S37" s="1599" t="s">
        <v>1531</v>
      </c>
      <c r="T37" s="1602">
        <v>5</v>
      </c>
      <c r="U37" s="1602">
        <v>4</v>
      </c>
      <c r="V37" s="1602">
        <v>4</v>
      </c>
      <c r="W37" s="1602">
        <v>4</v>
      </c>
      <c r="X37" s="1602">
        <v>5</v>
      </c>
      <c r="Y37" s="1602">
        <v>4</v>
      </c>
      <c r="Z37" s="1602">
        <v>5</v>
      </c>
      <c r="AA37" s="1602">
        <v>4</v>
      </c>
      <c r="AB37" s="1602">
        <v>4</v>
      </c>
      <c r="AC37" s="1602">
        <v>5</v>
      </c>
      <c r="AD37" s="1602">
        <v>4</v>
      </c>
      <c r="AE37" s="1602">
        <v>4</v>
      </c>
      <c r="AF37" s="1602" t="s">
        <v>1515</v>
      </c>
      <c r="AG37" s="1430"/>
      <c r="AH37" s="1430"/>
      <c r="AI37" s="1430"/>
      <c r="AJ37" s="1430"/>
      <c r="AK37" s="1430"/>
      <c r="AL37" s="1430"/>
      <c r="AM37" s="1430"/>
      <c r="AN37" s="1430"/>
      <c r="AO37" s="1430"/>
      <c r="AP37" s="1430"/>
      <c r="AQ37" s="1430"/>
      <c r="AR37" s="1430"/>
      <c r="AS37" s="1430"/>
      <c r="AT37" s="1430"/>
      <c r="AU37" s="1430"/>
      <c r="AV37" s="1430"/>
      <c r="AW37" s="1430"/>
      <c r="AX37" s="1430"/>
      <c r="AY37" s="1430"/>
      <c r="AZ37" s="1430"/>
      <c r="BA37" s="1430"/>
      <c r="BB37" s="1430"/>
      <c r="BC37" s="1430"/>
      <c r="BD37" s="1449"/>
      <c r="BE37" s="1571" t="s">
        <v>1208</v>
      </c>
      <c r="BF37" s="1436">
        <v>21</v>
      </c>
      <c r="BG37" s="1436">
        <v>18</v>
      </c>
      <c r="BH37" s="1436">
        <v>1</v>
      </c>
      <c r="BI37" s="1495" t="b">
        <f t="shared" si="53"/>
        <v>1</v>
      </c>
      <c r="BJ37" s="1450" t="b">
        <f t="shared" si="58"/>
        <v>1</v>
      </c>
      <c r="BK37" s="1572">
        <f t="shared" si="13"/>
        <v>7.4545454545454541</v>
      </c>
      <c r="BL37" s="1581">
        <f>IF(SUM(BL$20:BL36,BK37)&gt;$BJ$4,0,BK37)</f>
        <v>7.4545454545454541</v>
      </c>
      <c r="BM37" s="1436">
        <f t="shared" si="14"/>
        <v>0</v>
      </c>
      <c r="BN37" s="1495">
        <f t="shared" si="15"/>
        <v>0</v>
      </c>
      <c r="BO37" s="1437">
        <f t="shared" si="59"/>
        <v>0</v>
      </c>
      <c r="BP37" s="1574">
        <f t="shared" si="16"/>
        <v>0</v>
      </c>
      <c r="BQ37" s="1577">
        <f t="shared" si="17"/>
        <v>0</v>
      </c>
      <c r="BR37" s="1576">
        <f t="shared" si="18"/>
        <v>0</v>
      </c>
      <c r="BS37" s="1574">
        <f t="shared" si="19"/>
        <v>0</v>
      </c>
      <c r="BT37" s="1577">
        <f t="shared" si="20"/>
        <v>0</v>
      </c>
      <c r="BU37" s="1576">
        <f t="shared" si="21"/>
        <v>0</v>
      </c>
      <c r="BV37" s="1574">
        <f t="shared" si="22"/>
        <v>0</v>
      </c>
      <c r="BW37" s="1577">
        <f t="shared" si="23"/>
        <v>0</v>
      </c>
      <c r="BX37" s="1576">
        <f t="shared" si="24"/>
        <v>0</v>
      </c>
      <c r="BY37" s="1574">
        <f t="shared" si="25"/>
        <v>0</v>
      </c>
      <c r="BZ37" s="1577">
        <f t="shared" si="26"/>
        <v>0</v>
      </c>
      <c r="CA37" s="1576">
        <f t="shared" si="27"/>
        <v>0</v>
      </c>
      <c r="CB37" s="1495">
        <f t="shared" si="28"/>
        <v>0</v>
      </c>
      <c r="CC37" s="1577">
        <f t="shared" si="29"/>
        <v>0</v>
      </c>
      <c r="CD37" s="1576">
        <f t="shared" si="30"/>
        <v>0</v>
      </c>
      <c r="CE37" s="1495">
        <f t="shared" si="31"/>
        <v>0</v>
      </c>
      <c r="CF37" s="1577">
        <f t="shared" si="32"/>
        <v>0</v>
      </c>
      <c r="CG37" s="1576">
        <f t="shared" si="33"/>
        <v>0</v>
      </c>
      <c r="CH37" s="1495">
        <f t="shared" si="34"/>
        <v>0</v>
      </c>
      <c r="CI37" s="1577">
        <f t="shared" si="35"/>
        <v>0</v>
      </c>
      <c r="CJ37" s="1576">
        <f t="shared" si="36"/>
        <v>0</v>
      </c>
      <c r="CK37" s="1495">
        <f t="shared" si="37"/>
        <v>0</v>
      </c>
      <c r="CL37" s="1577">
        <f t="shared" si="38"/>
        <v>0</v>
      </c>
      <c r="CM37" s="1576">
        <f t="shared" si="39"/>
        <v>0</v>
      </c>
      <c r="CN37" s="1495">
        <f t="shared" si="40"/>
        <v>0</v>
      </c>
      <c r="CO37" s="1577">
        <f t="shared" si="41"/>
        <v>0</v>
      </c>
      <c r="CP37" s="1576">
        <f t="shared" si="42"/>
        <v>0</v>
      </c>
      <c r="CQ37" s="1495">
        <f t="shared" si="43"/>
        <v>0</v>
      </c>
      <c r="CR37" s="1577">
        <f t="shared" si="44"/>
        <v>0</v>
      </c>
      <c r="CS37" s="1576">
        <f t="shared" si="45"/>
        <v>0</v>
      </c>
      <c r="CT37" s="1495">
        <f t="shared" si="46"/>
        <v>0</v>
      </c>
      <c r="CU37" s="1577">
        <f t="shared" si="47"/>
        <v>0</v>
      </c>
      <c r="CV37" s="1576">
        <f t="shared" si="48"/>
        <v>0</v>
      </c>
      <c r="CW37" s="1495">
        <f t="shared" si="49"/>
        <v>0</v>
      </c>
      <c r="CX37" s="1577">
        <f t="shared" si="50"/>
        <v>0</v>
      </c>
      <c r="CY37" s="1576">
        <f t="shared" si="51"/>
        <v>0</v>
      </c>
      <c r="CZ37" s="1574">
        <f t="shared" si="52"/>
        <v>0</v>
      </c>
      <c r="DA37" s="1578">
        <f t="shared" si="54"/>
        <v>0</v>
      </c>
      <c r="DB37" s="1579">
        <f t="shared" si="55"/>
        <v>0</v>
      </c>
      <c r="DC37" s="1578">
        <f t="shared" si="56"/>
        <v>0</v>
      </c>
      <c r="DD37" s="1578">
        <f t="shared" si="56"/>
        <v>0</v>
      </c>
      <c r="DE37" s="1578">
        <f t="shared" si="56"/>
        <v>0</v>
      </c>
      <c r="DF37" s="1578">
        <f t="shared" si="57"/>
        <v>0</v>
      </c>
      <c r="DG37" s="1538"/>
      <c r="DH37" s="1420"/>
      <c r="DJ37" s="1428"/>
      <c r="DK37" s="1428"/>
      <c r="DL37" s="1427"/>
      <c r="DM37" s="1427"/>
      <c r="DN37" s="1428"/>
      <c r="DO37" s="1428"/>
      <c r="DP37" s="1428"/>
      <c r="DQ37" s="1422"/>
      <c r="DR37" s="1544" t="s">
        <v>1599</v>
      </c>
      <c r="DS37" s="1583">
        <v>0</v>
      </c>
      <c r="DT37" s="1583">
        <v>0</v>
      </c>
      <c r="DU37" s="1583">
        <v>0</v>
      </c>
      <c r="DV37" s="1583">
        <v>0</v>
      </c>
      <c r="DW37" s="1583">
        <v>0.5</v>
      </c>
      <c r="DX37" s="1583">
        <v>0.5</v>
      </c>
      <c r="DY37" s="1583">
        <v>0</v>
      </c>
      <c r="DZ37" s="1583">
        <v>0</v>
      </c>
      <c r="EA37" s="1583">
        <v>0</v>
      </c>
      <c r="EB37" s="1583">
        <v>0</v>
      </c>
      <c r="EC37" s="1583">
        <v>0</v>
      </c>
      <c r="ED37" s="1535">
        <v>0</v>
      </c>
      <c r="EE37" s="1583">
        <v>0</v>
      </c>
      <c r="EF37" s="1567">
        <v>0</v>
      </c>
      <c r="EG37" s="1583">
        <v>0</v>
      </c>
      <c r="EH37" s="1583">
        <v>0</v>
      </c>
      <c r="EI37" s="1583">
        <v>0</v>
      </c>
      <c r="EJ37" s="1583">
        <v>0</v>
      </c>
      <c r="EK37" s="1583">
        <v>0</v>
      </c>
      <c r="EL37" s="1583">
        <v>0</v>
      </c>
      <c r="EM37" s="1583">
        <v>0</v>
      </c>
      <c r="EN37" s="1535">
        <v>0</v>
      </c>
      <c r="EO37" s="1583">
        <v>0</v>
      </c>
      <c r="EP37" s="1583">
        <v>0</v>
      </c>
      <c r="EQ37" s="1567">
        <v>0</v>
      </c>
      <c r="ER37" s="1535">
        <v>0</v>
      </c>
      <c r="ES37" s="1593"/>
      <c r="ET37" s="1593"/>
      <c r="EU37" s="1427"/>
    </row>
    <row r="38" spans="1:153" s="1440" customFormat="1" ht="17.25" customHeight="1">
      <c r="A38" s="1603"/>
      <c r="B38" s="1458"/>
      <c r="C38" s="1600" t="s">
        <v>881</v>
      </c>
      <c r="D38" s="1601">
        <f>IFERROR(VLOOKUP($D$31,'Rainfall data'!$B$3:$O$33,'Potable Water Calculator'!O40,FALSE),"")</f>
        <v>52</v>
      </c>
      <c r="E38" s="1601">
        <f>IFERROR(VLOOKUP($D$31,'Rainfall data'!$B$44:$P$74,'Potable Water Calculator'!O40,FALSE),"")</f>
        <v>7</v>
      </c>
      <c r="F38" s="1422"/>
      <c r="G38" s="1422"/>
      <c r="H38" s="1422"/>
      <c r="L38" s="1422"/>
      <c r="M38" s="1422"/>
      <c r="N38" s="1476"/>
      <c r="O38" s="1476">
        <v>3</v>
      </c>
      <c r="P38" s="1430"/>
      <c r="Q38" s="1430"/>
      <c r="R38" s="1599">
        <v>5</v>
      </c>
      <c r="S38" s="1599" t="s">
        <v>1538</v>
      </c>
      <c r="T38" s="1602">
        <f t="shared" ref="T38:AE38" si="60">T36-(T37*(7-$R38))</f>
        <v>21</v>
      </c>
      <c r="U38" s="1602">
        <f t="shared" si="60"/>
        <v>20</v>
      </c>
      <c r="V38" s="1602">
        <f t="shared" si="60"/>
        <v>23</v>
      </c>
      <c r="W38" s="1602">
        <f t="shared" si="60"/>
        <v>22</v>
      </c>
      <c r="X38" s="1602">
        <f t="shared" si="60"/>
        <v>21</v>
      </c>
      <c r="Y38" s="1602">
        <f t="shared" si="60"/>
        <v>22</v>
      </c>
      <c r="Z38" s="1602">
        <f t="shared" si="60"/>
        <v>21</v>
      </c>
      <c r="AA38" s="1602">
        <f t="shared" si="60"/>
        <v>23</v>
      </c>
      <c r="AB38" s="1602">
        <f t="shared" si="60"/>
        <v>22</v>
      </c>
      <c r="AC38" s="1602">
        <f t="shared" si="60"/>
        <v>21</v>
      </c>
      <c r="AD38" s="1602">
        <f t="shared" si="60"/>
        <v>22</v>
      </c>
      <c r="AE38" s="1602">
        <f t="shared" si="60"/>
        <v>23</v>
      </c>
      <c r="AF38" s="1602">
        <f>SUM(T38:AE38)</f>
        <v>261</v>
      </c>
      <c r="AG38" s="1430"/>
      <c r="AH38" s="1430"/>
      <c r="AI38" s="1430"/>
      <c r="AJ38" s="1430"/>
      <c r="AK38" s="1430"/>
      <c r="AL38" s="1430"/>
      <c r="AM38" s="1430"/>
      <c r="AN38" s="1430"/>
      <c r="AO38" s="1430"/>
      <c r="AP38" s="1430"/>
      <c r="AQ38" s="1430"/>
      <c r="AR38" s="1430"/>
      <c r="AS38" s="1430"/>
      <c r="AT38" s="1430"/>
      <c r="AU38" s="1430"/>
      <c r="AV38" s="1430"/>
      <c r="AW38" s="1430"/>
      <c r="AX38" s="1430"/>
      <c r="AY38" s="1430"/>
      <c r="AZ38" s="1430"/>
      <c r="BA38" s="1430"/>
      <c r="BB38" s="1430"/>
      <c r="BC38" s="1430"/>
      <c r="BD38" s="1449"/>
      <c r="BE38" s="1571" t="s">
        <v>1208</v>
      </c>
      <c r="BF38" s="1436">
        <v>21</v>
      </c>
      <c r="BG38" s="1436">
        <v>19</v>
      </c>
      <c r="BH38" s="1436">
        <v>2</v>
      </c>
      <c r="BI38" s="1495" t="b">
        <f t="shared" si="53"/>
        <v>1</v>
      </c>
      <c r="BJ38" s="1450" t="b">
        <f t="shared" si="58"/>
        <v>0</v>
      </c>
      <c r="BK38" s="1572">
        <f t="shared" si="13"/>
        <v>0</v>
      </c>
      <c r="BL38" s="1581">
        <f>IF(SUM(BL$20:BL37,BK38)&gt;$BJ$4,0,BK38)</f>
        <v>0</v>
      </c>
      <c r="BM38" s="1436">
        <f t="shared" si="14"/>
        <v>0</v>
      </c>
      <c r="BN38" s="1495">
        <f t="shared" si="15"/>
        <v>0</v>
      </c>
      <c r="BO38" s="1437">
        <f t="shared" si="59"/>
        <v>0</v>
      </c>
      <c r="BP38" s="1574">
        <f t="shared" si="16"/>
        <v>0</v>
      </c>
      <c r="BQ38" s="1577">
        <f t="shared" si="17"/>
        <v>0</v>
      </c>
      <c r="BR38" s="1576">
        <f t="shared" si="18"/>
        <v>0</v>
      </c>
      <c r="BS38" s="1574">
        <f t="shared" si="19"/>
        <v>0</v>
      </c>
      <c r="BT38" s="1577">
        <f t="shared" si="20"/>
        <v>0</v>
      </c>
      <c r="BU38" s="1576">
        <f t="shared" si="21"/>
        <v>0</v>
      </c>
      <c r="BV38" s="1574">
        <f t="shared" si="22"/>
        <v>0</v>
      </c>
      <c r="BW38" s="1577">
        <f t="shared" si="23"/>
        <v>0</v>
      </c>
      <c r="BX38" s="1576">
        <f t="shared" si="24"/>
        <v>0</v>
      </c>
      <c r="BY38" s="1574">
        <f t="shared" si="25"/>
        <v>0</v>
      </c>
      <c r="BZ38" s="1577">
        <f t="shared" si="26"/>
        <v>0</v>
      </c>
      <c r="CA38" s="1576">
        <f t="shared" si="27"/>
        <v>0</v>
      </c>
      <c r="CB38" s="1495">
        <f t="shared" si="28"/>
        <v>0</v>
      </c>
      <c r="CC38" s="1577">
        <f t="shared" si="29"/>
        <v>0</v>
      </c>
      <c r="CD38" s="1576">
        <f t="shared" si="30"/>
        <v>0</v>
      </c>
      <c r="CE38" s="1495">
        <f t="shared" si="31"/>
        <v>0</v>
      </c>
      <c r="CF38" s="1577">
        <f t="shared" si="32"/>
        <v>0</v>
      </c>
      <c r="CG38" s="1576">
        <f t="shared" si="33"/>
        <v>0</v>
      </c>
      <c r="CH38" s="1495">
        <f t="shared" si="34"/>
        <v>0</v>
      </c>
      <c r="CI38" s="1577">
        <f t="shared" si="35"/>
        <v>0</v>
      </c>
      <c r="CJ38" s="1576">
        <f t="shared" si="36"/>
        <v>0</v>
      </c>
      <c r="CK38" s="1495">
        <f t="shared" si="37"/>
        <v>0</v>
      </c>
      <c r="CL38" s="1577">
        <f t="shared" si="38"/>
        <v>0</v>
      </c>
      <c r="CM38" s="1576">
        <f t="shared" si="39"/>
        <v>0</v>
      </c>
      <c r="CN38" s="1495">
        <f t="shared" si="40"/>
        <v>0</v>
      </c>
      <c r="CO38" s="1577">
        <f t="shared" si="41"/>
        <v>0</v>
      </c>
      <c r="CP38" s="1576">
        <f t="shared" si="42"/>
        <v>0</v>
      </c>
      <c r="CQ38" s="1495">
        <f t="shared" si="43"/>
        <v>0</v>
      </c>
      <c r="CR38" s="1577">
        <f t="shared" si="44"/>
        <v>0</v>
      </c>
      <c r="CS38" s="1576">
        <f t="shared" si="45"/>
        <v>0</v>
      </c>
      <c r="CT38" s="1495">
        <f t="shared" si="46"/>
        <v>0</v>
      </c>
      <c r="CU38" s="1577">
        <f t="shared" si="47"/>
        <v>0</v>
      </c>
      <c r="CV38" s="1576">
        <f t="shared" si="48"/>
        <v>0</v>
      </c>
      <c r="CW38" s="1495">
        <f t="shared" si="49"/>
        <v>0</v>
      </c>
      <c r="CX38" s="1577">
        <f t="shared" si="50"/>
        <v>0</v>
      </c>
      <c r="CY38" s="1576">
        <f t="shared" si="51"/>
        <v>0</v>
      </c>
      <c r="CZ38" s="1574">
        <f t="shared" si="52"/>
        <v>0</v>
      </c>
      <c r="DA38" s="1578">
        <f t="shared" si="54"/>
        <v>0</v>
      </c>
      <c r="DB38" s="1579">
        <f t="shared" si="55"/>
        <v>0</v>
      </c>
      <c r="DC38" s="1578">
        <f t="shared" si="56"/>
        <v>0</v>
      </c>
      <c r="DD38" s="1578">
        <f t="shared" si="56"/>
        <v>0</v>
      </c>
      <c r="DE38" s="1578">
        <f t="shared" si="56"/>
        <v>0</v>
      </c>
      <c r="DF38" s="1578">
        <f t="shared" si="57"/>
        <v>0</v>
      </c>
      <c r="DG38" s="1538"/>
      <c r="DH38" s="1420"/>
      <c r="DJ38" s="1428"/>
      <c r="DK38" s="1428"/>
      <c r="DL38" s="1427"/>
      <c r="DM38" s="1427"/>
      <c r="DN38" s="1427"/>
      <c r="DO38" s="1427"/>
      <c r="DP38" s="1427"/>
      <c r="DQ38" s="1422"/>
      <c r="DR38" s="1604" t="s">
        <v>1600</v>
      </c>
      <c r="DS38" s="1583">
        <v>0</v>
      </c>
      <c r="DT38" s="1583">
        <v>0</v>
      </c>
      <c r="DU38" s="1583">
        <v>0</v>
      </c>
      <c r="DV38" s="1583">
        <v>0</v>
      </c>
      <c r="DW38" s="1583">
        <v>0</v>
      </c>
      <c r="DX38" s="1583">
        <v>0</v>
      </c>
      <c r="DY38" s="1583">
        <v>0</v>
      </c>
      <c r="DZ38" s="1583">
        <v>0</v>
      </c>
      <c r="EA38" s="1583">
        <v>0</v>
      </c>
      <c r="EB38" s="1583">
        <v>0</v>
      </c>
      <c r="EC38" s="1583">
        <v>0</v>
      </c>
      <c r="ED38" s="1535">
        <v>0</v>
      </c>
      <c r="EE38" s="1583">
        <v>0</v>
      </c>
      <c r="EF38" s="1567">
        <v>0</v>
      </c>
      <c r="EG38" s="1583">
        <v>0</v>
      </c>
      <c r="EH38" s="1583">
        <v>0</v>
      </c>
      <c r="EI38" s="1583">
        <v>0</v>
      </c>
      <c r="EJ38" s="1583">
        <v>0</v>
      </c>
      <c r="EK38" s="1583">
        <v>0</v>
      </c>
      <c r="EL38" s="1583">
        <v>0</v>
      </c>
      <c r="EM38" s="1583">
        <v>0</v>
      </c>
      <c r="EN38" s="1535">
        <v>0</v>
      </c>
      <c r="EO38" s="1583">
        <v>0</v>
      </c>
      <c r="EP38" s="1583">
        <v>0</v>
      </c>
      <c r="EQ38" s="1567">
        <v>0</v>
      </c>
      <c r="ER38" s="1535">
        <v>0</v>
      </c>
      <c r="ES38" s="1593"/>
      <c r="ET38" s="1593"/>
      <c r="EU38" s="1427"/>
    </row>
    <row r="39" spans="1:153" s="1440" customFormat="1" ht="21" customHeight="1">
      <c r="A39" s="1603"/>
      <c r="B39" s="1458"/>
      <c r="C39" s="1600" t="s">
        <v>882</v>
      </c>
      <c r="D39" s="1601">
        <f>IFERROR(VLOOKUP($D$31,'Rainfall data'!$B$3:$O$33,'Potable Water Calculator'!O41,FALSE),"")</f>
        <v>33</v>
      </c>
      <c r="E39" s="1601">
        <f>IFERROR(VLOOKUP($D$31,'Rainfall data'!$B$44:$P$74,'Potable Water Calculator'!O41,FALSE),"")</f>
        <v>4</v>
      </c>
      <c r="F39" s="1422"/>
      <c r="G39" s="1422"/>
      <c r="H39" s="1422"/>
      <c r="L39" s="1422"/>
      <c r="M39" s="1422"/>
      <c r="N39" s="1476"/>
      <c r="O39" s="1476">
        <v>4</v>
      </c>
      <c r="P39" s="1430"/>
      <c r="Q39" s="1430"/>
      <c r="R39" s="1599">
        <v>6</v>
      </c>
      <c r="S39" s="1599" t="s">
        <v>1545</v>
      </c>
      <c r="T39" s="1602">
        <f t="shared" ref="T39:AE39" si="61">T36-(T37*(7-$R39))</f>
        <v>26</v>
      </c>
      <c r="U39" s="1602">
        <f t="shared" si="61"/>
        <v>24</v>
      </c>
      <c r="V39" s="1602">
        <f t="shared" si="61"/>
        <v>27</v>
      </c>
      <c r="W39" s="1602">
        <f t="shared" si="61"/>
        <v>26</v>
      </c>
      <c r="X39" s="1602">
        <f t="shared" si="61"/>
        <v>26</v>
      </c>
      <c r="Y39" s="1602">
        <f t="shared" si="61"/>
        <v>26</v>
      </c>
      <c r="Z39" s="1602">
        <f t="shared" si="61"/>
        <v>26</v>
      </c>
      <c r="AA39" s="1602">
        <f t="shared" si="61"/>
        <v>27</v>
      </c>
      <c r="AB39" s="1602">
        <f t="shared" si="61"/>
        <v>26</v>
      </c>
      <c r="AC39" s="1602">
        <f t="shared" si="61"/>
        <v>26</v>
      </c>
      <c r="AD39" s="1602">
        <f t="shared" si="61"/>
        <v>26</v>
      </c>
      <c r="AE39" s="1602">
        <f t="shared" si="61"/>
        <v>27</v>
      </c>
      <c r="AF39" s="1602">
        <f>SUM(T39:AE39)</f>
        <v>313</v>
      </c>
      <c r="AG39" s="1430"/>
      <c r="AH39" s="1430"/>
      <c r="AI39" s="1430"/>
      <c r="AJ39" s="1430"/>
      <c r="AK39" s="1430"/>
      <c r="AL39" s="1430"/>
      <c r="AM39" s="1430"/>
      <c r="AN39" s="1430"/>
      <c r="AO39" s="1430"/>
      <c r="AP39" s="1430"/>
      <c r="AQ39" s="1430"/>
      <c r="AR39" s="1430"/>
      <c r="AS39" s="1430"/>
      <c r="AT39" s="1430"/>
      <c r="AU39" s="1430"/>
      <c r="AV39" s="1430"/>
      <c r="AW39" s="1430"/>
      <c r="AX39" s="1430"/>
      <c r="AY39" s="1430"/>
      <c r="AZ39" s="1430"/>
      <c r="BA39" s="1430"/>
      <c r="BB39" s="1430"/>
      <c r="BC39" s="1430"/>
      <c r="BD39" s="1449"/>
      <c r="BE39" s="1571" t="s">
        <v>1208</v>
      </c>
      <c r="BF39" s="1436">
        <v>21</v>
      </c>
      <c r="BG39" s="1436">
        <v>20</v>
      </c>
      <c r="BH39" s="1436">
        <v>3</v>
      </c>
      <c r="BI39" s="1495" t="b">
        <f t="shared" si="53"/>
        <v>1</v>
      </c>
      <c r="BJ39" s="1450" t="b">
        <f t="shared" si="58"/>
        <v>0</v>
      </c>
      <c r="BK39" s="1572">
        <f t="shared" si="13"/>
        <v>0</v>
      </c>
      <c r="BL39" s="1581">
        <f>IF(SUM(BL$20:BL38,BK39)&gt;$BJ$4,0,BK39)</f>
        <v>0</v>
      </c>
      <c r="BM39" s="1436">
        <f t="shared" si="14"/>
        <v>0</v>
      </c>
      <c r="BN39" s="1495">
        <f t="shared" si="15"/>
        <v>0</v>
      </c>
      <c r="BO39" s="1437">
        <f t="shared" si="59"/>
        <v>0</v>
      </c>
      <c r="BP39" s="1574">
        <f t="shared" si="16"/>
        <v>0</v>
      </c>
      <c r="BQ39" s="1577">
        <f t="shared" si="17"/>
        <v>0</v>
      </c>
      <c r="BR39" s="1576">
        <f t="shared" si="18"/>
        <v>0</v>
      </c>
      <c r="BS39" s="1574">
        <f t="shared" si="19"/>
        <v>0</v>
      </c>
      <c r="BT39" s="1577">
        <f t="shared" si="20"/>
        <v>0</v>
      </c>
      <c r="BU39" s="1576">
        <f t="shared" si="21"/>
        <v>0</v>
      </c>
      <c r="BV39" s="1574">
        <f t="shared" si="22"/>
        <v>0</v>
      </c>
      <c r="BW39" s="1577">
        <f t="shared" si="23"/>
        <v>0</v>
      </c>
      <c r="BX39" s="1576">
        <f t="shared" si="24"/>
        <v>0</v>
      </c>
      <c r="BY39" s="1574">
        <f t="shared" si="25"/>
        <v>0</v>
      </c>
      <c r="BZ39" s="1577">
        <f t="shared" si="26"/>
        <v>0</v>
      </c>
      <c r="CA39" s="1576">
        <f t="shared" si="27"/>
        <v>0</v>
      </c>
      <c r="CB39" s="1495">
        <f t="shared" si="28"/>
        <v>0</v>
      </c>
      <c r="CC39" s="1577">
        <f t="shared" si="29"/>
        <v>0</v>
      </c>
      <c r="CD39" s="1576">
        <f t="shared" si="30"/>
        <v>0</v>
      </c>
      <c r="CE39" s="1495">
        <f t="shared" si="31"/>
        <v>0</v>
      </c>
      <c r="CF39" s="1577">
        <f t="shared" si="32"/>
        <v>0</v>
      </c>
      <c r="CG39" s="1576">
        <f t="shared" si="33"/>
        <v>0</v>
      </c>
      <c r="CH39" s="1495">
        <f t="shared" si="34"/>
        <v>0</v>
      </c>
      <c r="CI39" s="1577">
        <f t="shared" si="35"/>
        <v>0</v>
      </c>
      <c r="CJ39" s="1576">
        <f t="shared" si="36"/>
        <v>0</v>
      </c>
      <c r="CK39" s="1495">
        <f t="shared" si="37"/>
        <v>0</v>
      </c>
      <c r="CL39" s="1577">
        <f t="shared" si="38"/>
        <v>0</v>
      </c>
      <c r="CM39" s="1576">
        <f t="shared" si="39"/>
        <v>0</v>
      </c>
      <c r="CN39" s="1495">
        <f t="shared" si="40"/>
        <v>0</v>
      </c>
      <c r="CO39" s="1577">
        <f t="shared" si="41"/>
        <v>0</v>
      </c>
      <c r="CP39" s="1576">
        <f t="shared" si="42"/>
        <v>0</v>
      </c>
      <c r="CQ39" s="1495">
        <f t="shared" si="43"/>
        <v>0</v>
      </c>
      <c r="CR39" s="1577">
        <f t="shared" si="44"/>
        <v>0</v>
      </c>
      <c r="CS39" s="1576">
        <f t="shared" si="45"/>
        <v>0</v>
      </c>
      <c r="CT39" s="1495">
        <f t="shared" si="46"/>
        <v>0</v>
      </c>
      <c r="CU39" s="1577">
        <f t="shared" si="47"/>
        <v>0</v>
      </c>
      <c r="CV39" s="1576">
        <f t="shared" si="48"/>
        <v>0</v>
      </c>
      <c r="CW39" s="1495">
        <f t="shared" si="49"/>
        <v>0</v>
      </c>
      <c r="CX39" s="1577">
        <f t="shared" si="50"/>
        <v>0</v>
      </c>
      <c r="CY39" s="1576">
        <f t="shared" si="51"/>
        <v>0</v>
      </c>
      <c r="CZ39" s="1574">
        <f t="shared" si="52"/>
        <v>0</v>
      </c>
      <c r="DA39" s="1578">
        <f t="shared" si="54"/>
        <v>0</v>
      </c>
      <c r="DB39" s="1579">
        <f t="shared" si="55"/>
        <v>0</v>
      </c>
      <c r="DC39" s="1578">
        <f t="shared" si="56"/>
        <v>0</v>
      </c>
      <c r="DD39" s="1578">
        <f t="shared" si="56"/>
        <v>0</v>
      </c>
      <c r="DE39" s="1578">
        <f t="shared" si="56"/>
        <v>0</v>
      </c>
      <c r="DF39" s="1578">
        <f t="shared" si="57"/>
        <v>0</v>
      </c>
      <c r="DG39" s="1538"/>
      <c r="DH39" s="1420"/>
      <c r="DJ39" s="1427"/>
      <c r="DK39" s="1427"/>
      <c r="DL39" s="1427"/>
      <c r="DM39" s="1427"/>
      <c r="DN39" s="1427"/>
      <c r="DO39" s="1427"/>
      <c r="DP39" s="1427"/>
      <c r="DQ39" s="1422"/>
      <c r="DR39" s="1605" t="s">
        <v>1601</v>
      </c>
      <c r="DS39" s="1606">
        <f t="shared" ref="DS39:ET39" si="62">SUM(DS15:DS38)</f>
        <v>9.5000000000000018</v>
      </c>
      <c r="DT39" s="1606">
        <f t="shared" si="62"/>
        <v>0.44999999999999996</v>
      </c>
      <c r="DU39" s="1606">
        <f t="shared" si="62"/>
        <v>7.1</v>
      </c>
      <c r="DV39" s="1606">
        <f t="shared" si="62"/>
        <v>0</v>
      </c>
      <c r="DW39" s="1606">
        <f t="shared" si="62"/>
        <v>9.25</v>
      </c>
      <c r="DX39" s="1606">
        <f t="shared" si="62"/>
        <v>9.25</v>
      </c>
      <c r="DY39" s="1606">
        <f t="shared" si="62"/>
        <v>3</v>
      </c>
      <c r="DZ39" s="1606">
        <f t="shared" si="62"/>
        <v>2</v>
      </c>
      <c r="EA39" s="1606">
        <f t="shared" si="62"/>
        <v>8</v>
      </c>
      <c r="EB39" s="1606">
        <f t="shared" si="62"/>
        <v>0</v>
      </c>
      <c r="EC39" s="1606">
        <f t="shared" si="62"/>
        <v>9</v>
      </c>
      <c r="ED39" s="1606">
        <f t="shared" si="62"/>
        <v>0</v>
      </c>
      <c r="EE39" s="1606">
        <f t="shared" si="62"/>
        <v>7.1</v>
      </c>
      <c r="EF39" s="1606">
        <f t="shared" si="62"/>
        <v>0</v>
      </c>
      <c r="EG39" s="1606">
        <f t="shared" si="62"/>
        <v>7.1</v>
      </c>
      <c r="EH39" s="1606">
        <f t="shared" si="62"/>
        <v>0</v>
      </c>
      <c r="EI39" s="1606">
        <f t="shared" si="62"/>
        <v>9</v>
      </c>
      <c r="EJ39" s="1606">
        <f t="shared" si="62"/>
        <v>9</v>
      </c>
      <c r="EK39" s="1606">
        <f t="shared" si="62"/>
        <v>8</v>
      </c>
      <c r="EL39" s="1606">
        <f t="shared" si="62"/>
        <v>0</v>
      </c>
      <c r="EM39" s="1606">
        <f t="shared" si="62"/>
        <v>8</v>
      </c>
      <c r="EN39" s="1606">
        <f t="shared" si="62"/>
        <v>0</v>
      </c>
      <c r="EO39" s="1606">
        <f t="shared" si="62"/>
        <v>8</v>
      </c>
      <c r="EP39" s="1606">
        <f t="shared" si="62"/>
        <v>0</v>
      </c>
      <c r="EQ39" s="1606">
        <f t="shared" si="62"/>
        <v>7.25</v>
      </c>
      <c r="ER39" s="1606">
        <f t="shared" si="62"/>
        <v>14</v>
      </c>
      <c r="ES39" s="1606">
        <f t="shared" si="62"/>
        <v>0</v>
      </c>
      <c r="ET39" s="1606">
        <f t="shared" si="62"/>
        <v>0</v>
      </c>
      <c r="EU39" s="1427"/>
    </row>
    <row r="40" spans="1:153" s="1440" customFormat="1" ht="18" customHeight="1">
      <c r="A40" s="1603"/>
      <c r="B40" s="1458"/>
      <c r="C40" s="1600" t="s">
        <v>1212</v>
      </c>
      <c r="D40" s="1601">
        <f>IFERROR(VLOOKUP($D$31,'Rainfall data'!$B$3:$O$33,'Potable Water Calculator'!O42,FALSE),"")</f>
        <v>11</v>
      </c>
      <c r="E40" s="1601">
        <f>IFERROR(VLOOKUP($D$31,'Rainfall data'!$B$44:$P$74,'Potable Water Calculator'!O42,FALSE),"")</f>
        <v>2</v>
      </c>
      <c r="F40" s="1422"/>
      <c r="G40" s="1422"/>
      <c r="H40" s="1422"/>
      <c r="L40" s="1422"/>
      <c r="M40" s="1422"/>
      <c r="N40" s="1476"/>
      <c r="O40" s="1476">
        <v>5</v>
      </c>
      <c r="P40" s="1430"/>
      <c r="Q40" s="1430"/>
      <c r="R40" s="1599">
        <v>7</v>
      </c>
      <c r="S40" s="1599" t="s">
        <v>1547</v>
      </c>
      <c r="T40" s="1602">
        <f t="shared" ref="T40:AE40" si="63">T36-(T37*(7-$R40))</f>
        <v>31</v>
      </c>
      <c r="U40" s="1602">
        <f t="shared" si="63"/>
        <v>28</v>
      </c>
      <c r="V40" s="1602">
        <f t="shared" si="63"/>
        <v>31</v>
      </c>
      <c r="W40" s="1602">
        <f t="shared" si="63"/>
        <v>30</v>
      </c>
      <c r="X40" s="1602">
        <f t="shared" si="63"/>
        <v>31</v>
      </c>
      <c r="Y40" s="1602">
        <f t="shared" si="63"/>
        <v>30</v>
      </c>
      <c r="Z40" s="1602">
        <f t="shared" si="63"/>
        <v>31</v>
      </c>
      <c r="AA40" s="1602">
        <f t="shared" si="63"/>
        <v>31</v>
      </c>
      <c r="AB40" s="1602">
        <f t="shared" si="63"/>
        <v>30</v>
      </c>
      <c r="AC40" s="1602">
        <f t="shared" si="63"/>
        <v>31</v>
      </c>
      <c r="AD40" s="1602">
        <f t="shared" si="63"/>
        <v>30</v>
      </c>
      <c r="AE40" s="1602">
        <f t="shared" si="63"/>
        <v>31</v>
      </c>
      <c r="AF40" s="1602">
        <f>SUM(T40:AE40)</f>
        <v>365</v>
      </c>
      <c r="AG40" s="1430"/>
      <c r="AH40" s="1430"/>
      <c r="AI40" s="1430"/>
      <c r="AJ40" s="1430"/>
      <c r="AK40" s="1430"/>
      <c r="AL40" s="1430"/>
      <c r="AM40" s="1430"/>
      <c r="AN40" s="1430"/>
      <c r="AO40" s="1430"/>
      <c r="AP40" s="1430"/>
      <c r="AQ40" s="1430"/>
      <c r="AR40" s="1430"/>
      <c r="AS40" s="1430"/>
      <c r="AT40" s="1430"/>
      <c r="AU40" s="1430"/>
      <c r="AV40" s="1430"/>
      <c r="AW40" s="1430"/>
      <c r="AX40" s="1430"/>
      <c r="AY40" s="1430"/>
      <c r="AZ40" s="1430"/>
      <c r="BA40" s="1430"/>
      <c r="BB40" s="1430"/>
      <c r="BC40" s="1430"/>
      <c r="BD40" s="1449"/>
      <c r="BE40" s="1571" t="s">
        <v>1208</v>
      </c>
      <c r="BF40" s="1436">
        <v>21</v>
      </c>
      <c r="BG40" s="1436">
        <v>21</v>
      </c>
      <c r="BH40" s="1436">
        <v>4</v>
      </c>
      <c r="BI40" s="1495" t="b">
        <f t="shared" si="53"/>
        <v>1</v>
      </c>
      <c r="BJ40" s="1450" t="b">
        <f t="shared" si="58"/>
        <v>1</v>
      </c>
      <c r="BK40" s="1572">
        <f t="shared" si="13"/>
        <v>7.4545454545454541</v>
      </c>
      <c r="BL40" s="1581">
        <f>IF(SUM(BL$20:BL39,BK40)&gt;$BJ$4,0,BK40)</f>
        <v>7.4545454545454541</v>
      </c>
      <c r="BM40" s="1436">
        <f t="shared" si="14"/>
        <v>0</v>
      </c>
      <c r="BN40" s="1495">
        <f t="shared" si="15"/>
        <v>0</v>
      </c>
      <c r="BO40" s="1437">
        <f t="shared" si="59"/>
        <v>0</v>
      </c>
      <c r="BP40" s="1574">
        <f t="shared" si="16"/>
        <v>0</v>
      </c>
      <c r="BQ40" s="1577">
        <f t="shared" si="17"/>
        <v>0</v>
      </c>
      <c r="BR40" s="1576">
        <f t="shared" si="18"/>
        <v>0</v>
      </c>
      <c r="BS40" s="1574">
        <f t="shared" si="19"/>
        <v>0</v>
      </c>
      <c r="BT40" s="1577">
        <f t="shared" si="20"/>
        <v>0</v>
      </c>
      <c r="BU40" s="1576">
        <f t="shared" si="21"/>
        <v>0</v>
      </c>
      <c r="BV40" s="1574">
        <f t="shared" si="22"/>
        <v>0</v>
      </c>
      <c r="BW40" s="1577">
        <f t="shared" si="23"/>
        <v>0</v>
      </c>
      <c r="BX40" s="1576">
        <f t="shared" si="24"/>
        <v>0</v>
      </c>
      <c r="BY40" s="1574">
        <f t="shared" si="25"/>
        <v>0</v>
      </c>
      <c r="BZ40" s="1577">
        <f t="shared" si="26"/>
        <v>0</v>
      </c>
      <c r="CA40" s="1576">
        <f t="shared" si="27"/>
        <v>0</v>
      </c>
      <c r="CB40" s="1495">
        <f t="shared" si="28"/>
        <v>0</v>
      </c>
      <c r="CC40" s="1577">
        <f t="shared" si="29"/>
        <v>0</v>
      </c>
      <c r="CD40" s="1576">
        <f t="shared" si="30"/>
        <v>0</v>
      </c>
      <c r="CE40" s="1495">
        <f t="shared" si="31"/>
        <v>0</v>
      </c>
      <c r="CF40" s="1577">
        <f t="shared" si="32"/>
        <v>0</v>
      </c>
      <c r="CG40" s="1576">
        <f t="shared" si="33"/>
        <v>0</v>
      </c>
      <c r="CH40" s="1495">
        <f t="shared" si="34"/>
        <v>0</v>
      </c>
      <c r="CI40" s="1577">
        <f t="shared" si="35"/>
        <v>0</v>
      </c>
      <c r="CJ40" s="1576">
        <f t="shared" si="36"/>
        <v>0</v>
      </c>
      <c r="CK40" s="1495">
        <f t="shared" si="37"/>
        <v>0</v>
      </c>
      <c r="CL40" s="1577">
        <f t="shared" si="38"/>
        <v>0</v>
      </c>
      <c r="CM40" s="1576">
        <f t="shared" si="39"/>
        <v>0</v>
      </c>
      <c r="CN40" s="1495">
        <f t="shared" si="40"/>
        <v>0</v>
      </c>
      <c r="CO40" s="1577">
        <f t="shared" si="41"/>
        <v>0</v>
      </c>
      <c r="CP40" s="1576">
        <f t="shared" si="42"/>
        <v>0</v>
      </c>
      <c r="CQ40" s="1495">
        <f t="shared" si="43"/>
        <v>0</v>
      </c>
      <c r="CR40" s="1577">
        <f t="shared" si="44"/>
        <v>0</v>
      </c>
      <c r="CS40" s="1576">
        <f t="shared" si="45"/>
        <v>0</v>
      </c>
      <c r="CT40" s="1495">
        <f t="shared" si="46"/>
        <v>0</v>
      </c>
      <c r="CU40" s="1577">
        <f t="shared" si="47"/>
        <v>0</v>
      </c>
      <c r="CV40" s="1576">
        <f t="shared" si="48"/>
        <v>0</v>
      </c>
      <c r="CW40" s="1495">
        <f t="shared" si="49"/>
        <v>0</v>
      </c>
      <c r="CX40" s="1577">
        <f t="shared" si="50"/>
        <v>0</v>
      </c>
      <c r="CY40" s="1576">
        <f t="shared" si="51"/>
        <v>0</v>
      </c>
      <c r="CZ40" s="1574">
        <f t="shared" si="52"/>
        <v>0</v>
      </c>
      <c r="DA40" s="1578">
        <f t="shared" si="54"/>
        <v>0</v>
      </c>
      <c r="DB40" s="1579">
        <f t="shared" si="55"/>
        <v>0</v>
      </c>
      <c r="DC40" s="1578">
        <f t="shared" si="56"/>
        <v>0</v>
      </c>
      <c r="DD40" s="1578">
        <f t="shared" si="56"/>
        <v>0</v>
      </c>
      <c r="DE40" s="1578">
        <f t="shared" si="56"/>
        <v>0</v>
      </c>
      <c r="DF40" s="1578">
        <f t="shared" si="57"/>
        <v>0</v>
      </c>
      <c r="DG40" s="1538"/>
      <c r="DH40" s="1420"/>
      <c r="DJ40" s="1427"/>
      <c r="DK40" s="1427"/>
      <c r="DL40" s="1427"/>
      <c r="DM40" s="1427"/>
      <c r="DN40" s="1427"/>
      <c r="DO40" s="1427"/>
      <c r="DP40" s="1427"/>
      <c r="DQ40" s="1422"/>
      <c r="DR40" s="1605" t="s">
        <v>1602</v>
      </c>
      <c r="DS40" s="1607">
        <f t="shared" ref="DS40:ET40" si="64">MAX(DS15:DS38)</f>
        <v>1</v>
      </c>
      <c r="DT40" s="1607">
        <f t="shared" si="64"/>
        <v>0.05</v>
      </c>
      <c r="DU40" s="1607">
        <f t="shared" si="64"/>
        <v>1</v>
      </c>
      <c r="DV40" s="1607">
        <f t="shared" si="64"/>
        <v>0</v>
      </c>
      <c r="DW40" s="1607">
        <f t="shared" si="64"/>
        <v>1</v>
      </c>
      <c r="DX40" s="1607">
        <f t="shared" si="64"/>
        <v>1</v>
      </c>
      <c r="DY40" s="1607">
        <f t="shared" si="64"/>
        <v>1</v>
      </c>
      <c r="DZ40" s="1607">
        <f t="shared" si="64"/>
        <v>0.25</v>
      </c>
      <c r="EA40" s="1607">
        <f t="shared" si="64"/>
        <v>1</v>
      </c>
      <c r="EB40" s="1607">
        <f t="shared" si="64"/>
        <v>0</v>
      </c>
      <c r="EC40" s="1607">
        <f t="shared" si="64"/>
        <v>1</v>
      </c>
      <c r="ED40" s="1607">
        <f t="shared" si="64"/>
        <v>0</v>
      </c>
      <c r="EE40" s="1607">
        <f t="shared" si="64"/>
        <v>1</v>
      </c>
      <c r="EF40" s="1607">
        <f t="shared" si="64"/>
        <v>0</v>
      </c>
      <c r="EG40" s="1607">
        <f t="shared" si="64"/>
        <v>1</v>
      </c>
      <c r="EH40" s="1607">
        <f t="shared" si="64"/>
        <v>0</v>
      </c>
      <c r="EI40" s="1607">
        <f t="shared" si="64"/>
        <v>1</v>
      </c>
      <c r="EJ40" s="1607">
        <f t="shared" si="64"/>
        <v>1</v>
      </c>
      <c r="EK40" s="1607">
        <f t="shared" si="64"/>
        <v>1</v>
      </c>
      <c r="EL40" s="1607">
        <f t="shared" si="64"/>
        <v>0</v>
      </c>
      <c r="EM40" s="1607">
        <f t="shared" si="64"/>
        <v>1</v>
      </c>
      <c r="EN40" s="1607">
        <f t="shared" si="64"/>
        <v>0</v>
      </c>
      <c r="EO40" s="1607">
        <f t="shared" si="64"/>
        <v>1</v>
      </c>
      <c r="EP40" s="1607">
        <f t="shared" si="64"/>
        <v>0</v>
      </c>
      <c r="EQ40" s="1607">
        <f t="shared" si="64"/>
        <v>1</v>
      </c>
      <c r="ER40" s="1607">
        <f t="shared" si="64"/>
        <v>1</v>
      </c>
      <c r="ES40" s="1607">
        <f t="shared" si="64"/>
        <v>0</v>
      </c>
      <c r="ET40" s="1607">
        <f t="shared" si="64"/>
        <v>0</v>
      </c>
      <c r="EU40" s="1427"/>
    </row>
    <row r="41" spans="1:153" s="1440" customFormat="1" ht="17.25" customHeight="1">
      <c r="A41" s="1603"/>
      <c r="B41" s="1458"/>
      <c r="C41" s="1600" t="s">
        <v>883</v>
      </c>
      <c r="D41" s="1601">
        <f>IFERROR(VLOOKUP($D$31,'Rainfall data'!$B$3:$O$33,'Potable Water Calculator'!O43,FALSE),"")</f>
        <v>5</v>
      </c>
      <c r="E41" s="1601">
        <f>IFERROR(VLOOKUP($D$31,'Rainfall data'!$B$44:$P$74,'Potable Water Calculator'!O43,FALSE),"")</f>
        <v>1</v>
      </c>
      <c r="F41" s="1422"/>
      <c r="G41" s="1422"/>
      <c r="H41" s="1422"/>
      <c r="L41" s="1422"/>
      <c r="M41" s="1422"/>
      <c r="N41" s="1476"/>
      <c r="O41" s="1476">
        <v>6</v>
      </c>
      <c r="P41" s="1430"/>
      <c r="Q41" s="1430"/>
      <c r="R41" s="1430"/>
      <c r="S41" s="1430"/>
      <c r="T41" s="1430"/>
      <c r="U41" s="1430"/>
      <c r="V41" s="1430"/>
      <c r="W41" s="1430"/>
      <c r="X41" s="1430"/>
      <c r="Y41" s="1430"/>
      <c r="Z41" s="1430"/>
      <c r="AA41" s="1430"/>
      <c r="AB41" s="1430"/>
      <c r="AC41" s="1430"/>
      <c r="AD41" s="1430"/>
      <c r="AE41" s="1430"/>
      <c r="AF41" s="1430"/>
      <c r="AG41" s="1430"/>
      <c r="AH41" s="1430"/>
      <c r="AI41" s="1430"/>
      <c r="AJ41" s="1430"/>
      <c r="AK41" s="1430"/>
      <c r="AL41" s="1430"/>
      <c r="AM41" s="1430"/>
      <c r="AN41" s="1430"/>
      <c r="AO41" s="1430"/>
      <c r="AP41" s="1430"/>
      <c r="AQ41" s="1430"/>
      <c r="AR41" s="1430"/>
      <c r="AS41" s="1430"/>
      <c r="AT41" s="1430"/>
      <c r="AU41" s="1430"/>
      <c r="AV41" s="1430"/>
      <c r="AW41" s="1430"/>
      <c r="AX41" s="1430"/>
      <c r="AY41" s="1430"/>
      <c r="AZ41" s="1430"/>
      <c r="BA41" s="1430"/>
      <c r="BB41" s="1430"/>
      <c r="BC41" s="1430"/>
      <c r="BD41" s="1449"/>
      <c r="BE41" s="1571" t="s">
        <v>1208</v>
      </c>
      <c r="BF41" s="1436">
        <v>21</v>
      </c>
      <c r="BG41" s="1436">
        <v>22</v>
      </c>
      <c r="BH41" s="1436">
        <v>5</v>
      </c>
      <c r="BI41" s="1495" t="b">
        <f t="shared" si="53"/>
        <v>1</v>
      </c>
      <c r="BJ41" s="1450" t="b">
        <f t="shared" si="58"/>
        <v>0</v>
      </c>
      <c r="BK41" s="1572">
        <f t="shared" si="13"/>
        <v>0</v>
      </c>
      <c r="BL41" s="1581">
        <f>IF(SUM(BL$20:BL40,BK41)&gt;$BJ$4,0,BK41)</f>
        <v>0</v>
      </c>
      <c r="BM41" s="1436">
        <f t="shared" si="14"/>
        <v>0</v>
      </c>
      <c r="BN41" s="1495">
        <f t="shared" si="15"/>
        <v>0</v>
      </c>
      <c r="BO41" s="1437">
        <f t="shared" si="59"/>
        <v>0</v>
      </c>
      <c r="BP41" s="1574">
        <f t="shared" si="16"/>
        <v>0</v>
      </c>
      <c r="BQ41" s="1577">
        <f t="shared" si="17"/>
        <v>0</v>
      </c>
      <c r="BR41" s="1576">
        <f t="shared" si="18"/>
        <v>0</v>
      </c>
      <c r="BS41" s="1574">
        <f t="shared" si="19"/>
        <v>0</v>
      </c>
      <c r="BT41" s="1577">
        <f t="shared" si="20"/>
        <v>0</v>
      </c>
      <c r="BU41" s="1576">
        <f t="shared" si="21"/>
        <v>0</v>
      </c>
      <c r="BV41" s="1574">
        <f t="shared" si="22"/>
        <v>0</v>
      </c>
      <c r="BW41" s="1577">
        <f t="shared" si="23"/>
        <v>0</v>
      </c>
      <c r="BX41" s="1576">
        <f t="shared" si="24"/>
        <v>0</v>
      </c>
      <c r="BY41" s="1574">
        <f t="shared" si="25"/>
        <v>0</v>
      </c>
      <c r="BZ41" s="1577">
        <f t="shared" si="26"/>
        <v>0</v>
      </c>
      <c r="CA41" s="1576">
        <f t="shared" si="27"/>
        <v>0</v>
      </c>
      <c r="CB41" s="1495">
        <f t="shared" si="28"/>
        <v>0</v>
      </c>
      <c r="CC41" s="1577">
        <f t="shared" si="29"/>
        <v>0</v>
      </c>
      <c r="CD41" s="1576">
        <f t="shared" si="30"/>
        <v>0</v>
      </c>
      <c r="CE41" s="1495">
        <f t="shared" si="31"/>
        <v>0</v>
      </c>
      <c r="CF41" s="1577">
        <f t="shared" si="32"/>
        <v>0</v>
      </c>
      <c r="CG41" s="1576">
        <f t="shared" si="33"/>
        <v>0</v>
      </c>
      <c r="CH41" s="1495">
        <f t="shared" si="34"/>
        <v>0</v>
      </c>
      <c r="CI41" s="1577">
        <f t="shared" si="35"/>
        <v>0</v>
      </c>
      <c r="CJ41" s="1576">
        <f t="shared" si="36"/>
        <v>0</v>
      </c>
      <c r="CK41" s="1495">
        <f t="shared" si="37"/>
        <v>0</v>
      </c>
      <c r="CL41" s="1577">
        <f t="shared" si="38"/>
        <v>0</v>
      </c>
      <c r="CM41" s="1576">
        <f t="shared" si="39"/>
        <v>0</v>
      </c>
      <c r="CN41" s="1495">
        <f t="shared" si="40"/>
        <v>0</v>
      </c>
      <c r="CO41" s="1577">
        <f t="shared" si="41"/>
        <v>0</v>
      </c>
      <c r="CP41" s="1576">
        <f t="shared" si="42"/>
        <v>0</v>
      </c>
      <c r="CQ41" s="1495">
        <f t="shared" si="43"/>
        <v>0</v>
      </c>
      <c r="CR41" s="1577">
        <f t="shared" si="44"/>
        <v>0</v>
      </c>
      <c r="CS41" s="1576">
        <f t="shared" si="45"/>
        <v>0</v>
      </c>
      <c r="CT41" s="1495">
        <f t="shared" si="46"/>
        <v>0</v>
      </c>
      <c r="CU41" s="1577">
        <f t="shared" si="47"/>
        <v>0</v>
      </c>
      <c r="CV41" s="1576">
        <f t="shared" si="48"/>
        <v>0</v>
      </c>
      <c r="CW41" s="1495">
        <f t="shared" si="49"/>
        <v>0</v>
      </c>
      <c r="CX41" s="1577">
        <f t="shared" si="50"/>
        <v>0</v>
      </c>
      <c r="CY41" s="1576">
        <f t="shared" si="51"/>
        <v>0</v>
      </c>
      <c r="CZ41" s="1574">
        <f t="shared" si="52"/>
        <v>0</v>
      </c>
      <c r="DA41" s="1578">
        <f t="shared" si="54"/>
        <v>0</v>
      </c>
      <c r="DB41" s="1579">
        <f t="shared" si="55"/>
        <v>0</v>
      </c>
      <c r="DC41" s="1578">
        <f t="shared" si="56"/>
        <v>0</v>
      </c>
      <c r="DD41" s="1578">
        <f t="shared" si="56"/>
        <v>0</v>
      </c>
      <c r="DE41" s="1578">
        <f t="shared" si="56"/>
        <v>0</v>
      </c>
      <c r="DF41" s="1578">
        <f t="shared" si="57"/>
        <v>0</v>
      </c>
      <c r="DG41" s="1538"/>
      <c r="DH41" s="1420"/>
      <c r="DJ41" s="1427"/>
      <c r="DK41" s="1427"/>
      <c r="DL41" s="1427"/>
      <c r="DM41" s="1427"/>
      <c r="DN41" s="1427"/>
      <c r="DO41" s="1427"/>
      <c r="DP41" s="1427"/>
      <c r="DQ41" s="1422"/>
      <c r="DR41" s="1428"/>
      <c r="DS41" s="1428"/>
      <c r="DT41" s="1428"/>
      <c r="DU41" s="1428"/>
      <c r="DV41" s="1428"/>
      <c r="DW41" s="1428"/>
      <c r="DX41" s="1428"/>
      <c r="DY41" s="1428"/>
      <c r="DZ41" s="1428"/>
      <c r="EA41" s="1428"/>
      <c r="EB41" s="1428"/>
      <c r="EC41" s="1428"/>
      <c r="ED41" s="1428"/>
      <c r="EE41" s="1427"/>
      <c r="EF41" s="1427"/>
      <c r="EG41" s="1427"/>
      <c r="EH41" s="1427"/>
      <c r="EI41" s="1427"/>
      <c r="EJ41" s="1427"/>
      <c r="EK41" s="1427"/>
      <c r="EL41" s="1427"/>
      <c r="EM41" s="1427"/>
      <c r="EN41" s="1427"/>
      <c r="EO41" s="1427"/>
      <c r="EP41" s="1427"/>
      <c r="EQ41" s="1427"/>
      <c r="ER41" s="1427"/>
      <c r="ES41" s="1427"/>
      <c r="ET41" s="1427"/>
      <c r="EU41" s="1427"/>
      <c r="EV41" s="1455"/>
      <c r="EW41" s="1455"/>
    </row>
    <row r="42" spans="1:153" s="1440" customFormat="1" ht="17.25" customHeight="1">
      <c r="A42" s="1603"/>
      <c r="B42" s="1458"/>
      <c r="C42" s="1600" t="s">
        <v>884</v>
      </c>
      <c r="D42" s="1601">
        <f>IFERROR(VLOOKUP($D$31,'Rainfall data'!$B$3:$O$33,'Potable Water Calculator'!O44,FALSE),"")</f>
        <v>3</v>
      </c>
      <c r="E42" s="1601">
        <f>IFERROR(VLOOKUP($D$31,'Rainfall data'!$B$44:$P$74,'Potable Water Calculator'!O44,FALSE),"")</f>
        <v>0</v>
      </c>
      <c r="F42" s="1422"/>
      <c r="G42" s="1422"/>
      <c r="H42" s="1422"/>
      <c r="L42" s="1422"/>
      <c r="M42" s="1422"/>
      <c r="N42" s="1476"/>
      <c r="O42" s="1476">
        <v>7</v>
      </c>
      <c r="P42" s="1430"/>
      <c r="Q42" s="1430"/>
      <c r="R42" s="1430"/>
      <c r="S42" s="1430"/>
      <c r="T42" s="1430"/>
      <c r="U42" s="1430"/>
      <c r="V42" s="1430"/>
      <c r="W42" s="1430"/>
      <c r="X42" s="1430"/>
      <c r="Y42" s="1430"/>
      <c r="Z42" s="1430"/>
      <c r="AA42" s="1430"/>
      <c r="AB42" s="1430"/>
      <c r="AC42" s="1430"/>
      <c r="AD42" s="1430"/>
      <c r="AE42" s="1430"/>
      <c r="AF42" s="1430"/>
      <c r="AG42" s="1430"/>
      <c r="AH42" s="1430"/>
      <c r="AI42" s="1430"/>
      <c r="AJ42" s="1430"/>
      <c r="AK42" s="1430"/>
      <c r="AL42" s="1430"/>
      <c r="AM42" s="1430"/>
      <c r="AN42" s="1430"/>
      <c r="AO42" s="1430"/>
      <c r="AP42" s="1430"/>
      <c r="AQ42" s="1430"/>
      <c r="AR42" s="1430"/>
      <c r="AS42" s="1430"/>
      <c r="AT42" s="1430"/>
      <c r="AU42" s="1430"/>
      <c r="AV42" s="1430"/>
      <c r="AW42" s="1430"/>
      <c r="AX42" s="1430"/>
      <c r="AY42" s="1430"/>
      <c r="AZ42" s="1430"/>
      <c r="BA42" s="1430"/>
      <c r="BB42" s="1430"/>
      <c r="BC42" s="1430"/>
      <c r="BD42" s="1449"/>
      <c r="BE42" s="1571" t="s">
        <v>1208</v>
      </c>
      <c r="BF42" s="1436">
        <v>21</v>
      </c>
      <c r="BG42" s="1436">
        <v>23</v>
      </c>
      <c r="BH42" s="1436">
        <v>6</v>
      </c>
      <c r="BI42" s="1495" t="b">
        <f t="shared" si="53"/>
        <v>0</v>
      </c>
      <c r="BJ42" s="1450" t="b">
        <f t="shared" si="58"/>
        <v>0</v>
      </c>
      <c r="BK42" s="1572">
        <f t="shared" si="13"/>
        <v>0</v>
      </c>
      <c r="BL42" s="1581">
        <f>IF(SUM(BL$20:BL41,BK42)&gt;$BJ$4,0,BK42)</f>
        <v>0</v>
      </c>
      <c r="BM42" s="1436">
        <f t="shared" si="14"/>
        <v>0</v>
      </c>
      <c r="BN42" s="1495">
        <f t="shared" si="15"/>
        <v>0</v>
      </c>
      <c r="BO42" s="1437">
        <f t="shared" si="59"/>
        <v>0</v>
      </c>
      <c r="BP42" s="1574">
        <f t="shared" si="16"/>
        <v>0</v>
      </c>
      <c r="BQ42" s="1577">
        <f t="shared" si="17"/>
        <v>0</v>
      </c>
      <c r="BR42" s="1576">
        <f t="shared" si="18"/>
        <v>0</v>
      </c>
      <c r="BS42" s="1574">
        <f t="shared" si="19"/>
        <v>0</v>
      </c>
      <c r="BT42" s="1577">
        <f t="shared" si="20"/>
        <v>0</v>
      </c>
      <c r="BU42" s="1576">
        <f t="shared" si="21"/>
        <v>0</v>
      </c>
      <c r="BV42" s="1574">
        <f t="shared" si="22"/>
        <v>0</v>
      </c>
      <c r="BW42" s="1577">
        <f t="shared" si="23"/>
        <v>0</v>
      </c>
      <c r="BX42" s="1576">
        <f t="shared" si="24"/>
        <v>0</v>
      </c>
      <c r="BY42" s="1574">
        <f t="shared" si="25"/>
        <v>0</v>
      </c>
      <c r="BZ42" s="1577">
        <f t="shared" si="26"/>
        <v>0</v>
      </c>
      <c r="CA42" s="1576">
        <f t="shared" si="27"/>
        <v>0</v>
      </c>
      <c r="CB42" s="1495">
        <f t="shared" si="28"/>
        <v>0</v>
      </c>
      <c r="CC42" s="1577">
        <f t="shared" si="29"/>
        <v>0</v>
      </c>
      <c r="CD42" s="1576">
        <f t="shared" si="30"/>
        <v>0</v>
      </c>
      <c r="CE42" s="1495">
        <f t="shared" si="31"/>
        <v>0</v>
      </c>
      <c r="CF42" s="1577">
        <f t="shared" si="32"/>
        <v>0</v>
      </c>
      <c r="CG42" s="1576">
        <f t="shared" si="33"/>
        <v>0</v>
      </c>
      <c r="CH42" s="1495">
        <f t="shared" si="34"/>
        <v>0</v>
      </c>
      <c r="CI42" s="1577">
        <f t="shared" si="35"/>
        <v>0</v>
      </c>
      <c r="CJ42" s="1576">
        <f t="shared" si="36"/>
        <v>0</v>
      </c>
      <c r="CK42" s="1495">
        <f t="shared" si="37"/>
        <v>0</v>
      </c>
      <c r="CL42" s="1577">
        <f t="shared" si="38"/>
        <v>0</v>
      </c>
      <c r="CM42" s="1576">
        <f t="shared" si="39"/>
        <v>0</v>
      </c>
      <c r="CN42" s="1495">
        <f t="shared" si="40"/>
        <v>0</v>
      </c>
      <c r="CO42" s="1577">
        <f t="shared" si="41"/>
        <v>0</v>
      </c>
      <c r="CP42" s="1576">
        <f t="shared" si="42"/>
        <v>0</v>
      </c>
      <c r="CQ42" s="1495">
        <f t="shared" si="43"/>
        <v>0</v>
      </c>
      <c r="CR42" s="1577">
        <f t="shared" si="44"/>
        <v>0</v>
      </c>
      <c r="CS42" s="1576">
        <f t="shared" si="45"/>
        <v>0</v>
      </c>
      <c r="CT42" s="1495">
        <f t="shared" si="46"/>
        <v>0</v>
      </c>
      <c r="CU42" s="1577">
        <f t="shared" si="47"/>
        <v>0</v>
      </c>
      <c r="CV42" s="1576">
        <f t="shared" si="48"/>
        <v>0</v>
      </c>
      <c r="CW42" s="1495">
        <f t="shared" si="49"/>
        <v>0</v>
      </c>
      <c r="CX42" s="1577">
        <f t="shared" si="50"/>
        <v>0</v>
      </c>
      <c r="CY42" s="1576">
        <f t="shared" si="51"/>
        <v>0</v>
      </c>
      <c r="CZ42" s="1574">
        <f t="shared" si="52"/>
        <v>0</v>
      </c>
      <c r="DA42" s="1578">
        <f t="shared" si="54"/>
        <v>0</v>
      </c>
      <c r="DB42" s="1579">
        <f t="shared" si="55"/>
        <v>0</v>
      </c>
      <c r="DC42" s="1578">
        <f t="shared" si="56"/>
        <v>0</v>
      </c>
      <c r="DD42" s="1578">
        <f t="shared" si="56"/>
        <v>0</v>
      </c>
      <c r="DE42" s="1578">
        <f t="shared" si="56"/>
        <v>0</v>
      </c>
      <c r="DF42" s="1578">
        <f t="shared" si="57"/>
        <v>0</v>
      </c>
      <c r="DG42" s="1538"/>
      <c r="DH42" s="1420"/>
      <c r="DJ42" s="1427"/>
      <c r="DK42" s="1427"/>
      <c r="DL42" s="1427"/>
      <c r="DM42" s="1427"/>
      <c r="DN42" s="1427"/>
      <c r="DO42" s="1427"/>
      <c r="DP42" s="1427"/>
      <c r="DQ42" s="1422"/>
      <c r="DR42" s="1428"/>
      <c r="DS42" s="1428"/>
      <c r="DT42" s="1428"/>
      <c r="DU42" s="1428"/>
      <c r="DV42" s="1428"/>
      <c r="DW42" s="1428"/>
      <c r="DX42" s="1428"/>
      <c r="DY42" s="1428"/>
      <c r="DZ42" s="1428"/>
      <c r="EA42" s="1428"/>
      <c r="EB42" s="1428"/>
      <c r="EC42" s="1428"/>
      <c r="ED42" s="1428"/>
      <c r="EE42" s="1427"/>
      <c r="EF42" s="1427"/>
      <c r="EG42" s="1427"/>
      <c r="EH42" s="1427"/>
      <c r="EI42" s="1427"/>
      <c r="EJ42" s="1427"/>
      <c r="EK42" s="1427"/>
      <c r="EL42" s="1427"/>
      <c r="EM42" s="1427"/>
      <c r="EN42" s="1427"/>
      <c r="EO42" s="1427"/>
      <c r="EP42" s="1427"/>
      <c r="EQ42" s="1427"/>
      <c r="ER42" s="1427"/>
      <c r="ES42" s="1427"/>
      <c r="ET42" s="1427"/>
      <c r="EU42" s="1427"/>
      <c r="EV42" s="1455"/>
      <c r="EW42" s="1455"/>
    </row>
    <row r="43" spans="1:153" s="1440" customFormat="1" ht="17.25" customHeight="1">
      <c r="A43" s="1603"/>
      <c r="B43" s="1458"/>
      <c r="C43" s="1600" t="s">
        <v>885</v>
      </c>
      <c r="D43" s="1601">
        <f>IFERROR(VLOOKUP($D$31,'Rainfall data'!$B$3:$O$33,'Potable Water Calculator'!O45,FALSE),"")</f>
        <v>6</v>
      </c>
      <c r="E43" s="1601">
        <f>IFERROR(VLOOKUP($D$31,'Rainfall data'!$B$44:$P$74,'Potable Water Calculator'!O45,FALSE),"")</f>
        <v>1</v>
      </c>
      <c r="F43" s="1422"/>
      <c r="G43" s="1422"/>
      <c r="H43" s="1422"/>
      <c r="L43" s="1422"/>
      <c r="M43" s="1422"/>
      <c r="N43" s="1476"/>
      <c r="O43" s="1476">
        <v>8</v>
      </c>
      <c r="P43" s="1430"/>
      <c r="Q43" s="1430"/>
      <c r="R43" s="1430"/>
      <c r="S43" s="1430"/>
      <c r="T43" s="1430"/>
      <c r="U43" s="1430"/>
      <c r="V43" s="1430"/>
      <c r="W43" s="1430"/>
      <c r="X43" s="1430"/>
      <c r="Y43" s="1430"/>
      <c r="Z43" s="1430"/>
      <c r="AA43" s="1430"/>
      <c r="AB43" s="1430"/>
      <c r="AC43" s="1430"/>
      <c r="AD43" s="1430"/>
      <c r="AE43" s="1430"/>
      <c r="AF43" s="1430"/>
      <c r="AG43" s="1430"/>
      <c r="AH43" s="1430"/>
      <c r="AI43" s="1430"/>
      <c r="AJ43" s="1430"/>
      <c r="AK43" s="1430"/>
      <c r="AL43" s="1430"/>
      <c r="AM43" s="1430"/>
      <c r="AN43" s="1430"/>
      <c r="AO43" s="1430"/>
      <c r="AP43" s="1430"/>
      <c r="AQ43" s="1430"/>
      <c r="AR43" s="1430"/>
      <c r="AS43" s="1430"/>
      <c r="AT43" s="1430"/>
      <c r="AU43" s="1430"/>
      <c r="AV43" s="1430"/>
      <c r="AW43" s="1430"/>
      <c r="AX43" s="1430"/>
      <c r="AY43" s="1430"/>
      <c r="AZ43" s="1430"/>
      <c r="BA43" s="1430"/>
      <c r="BB43" s="1430"/>
      <c r="BC43" s="1430"/>
      <c r="BD43" s="1449"/>
      <c r="BE43" s="1571" t="s">
        <v>1208</v>
      </c>
      <c r="BF43" s="1436">
        <v>21</v>
      </c>
      <c r="BG43" s="1436">
        <v>24</v>
      </c>
      <c r="BH43" s="1436">
        <v>7</v>
      </c>
      <c r="BI43" s="1495" t="b">
        <f t="shared" si="53"/>
        <v>0</v>
      </c>
      <c r="BJ43" s="1450" t="b">
        <f t="shared" si="58"/>
        <v>1</v>
      </c>
      <c r="BK43" s="1572">
        <f t="shared" si="13"/>
        <v>7.4545454545454541</v>
      </c>
      <c r="BL43" s="1581">
        <f>IF(SUM(BL$20:BL42,BK43)&gt;$BJ$4,0,BK43)</f>
        <v>7.4545454545454541</v>
      </c>
      <c r="BM43" s="1436">
        <f t="shared" si="14"/>
        <v>0</v>
      </c>
      <c r="BN43" s="1495">
        <f t="shared" si="15"/>
        <v>0</v>
      </c>
      <c r="BO43" s="1437">
        <f t="shared" si="59"/>
        <v>0</v>
      </c>
      <c r="BP43" s="1574">
        <f t="shared" si="16"/>
        <v>0</v>
      </c>
      <c r="BQ43" s="1577">
        <f t="shared" si="17"/>
        <v>0</v>
      </c>
      <c r="BR43" s="1576">
        <f t="shared" si="18"/>
        <v>0</v>
      </c>
      <c r="BS43" s="1574">
        <f t="shared" si="19"/>
        <v>0</v>
      </c>
      <c r="BT43" s="1577">
        <f t="shared" si="20"/>
        <v>0</v>
      </c>
      <c r="BU43" s="1576">
        <f t="shared" si="21"/>
        <v>0</v>
      </c>
      <c r="BV43" s="1574">
        <f t="shared" si="22"/>
        <v>0</v>
      </c>
      <c r="BW43" s="1577">
        <f t="shared" si="23"/>
        <v>0</v>
      </c>
      <c r="BX43" s="1576">
        <f t="shared" si="24"/>
        <v>0</v>
      </c>
      <c r="BY43" s="1574">
        <f t="shared" si="25"/>
        <v>0</v>
      </c>
      <c r="BZ43" s="1577">
        <f t="shared" si="26"/>
        <v>0</v>
      </c>
      <c r="CA43" s="1576">
        <f t="shared" si="27"/>
        <v>0</v>
      </c>
      <c r="CB43" s="1495">
        <f t="shared" si="28"/>
        <v>0</v>
      </c>
      <c r="CC43" s="1577">
        <f t="shared" si="29"/>
        <v>0</v>
      </c>
      <c r="CD43" s="1576">
        <f t="shared" si="30"/>
        <v>0</v>
      </c>
      <c r="CE43" s="1495">
        <f t="shared" si="31"/>
        <v>0</v>
      </c>
      <c r="CF43" s="1577">
        <f t="shared" si="32"/>
        <v>0</v>
      </c>
      <c r="CG43" s="1576">
        <f t="shared" si="33"/>
        <v>0</v>
      </c>
      <c r="CH43" s="1495">
        <f t="shared" si="34"/>
        <v>0</v>
      </c>
      <c r="CI43" s="1577">
        <f t="shared" si="35"/>
        <v>0</v>
      </c>
      <c r="CJ43" s="1576">
        <f t="shared" si="36"/>
        <v>0</v>
      </c>
      <c r="CK43" s="1495">
        <f t="shared" si="37"/>
        <v>0</v>
      </c>
      <c r="CL43" s="1577">
        <f t="shared" si="38"/>
        <v>0</v>
      </c>
      <c r="CM43" s="1576">
        <f t="shared" si="39"/>
        <v>0</v>
      </c>
      <c r="CN43" s="1495">
        <f t="shared" si="40"/>
        <v>0</v>
      </c>
      <c r="CO43" s="1577">
        <f t="shared" si="41"/>
        <v>0</v>
      </c>
      <c r="CP43" s="1576">
        <f t="shared" si="42"/>
        <v>0</v>
      </c>
      <c r="CQ43" s="1495">
        <f t="shared" si="43"/>
        <v>0</v>
      </c>
      <c r="CR43" s="1577">
        <f t="shared" si="44"/>
        <v>0</v>
      </c>
      <c r="CS43" s="1576">
        <f t="shared" si="45"/>
        <v>0</v>
      </c>
      <c r="CT43" s="1495">
        <f t="shared" si="46"/>
        <v>0</v>
      </c>
      <c r="CU43" s="1577">
        <f t="shared" si="47"/>
        <v>0</v>
      </c>
      <c r="CV43" s="1576">
        <f t="shared" si="48"/>
        <v>0</v>
      </c>
      <c r="CW43" s="1495">
        <f t="shared" si="49"/>
        <v>0</v>
      </c>
      <c r="CX43" s="1577">
        <f t="shared" si="50"/>
        <v>0</v>
      </c>
      <c r="CY43" s="1576">
        <f t="shared" si="51"/>
        <v>0</v>
      </c>
      <c r="CZ43" s="1574">
        <f t="shared" si="52"/>
        <v>0</v>
      </c>
      <c r="DA43" s="1578">
        <f t="shared" si="54"/>
        <v>0</v>
      </c>
      <c r="DB43" s="1579">
        <f t="shared" si="55"/>
        <v>0</v>
      </c>
      <c r="DC43" s="1578">
        <f t="shared" si="56"/>
        <v>0</v>
      </c>
      <c r="DD43" s="1578">
        <f t="shared" si="56"/>
        <v>0</v>
      </c>
      <c r="DE43" s="1578">
        <f t="shared" si="56"/>
        <v>0</v>
      </c>
      <c r="DF43" s="1578">
        <f t="shared" si="57"/>
        <v>0</v>
      </c>
      <c r="DG43" s="1538"/>
      <c r="DH43" s="1538"/>
      <c r="DJ43" s="1427"/>
      <c r="DK43" s="1427"/>
      <c r="DL43" s="1427"/>
      <c r="DM43" s="1427"/>
      <c r="DN43" s="1427"/>
      <c r="DO43" s="1427"/>
      <c r="DP43" s="1427"/>
      <c r="DQ43" s="1422"/>
      <c r="DR43" s="1427"/>
      <c r="DS43" s="1427"/>
      <c r="DT43" s="1427"/>
      <c r="DU43" s="1427"/>
      <c r="DV43" s="1427"/>
      <c r="DW43" s="1427"/>
      <c r="DX43" s="1427"/>
      <c r="DY43" s="1427"/>
      <c r="DZ43" s="1427"/>
      <c r="EA43" s="1427"/>
      <c r="EB43" s="1427"/>
      <c r="EC43" s="1427"/>
      <c r="ED43" s="1427"/>
      <c r="EE43" s="1427"/>
      <c r="EF43" s="1427"/>
      <c r="EG43" s="1427"/>
      <c r="EH43" s="1427"/>
      <c r="EI43" s="1427"/>
      <c r="EJ43" s="1427"/>
      <c r="EK43" s="1427"/>
      <c r="EL43" s="1427"/>
      <c r="EM43" s="1427"/>
      <c r="EN43" s="1427"/>
      <c r="EO43" s="1427"/>
      <c r="EP43" s="1427"/>
      <c r="EQ43" s="1427"/>
      <c r="ER43" s="1427"/>
      <c r="ES43" s="1427"/>
      <c r="ET43" s="1427"/>
      <c r="EU43" s="1427"/>
      <c r="EV43" s="1455"/>
      <c r="EW43" s="1455"/>
    </row>
    <row r="44" spans="1:153" s="1440" customFormat="1" ht="17.25" customHeight="1">
      <c r="A44" s="1603"/>
      <c r="B44" s="1458"/>
      <c r="C44" s="1600" t="s">
        <v>802</v>
      </c>
      <c r="D44" s="1601">
        <f>IFERROR(VLOOKUP($D$31,'Rainfall data'!$B$3:$O$33,'Potable Water Calculator'!O46,FALSE),"")</f>
        <v>17</v>
      </c>
      <c r="E44" s="1601">
        <f>IFERROR(VLOOKUP($D$31,'Rainfall data'!$B$44:$P$74,'Potable Water Calculator'!O46,FALSE),"")</f>
        <v>2</v>
      </c>
      <c r="F44" s="1422"/>
      <c r="G44" s="1422"/>
      <c r="H44" s="1422"/>
      <c r="L44" s="1422"/>
      <c r="M44" s="1422"/>
      <c r="N44" s="1476"/>
      <c r="O44" s="1476">
        <v>9</v>
      </c>
      <c r="P44" s="1430"/>
      <c r="Q44" s="1430"/>
      <c r="R44" s="1430"/>
      <c r="S44" s="1430"/>
      <c r="T44" s="1430"/>
      <c r="U44" s="1430"/>
      <c r="V44" s="1430"/>
      <c r="W44" s="1430"/>
      <c r="X44" s="1430"/>
      <c r="Y44" s="1430"/>
      <c r="Z44" s="1430"/>
      <c r="AA44" s="1430"/>
      <c r="AB44" s="1430"/>
      <c r="AC44" s="1430"/>
      <c r="AD44" s="1430"/>
      <c r="AE44" s="1430"/>
      <c r="AF44" s="1430"/>
      <c r="AG44" s="1430"/>
      <c r="AH44" s="1430"/>
      <c r="AI44" s="1430"/>
      <c r="AJ44" s="1430"/>
      <c r="AK44" s="1430"/>
      <c r="AL44" s="1430"/>
      <c r="AM44" s="1430"/>
      <c r="AN44" s="1430"/>
      <c r="AO44" s="1430"/>
      <c r="AP44" s="1430"/>
      <c r="AQ44" s="1430"/>
      <c r="AR44" s="1430"/>
      <c r="AS44" s="1430"/>
      <c r="AT44" s="1430"/>
      <c r="AU44" s="1430"/>
      <c r="AV44" s="1430"/>
      <c r="AW44" s="1430"/>
      <c r="AX44" s="1430"/>
      <c r="AY44" s="1430"/>
      <c r="AZ44" s="1430"/>
      <c r="BA44" s="1430"/>
      <c r="BB44" s="1430"/>
      <c r="BC44" s="1430"/>
      <c r="BD44" s="1449"/>
      <c r="BE44" s="1571" t="s">
        <v>1208</v>
      </c>
      <c r="BF44" s="1436">
        <v>21</v>
      </c>
      <c r="BG44" s="1436">
        <v>25</v>
      </c>
      <c r="BH44" s="1436">
        <v>1</v>
      </c>
      <c r="BI44" s="1495" t="b">
        <f t="shared" si="53"/>
        <v>1</v>
      </c>
      <c r="BJ44" s="1450" t="b">
        <f t="shared" si="58"/>
        <v>0</v>
      </c>
      <c r="BK44" s="1572">
        <f t="shared" si="13"/>
        <v>0</v>
      </c>
      <c r="BL44" s="1581">
        <f>IF(SUM(BL$20:BL43,BK44)&gt;$BJ$4,0,BK44)</f>
        <v>0</v>
      </c>
      <c r="BM44" s="1436">
        <f t="shared" si="14"/>
        <v>0</v>
      </c>
      <c r="BN44" s="1495">
        <f t="shared" si="15"/>
        <v>0</v>
      </c>
      <c r="BO44" s="1437">
        <f t="shared" si="59"/>
        <v>0</v>
      </c>
      <c r="BP44" s="1574">
        <f t="shared" si="16"/>
        <v>0</v>
      </c>
      <c r="BQ44" s="1577">
        <f t="shared" si="17"/>
        <v>0</v>
      </c>
      <c r="BR44" s="1576">
        <f t="shared" si="18"/>
        <v>0</v>
      </c>
      <c r="BS44" s="1574">
        <f t="shared" si="19"/>
        <v>0</v>
      </c>
      <c r="BT44" s="1577">
        <f t="shared" si="20"/>
        <v>0</v>
      </c>
      <c r="BU44" s="1576">
        <f t="shared" si="21"/>
        <v>0</v>
      </c>
      <c r="BV44" s="1574">
        <f t="shared" si="22"/>
        <v>0</v>
      </c>
      <c r="BW44" s="1577">
        <f t="shared" si="23"/>
        <v>0</v>
      </c>
      <c r="BX44" s="1576">
        <f t="shared" si="24"/>
        <v>0</v>
      </c>
      <c r="BY44" s="1574">
        <f t="shared" si="25"/>
        <v>0</v>
      </c>
      <c r="BZ44" s="1577">
        <f t="shared" si="26"/>
        <v>0</v>
      </c>
      <c r="CA44" s="1576">
        <f t="shared" si="27"/>
        <v>0</v>
      </c>
      <c r="CB44" s="1495">
        <f t="shared" si="28"/>
        <v>0</v>
      </c>
      <c r="CC44" s="1577">
        <f t="shared" si="29"/>
        <v>0</v>
      </c>
      <c r="CD44" s="1576">
        <f t="shared" si="30"/>
        <v>0</v>
      </c>
      <c r="CE44" s="1495">
        <f t="shared" si="31"/>
        <v>0</v>
      </c>
      <c r="CF44" s="1577">
        <f t="shared" si="32"/>
        <v>0</v>
      </c>
      <c r="CG44" s="1576">
        <f t="shared" si="33"/>
        <v>0</v>
      </c>
      <c r="CH44" s="1495">
        <f t="shared" si="34"/>
        <v>0</v>
      </c>
      <c r="CI44" s="1577">
        <f t="shared" si="35"/>
        <v>0</v>
      </c>
      <c r="CJ44" s="1576">
        <f t="shared" si="36"/>
        <v>0</v>
      </c>
      <c r="CK44" s="1495">
        <f t="shared" si="37"/>
        <v>0</v>
      </c>
      <c r="CL44" s="1577">
        <f t="shared" si="38"/>
        <v>0</v>
      </c>
      <c r="CM44" s="1576">
        <f t="shared" si="39"/>
        <v>0</v>
      </c>
      <c r="CN44" s="1495">
        <f t="shared" si="40"/>
        <v>0</v>
      </c>
      <c r="CO44" s="1577">
        <f t="shared" si="41"/>
        <v>0</v>
      </c>
      <c r="CP44" s="1576">
        <f t="shared" si="42"/>
        <v>0</v>
      </c>
      <c r="CQ44" s="1495">
        <f t="shared" si="43"/>
        <v>0</v>
      </c>
      <c r="CR44" s="1577">
        <f t="shared" si="44"/>
        <v>0</v>
      </c>
      <c r="CS44" s="1576">
        <f t="shared" si="45"/>
        <v>0</v>
      </c>
      <c r="CT44" s="1495">
        <f t="shared" si="46"/>
        <v>0</v>
      </c>
      <c r="CU44" s="1577">
        <f t="shared" si="47"/>
        <v>0</v>
      </c>
      <c r="CV44" s="1576">
        <f t="shared" si="48"/>
        <v>0</v>
      </c>
      <c r="CW44" s="1495">
        <f t="shared" si="49"/>
        <v>0</v>
      </c>
      <c r="CX44" s="1577">
        <f t="shared" si="50"/>
        <v>0</v>
      </c>
      <c r="CY44" s="1576">
        <f t="shared" si="51"/>
        <v>0</v>
      </c>
      <c r="CZ44" s="1574">
        <f t="shared" si="52"/>
        <v>0</v>
      </c>
      <c r="DA44" s="1578">
        <f t="shared" si="54"/>
        <v>0</v>
      </c>
      <c r="DB44" s="1579">
        <f t="shared" si="55"/>
        <v>0</v>
      </c>
      <c r="DC44" s="1578">
        <f t="shared" si="56"/>
        <v>0</v>
      </c>
      <c r="DD44" s="1578">
        <f t="shared" si="56"/>
        <v>0</v>
      </c>
      <c r="DE44" s="1578">
        <f t="shared" si="56"/>
        <v>0</v>
      </c>
      <c r="DF44" s="1578">
        <f t="shared" si="57"/>
        <v>0</v>
      </c>
      <c r="DG44" s="1538"/>
      <c r="DH44" s="1538"/>
      <c r="DJ44" s="1427"/>
      <c r="DK44" s="1427"/>
      <c r="DL44" s="1427"/>
      <c r="DM44" s="1427"/>
      <c r="DN44" s="1427"/>
      <c r="DO44" s="1427"/>
      <c r="DP44" s="1427"/>
      <c r="DQ44" s="1422"/>
      <c r="DR44" s="1428"/>
      <c r="DS44" s="1428"/>
      <c r="DT44" s="1428"/>
      <c r="DU44" s="1428"/>
      <c r="DV44" s="1428"/>
      <c r="DW44" s="1428"/>
      <c r="DX44" s="1428"/>
      <c r="DY44" s="1428"/>
      <c r="DZ44" s="1428"/>
      <c r="EA44" s="1428"/>
      <c r="EB44" s="1428"/>
      <c r="EC44" s="1428"/>
      <c r="ED44" s="1428"/>
      <c r="EE44" s="1428"/>
      <c r="EF44" s="1428"/>
      <c r="EG44" s="1428"/>
      <c r="EH44" s="1428"/>
      <c r="EI44" s="1428"/>
      <c r="EJ44" s="1428"/>
      <c r="EK44" s="1428"/>
      <c r="EL44" s="1428"/>
      <c r="EM44" s="1428"/>
      <c r="EN44" s="1428"/>
      <c r="EO44" s="1428"/>
      <c r="EP44" s="1428"/>
      <c r="EQ44" s="1428"/>
      <c r="ER44" s="1428"/>
      <c r="ES44" s="1428"/>
      <c r="ET44" s="1428"/>
      <c r="EU44" s="1428"/>
      <c r="EV44" s="1455"/>
      <c r="EW44" s="1455"/>
    </row>
    <row r="45" spans="1:153" s="1440" customFormat="1" ht="17.25" customHeight="1">
      <c r="A45" s="1603"/>
      <c r="B45" s="1458"/>
      <c r="C45" s="1600" t="s">
        <v>803</v>
      </c>
      <c r="D45" s="1601">
        <f>IFERROR(VLOOKUP($D$31,'Rainfall data'!$B$3:$O$33,'Potable Water Calculator'!O47,FALSE),"")</f>
        <v>43</v>
      </c>
      <c r="E45" s="1601">
        <f>IFERROR(VLOOKUP($D$31,'Rainfall data'!$B$44:$P$74,'Potable Water Calculator'!O47,FALSE),"")</f>
        <v>6</v>
      </c>
      <c r="F45" s="1422"/>
      <c r="G45" s="1422"/>
      <c r="H45" s="1422"/>
      <c r="L45" s="1422"/>
      <c r="M45" s="1422"/>
      <c r="N45" s="1476"/>
      <c r="O45" s="1476">
        <v>10</v>
      </c>
      <c r="P45" s="1430"/>
      <c r="Q45" s="1430"/>
      <c r="R45" s="1430"/>
      <c r="S45" s="1430"/>
      <c r="T45" s="1430"/>
      <c r="U45" s="1430"/>
      <c r="V45" s="1430"/>
      <c r="W45" s="1430"/>
      <c r="X45" s="1430"/>
      <c r="Y45" s="1430"/>
      <c r="Z45" s="1430"/>
      <c r="AA45" s="1430"/>
      <c r="AB45" s="1430"/>
      <c r="AC45" s="1430"/>
      <c r="AD45" s="1430"/>
      <c r="AE45" s="1430"/>
      <c r="AF45" s="1430"/>
      <c r="AG45" s="1430"/>
      <c r="AH45" s="1430"/>
      <c r="AI45" s="1430"/>
      <c r="AJ45" s="1430"/>
      <c r="AK45" s="1430"/>
      <c r="AL45" s="1430"/>
      <c r="AM45" s="1430"/>
      <c r="AN45" s="1430"/>
      <c r="AO45" s="1430"/>
      <c r="AP45" s="1430"/>
      <c r="AQ45" s="1430"/>
      <c r="AR45" s="1430"/>
      <c r="AS45" s="1430"/>
      <c r="AT45" s="1430"/>
      <c r="AU45" s="1430"/>
      <c r="AV45" s="1430"/>
      <c r="AW45" s="1430"/>
      <c r="AX45" s="1430"/>
      <c r="AY45" s="1430"/>
      <c r="AZ45" s="1430"/>
      <c r="BA45" s="1430"/>
      <c r="BB45" s="1430"/>
      <c r="BC45" s="1430"/>
      <c r="BD45" s="1449"/>
      <c r="BE45" s="1571" t="s">
        <v>1208</v>
      </c>
      <c r="BF45" s="1436">
        <v>21</v>
      </c>
      <c r="BG45" s="1436">
        <v>26</v>
      </c>
      <c r="BH45" s="1436">
        <v>2</v>
      </c>
      <c r="BI45" s="1495" t="b">
        <f t="shared" si="53"/>
        <v>1</v>
      </c>
      <c r="BJ45" s="1450" t="b">
        <f t="shared" si="58"/>
        <v>0</v>
      </c>
      <c r="BK45" s="1572">
        <f t="shared" si="13"/>
        <v>0</v>
      </c>
      <c r="BL45" s="1581">
        <f>IF(SUM(BL$20:BL44,BK45)&gt;$BJ$4,0,BK45)</f>
        <v>0</v>
      </c>
      <c r="BM45" s="1436">
        <f t="shared" si="14"/>
        <v>0</v>
      </c>
      <c r="BN45" s="1495">
        <f t="shared" si="15"/>
        <v>0</v>
      </c>
      <c r="BO45" s="1437">
        <f t="shared" si="59"/>
        <v>0</v>
      </c>
      <c r="BP45" s="1574">
        <f t="shared" si="16"/>
        <v>0</v>
      </c>
      <c r="BQ45" s="1577">
        <f t="shared" si="17"/>
        <v>0</v>
      </c>
      <c r="BR45" s="1576">
        <f t="shared" si="18"/>
        <v>0</v>
      </c>
      <c r="BS45" s="1574">
        <f t="shared" si="19"/>
        <v>0</v>
      </c>
      <c r="BT45" s="1577">
        <f t="shared" si="20"/>
        <v>0</v>
      </c>
      <c r="BU45" s="1576">
        <f t="shared" si="21"/>
        <v>0</v>
      </c>
      <c r="BV45" s="1574">
        <f t="shared" si="22"/>
        <v>0</v>
      </c>
      <c r="BW45" s="1577">
        <f t="shared" si="23"/>
        <v>0</v>
      </c>
      <c r="BX45" s="1576">
        <f t="shared" si="24"/>
        <v>0</v>
      </c>
      <c r="BY45" s="1574">
        <f t="shared" si="25"/>
        <v>0</v>
      </c>
      <c r="BZ45" s="1577">
        <f t="shared" si="26"/>
        <v>0</v>
      </c>
      <c r="CA45" s="1576">
        <f t="shared" si="27"/>
        <v>0</v>
      </c>
      <c r="CB45" s="1495">
        <f t="shared" si="28"/>
        <v>0</v>
      </c>
      <c r="CC45" s="1577">
        <f t="shared" si="29"/>
        <v>0</v>
      </c>
      <c r="CD45" s="1576">
        <f t="shared" si="30"/>
        <v>0</v>
      </c>
      <c r="CE45" s="1495">
        <f t="shared" si="31"/>
        <v>0</v>
      </c>
      <c r="CF45" s="1577">
        <f t="shared" si="32"/>
        <v>0</v>
      </c>
      <c r="CG45" s="1576">
        <f t="shared" si="33"/>
        <v>0</v>
      </c>
      <c r="CH45" s="1495">
        <f t="shared" si="34"/>
        <v>0</v>
      </c>
      <c r="CI45" s="1577">
        <f t="shared" si="35"/>
        <v>0</v>
      </c>
      <c r="CJ45" s="1576">
        <f t="shared" si="36"/>
        <v>0</v>
      </c>
      <c r="CK45" s="1495">
        <f t="shared" si="37"/>
        <v>0</v>
      </c>
      <c r="CL45" s="1577">
        <f t="shared" si="38"/>
        <v>0</v>
      </c>
      <c r="CM45" s="1576">
        <f t="shared" si="39"/>
        <v>0</v>
      </c>
      <c r="CN45" s="1495">
        <f t="shared" si="40"/>
        <v>0</v>
      </c>
      <c r="CO45" s="1577">
        <f t="shared" si="41"/>
        <v>0</v>
      </c>
      <c r="CP45" s="1576">
        <f t="shared" si="42"/>
        <v>0</v>
      </c>
      <c r="CQ45" s="1495">
        <f t="shared" si="43"/>
        <v>0</v>
      </c>
      <c r="CR45" s="1577">
        <f t="shared" si="44"/>
        <v>0</v>
      </c>
      <c r="CS45" s="1576">
        <f t="shared" si="45"/>
        <v>0</v>
      </c>
      <c r="CT45" s="1495">
        <f t="shared" si="46"/>
        <v>0</v>
      </c>
      <c r="CU45" s="1577">
        <f t="shared" si="47"/>
        <v>0</v>
      </c>
      <c r="CV45" s="1576">
        <f t="shared" si="48"/>
        <v>0</v>
      </c>
      <c r="CW45" s="1495">
        <f t="shared" si="49"/>
        <v>0</v>
      </c>
      <c r="CX45" s="1577">
        <f t="shared" si="50"/>
        <v>0</v>
      </c>
      <c r="CY45" s="1576">
        <f t="shared" si="51"/>
        <v>0</v>
      </c>
      <c r="CZ45" s="1574">
        <f t="shared" si="52"/>
        <v>0</v>
      </c>
      <c r="DA45" s="1578">
        <f t="shared" si="54"/>
        <v>0</v>
      </c>
      <c r="DB45" s="1579">
        <f t="shared" si="55"/>
        <v>0</v>
      </c>
      <c r="DC45" s="1578">
        <f t="shared" si="56"/>
        <v>0</v>
      </c>
      <c r="DD45" s="1578">
        <f t="shared" si="56"/>
        <v>0</v>
      </c>
      <c r="DE45" s="1578">
        <f t="shared" si="56"/>
        <v>0</v>
      </c>
      <c r="DF45" s="1578">
        <f t="shared" si="57"/>
        <v>0</v>
      </c>
      <c r="DG45" s="1538"/>
      <c r="DH45" s="1538"/>
      <c r="DJ45" s="1427"/>
      <c r="DK45" s="1427"/>
      <c r="DL45" s="1427"/>
      <c r="DM45" s="1427"/>
      <c r="DN45" s="1427"/>
      <c r="DO45" s="1427"/>
      <c r="DP45" s="1427"/>
      <c r="DQ45" s="1422"/>
      <c r="DR45" s="1428"/>
      <c r="DS45" s="1428"/>
      <c r="DT45" s="1428"/>
      <c r="DU45" s="1428"/>
      <c r="DV45" s="1428"/>
      <c r="DW45" s="1428"/>
      <c r="DX45" s="1428"/>
      <c r="DY45" s="1428"/>
      <c r="DZ45" s="1428"/>
      <c r="EA45" s="1428"/>
      <c r="EB45" s="1428"/>
      <c r="EC45" s="1428"/>
      <c r="ED45" s="1428"/>
      <c r="EE45" s="1428"/>
      <c r="EF45" s="1428"/>
      <c r="EG45" s="1428"/>
      <c r="EH45" s="1428"/>
      <c r="EI45" s="1428"/>
      <c r="EJ45" s="1428"/>
      <c r="EK45" s="1428"/>
      <c r="EL45" s="1428"/>
      <c r="EM45" s="1428"/>
      <c r="EN45" s="1428"/>
      <c r="EO45" s="1428"/>
      <c r="EP45" s="1428"/>
      <c r="EQ45" s="1428"/>
      <c r="ER45" s="1428"/>
      <c r="ES45" s="1428"/>
      <c r="ET45" s="1428"/>
      <c r="EU45" s="1428"/>
      <c r="EV45" s="1455"/>
      <c r="EW45" s="1455"/>
    </row>
    <row r="46" spans="1:153" s="1440" customFormat="1" ht="17.25" customHeight="1">
      <c r="A46" s="1603"/>
      <c r="B46" s="1458"/>
      <c r="C46" s="1600" t="s">
        <v>804</v>
      </c>
      <c r="D46" s="1601">
        <f>IFERROR(VLOOKUP($D$31,'Rainfall data'!$B$3:$O$33,'Potable Water Calculator'!O48,FALSE),"")</f>
        <v>85</v>
      </c>
      <c r="E46" s="1601">
        <f>IFERROR(VLOOKUP($D$31,'Rainfall data'!$B$44:$P$74,'Potable Water Calculator'!O48,FALSE),"")</f>
        <v>12</v>
      </c>
      <c r="F46" s="1422"/>
      <c r="G46" s="1422"/>
      <c r="H46" s="1422"/>
      <c r="L46" s="1422"/>
      <c r="M46" s="1422"/>
      <c r="N46" s="1476"/>
      <c r="O46" s="1476">
        <v>11</v>
      </c>
      <c r="P46" s="1430"/>
      <c r="Q46" s="1430"/>
      <c r="R46" s="1430"/>
      <c r="S46" s="1430"/>
      <c r="T46" s="1430"/>
      <c r="U46" s="1430"/>
      <c r="V46" s="1430"/>
      <c r="W46" s="1430"/>
      <c r="X46" s="1430"/>
      <c r="Y46" s="1430"/>
      <c r="Z46" s="1430"/>
      <c r="AA46" s="1430"/>
      <c r="AB46" s="1430"/>
      <c r="AC46" s="1430"/>
      <c r="AD46" s="1430"/>
      <c r="AE46" s="1430"/>
      <c r="AF46" s="1430"/>
      <c r="AG46" s="1430"/>
      <c r="AH46" s="1430"/>
      <c r="AI46" s="1430"/>
      <c r="AJ46" s="1430"/>
      <c r="AK46" s="1430"/>
      <c r="AL46" s="1430"/>
      <c r="AM46" s="1430"/>
      <c r="AN46" s="1430"/>
      <c r="AO46" s="1430"/>
      <c r="AP46" s="1430"/>
      <c r="AQ46" s="1430"/>
      <c r="AR46" s="1430"/>
      <c r="AS46" s="1430"/>
      <c r="AT46" s="1430"/>
      <c r="AU46" s="1430"/>
      <c r="AV46" s="1430"/>
      <c r="AW46" s="1430"/>
      <c r="AX46" s="1430"/>
      <c r="AY46" s="1430"/>
      <c r="AZ46" s="1430"/>
      <c r="BA46" s="1430"/>
      <c r="BB46" s="1430"/>
      <c r="BC46" s="1430"/>
      <c r="BD46" s="1449"/>
      <c r="BE46" s="1571" t="s">
        <v>1208</v>
      </c>
      <c r="BF46" s="1436">
        <v>21</v>
      </c>
      <c r="BG46" s="1436">
        <v>27</v>
      </c>
      <c r="BH46" s="1436">
        <v>3</v>
      </c>
      <c r="BI46" s="1495" t="b">
        <f t="shared" si="53"/>
        <v>1</v>
      </c>
      <c r="BJ46" s="1450" t="b">
        <f t="shared" si="58"/>
        <v>1</v>
      </c>
      <c r="BK46" s="1572">
        <f t="shared" si="13"/>
        <v>7.4545454545454541</v>
      </c>
      <c r="BL46" s="1581">
        <f>IF(SUM(BL$20:BL45,BK46)&gt;$BJ$4,0,BK46)</f>
        <v>7.4545454545454541</v>
      </c>
      <c r="BM46" s="1436">
        <f t="shared" si="14"/>
        <v>0</v>
      </c>
      <c r="BN46" s="1495">
        <f t="shared" si="15"/>
        <v>0</v>
      </c>
      <c r="BO46" s="1437">
        <f t="shared" si="59"/>
        <v>0</v>
      </c>
      <c r="BP46" s="1574">
        <f t="shared" si="16"/>
        <v>0</v>
      </c>
      <c r="BQ46" s="1577">
        <f t="shared" si="17"/>
        <v>0</v>
      </c>
      <c r="BR46" s="1576">
        <f t="shared" si="18"/>
        <v>0</v>
      </c>
      <c r="BS46" s="1574">
        <f t="shared" si="19"/>
        <v>0</v>
      </c>
      <c r="BT46" s="1577">
        <f t="shared" si="20"/>
        <v>0</v>
      </c>
      <c r="BU46" s="1576">
        <f t="shared" si="21"/>
        <v>0</v>
      </c>
      <c r="BV46" s="1574">
        <f t="shared" si="22"/>
        <v>0</v>
      </c>
      <c r="BW46" s="1577">
        <f t="shared" si="23"/>
        <v>0</v>
      </c>
      <c r="BX46" s="1576">
        <f t="shared" si="24"/>
        <v>0</v>
      </c>
      <c r="BY46" s="1574">
        <f t="shared" si="25"/>
        <v>0</v>
      </c>
      <c r="BZ46" s="1577">
        <f t="shared" si="26"/>
        <v>0</v>
      </c>
      <c r="CA46" s="1576">
        <f t="shared" si="27"/>
        <v>0</v>
      </c>
      <c r="CB46" s="1495">
        <f t="shared" si="28"/>
        <v>0</v>
      </c>
      <c r="CC46" s="1577">
        <f t="shared" si="29"/>
        <v>0</v>
      </c>
      <c r="CD46" s="1576">
        <f t="shared" si="30"/>
        <v>0</v>
      </c>
      <c r="CE46" s="1495">
        <f t="shared" si="31"/>
        <v>0</v>
      </c>
      <c r="CF46" s="1577">
        <f t="shared" si="32"/>
        <v>0</v>
      </c>
      <c r="CG46" s="1576">
        <f t="shared" si="33"/>
        <v>0</v>
      </c>
      <c r="CH46" s="1495">
        <f t="shared" si="34"/>
        <v>0</v>
      </c>
      <c r="CI46" s="1577">
        <f t="shared" si="35"/>
        <v>0</v>
      </c>
      <c r="CJ46" s="1576">
        <f t="shared" si="36"/>
        <v>0</v>
      </c>
      <c r="CK46" s="1495">
        <f t="shared" si="37"/>
        <v>0</v>
      </c>
      <c r="CL46" s="1577">
        <f t="shared" si="38"/>
        <v>0</v>
      </c>
      <c r="CM46" s="1576">
        <f t="shared" si="39"/>
        <v>0</v>
      </c>
      <c r="CN46" s="1495">
        <f t="shared" si="40"/>
        <v>0</v>
      </c>
      <c r="CO46" s="1577">
        <f t="shared" si="41"/>
        <v>0</v>
      </c>
      <c r="CP46" s="1576">
        <f t="shared" si="42"/>
        <v>0</v>
      </c>
      <c r="CQ46" s="1495">
        <f t="shared" si="43"/>
        <v>0</v>
      </c>
      <c r="CR46" s="1577">
        <f t="shared" si="44"/>
        <v>0</v>
      </c>
      <c r="CS46" s="1576">
        <f t="shared" si="45"/>
        <v>0</v>
      </c>
      <c r="CT46" s="1495">
        <f t="shared" si="46"/>
        <v>0</v>
      </c>
      <c r="CU46" s="1577">
        <f t="shared" si="47"/>
        <v>0</v>
      </c>
      <c r="CV46" s="1576">
        <f t="shared" si="48"/>
        <v>0</v>
      </c>
      <c r="CW46" s="1495">
        <f t="shared" si="49"/>
        <v>0</v>
      </c>
      <c r="CX46" s="1577">
        <f t="shared" si="50"/>
        <v>0</v>
      </c>
      <c r="CY46" s="1576">
        <f t="shared" si="51"/>
        <v>0</v>
      </c>
      <c r="CZ46" s="1574">
        <f t="shared" si="52"/>
        <v>0</v>
      </c>
      <c r="DA46" s="1578">
        <f t="shared" si="54"/>
        <v>0</v>
      </c>
      <c r="DB46" s="1579">
        <f t="shared" si="55"/>
        <v>0</v>
      </c>
      <c r="DC46" s="1578">
        <f t="shared" si="56"/>
        <v>0</v>
      </c>
      <c r="DD46" s="1578">
        <f t="shared" si="56"/>
        <v>0</v>
      </c>
      <c r="DE46" s="1578">
        <f t="shared" si="56"/>
        <v>0</v>
      </c>
      <c r="DF46" s="1578">
        <f t="shared" si="57"/>
        <v>0</v>
      </c>
      <c r="DG46" s="1538"/>
      <c r="DH46" s="1538"/>
      <c r="DJ46" s="1427"/>
      <c r="DK46" s="1427"/>
      <c r="DL46" s="1427"/>
      <c r="DM46" s="1427"/>
      <c r="DN46" s="1427"/>
      <c r="DO46" s="1427"/>
      <c r="DP46" s="1427"/>
      <c r="DQ46" s="1422"/>
      <c r="DR46" s="1428"/>
      <c r="DS46" s="1428"/>
      <c r="DT46" s="1428"/>
      <c r="DU46" s="1428"/>
      <c r="DV46" s="1428"/>
      <c r="DW46" s="1428"/>
      <c r="DX46" s="1428"/>
      <c r="DY46" s="1428"/>
      <c r="DZ46" s="1428"/>
      <c r="EA46" s="1428"/>
      <c r="EB46" s="1428"/>
      <c r="EC46" s="1428"/>
      <c r="ED46" s="1428"/>
      <c r="EE46" s="1428"/>
      <c r="EF46" s="1428"/>
      <c r="EG46" s="1428"/>
      <c r="EH46" s="1428"/>
      <c r="EI46" s="1428"/>
      <c r="EJ46" s="1428"/>
      <c r="EK46" s="1428"/>
      <c r="EL46" s="1428"/>
      <c r="EM46" s="1428"/>
      <c r="EN46" s="1428"/>
      <c r="EO46" s="1428"/>
      <c r="EP46" s="1428"/>
      <c r="EQ46" s="1428"/>
      <c r="ER46" s="1428"/>
      <c r="ES46" s="1428"/>
      <c r="ET46" s="1428"/>
      <c r="EU46" s="1428"/>
      <c r="EV46" s="1455"/>
      <c r="EW46" s="1455"/>
    </row>
    <row r="47" spans="1:153" s="1440" customFormat="1" ht="17.25" customHeight="1">
      <c r="A47" s="1603"/>
      <c r="B47" s="1458"/>
      <c r="C47" s="1600" t="s">
        <v>1603</v>
      </c>
      <c r="D47" s="1601">
        <f>IFERROR(VLOOKUP($D$31,'Rainfall data'!$B$3:$O$33,'Potable Water Calculator'!O49,FALSE),"")</f>
        <v>81</v>
      </c>
      <c r="E47" s="1601">
        <f>IFERROR(VLOOKUP($D$31,'Rainfall data'!$B$44:$P$74,'Potable Water Calculator'!O49,FALSE),"")</f>
        <v>11</v>
      </c>
      <c r="F47" s="1422"/>
      <c r="G47" s="1422"/>
      <c r="H47" s="1422"/>
      <c r="L47" s="1422"/>
      <c r="M47" s="1422"/>
      <c r="N47" s="1476"/>
      <c r="O47" s="1476">
        <v>12</v>
      </c>
      <c r="P47" s="1430"/>
      <c r="Q47" s="1430"/>
      <c r="R47" s="1430"/>
      <c r="S47" s="1430"/>
      <c r="T47" s="1430"/>
      <c r="U47" s="1430"/>
      <c r="V47" s="1430"/>
      <c r="W47" s="1430"/>
      <c r="X47" s="1430"/>
      <c r="Y47" s="1430"/>
      <c r="Z47" s="1430"/>
      <c r="AA47" s="1430"/>
      <c r="AB47" s="1430"/>
      <c r="AC47" s="1430"/>
      <c r="AD47" s="1430"/>
      <c r="AE47" s="1430"/>
      <c r="AF47" s="1430"/>
      <c r="AG47" s="1430"/>
      <c r="AH47" s="1430"/>
      <c r="AI47" s="1430"/>
      <c r="AJ47" s="1430"/>
      <c r="AK47" s="1430"/>
      <c r="AL47" s="1430"/>
      <c r="AM47" s="1430"/>
      <c r="AN47" s="1430"/>
      <c r="AO47" s="1430"/>
      <c r="AP47" s="1430"/>
      <c r="AQ47" s="1430"/>
      <c r="AR47" s="1430"/>
      <c r="AS47" s="1430"/>
      <c r="AT47" s="1430"/>
      <c r="AU47" s="1430"/>
      <c r="AV47" s="1430"/>
      <c r="AW47" s="1430"/>
      <c r="AX47" s="1430"/>
      <c r="AY47" s="1430"/>
      <c r="AZ47" s="1430"/>
      <c r="BA47" s="1430"/>
      <c r="BB47" s="1430"/>
      <c r="BC47" s="1430"/>
      <c r="BD47" s="1449"/>
      <c r="BE47" s="1571" t="s">
        <v>1208</v>
      </c>
      <c r="BF47" s="1436">
        <v>21</v>
      </c>
      <c r="BG47" s="1436">
        <v>28</v>
      </c>
      <c r="BH47" s="1436">
        <v>4</v>
      </c>
      <c r="BI47" s="1495" t="b">
        <f t="shared" si="53"/>
        <v>1</v>
      </c>
      <c r="BJ47" s="1450" t="b">
        <f t="shared" si="58"/>
        <v>0</v>
      </c>
      <c r="BK47" s="1572">
        <f t="shared" si="13"/>
        <v>0</v>
      </c>
      <c r="BL47" s="1581">
        <f>IF(SUM(BL$20:BL46,BK47)&gt;$BJ$4,0,BK47)</f>
        <v>0</v>
      </c>
      <c r="BM47" s="1436">
        <f t="shared" si="14"/>
        <v>0</v>
      </c>
      <c r="BN47" s="1495">
        <f t="shared" si="15"/>
        <v>0</v>
      </c>
      <c r="BO47" s="1437">
        <f t="shared" si="59"/>
        <v>0</v>
      </c>
      <c r="BP47" s="1574">
        <f t="shared" si="16"/>
        <v>0</v>
      </c>
      <c r="BQ47" s="1577">
        <f t="shared" si="17"/>
        <v>0</v>
      </c>
      <c r="BR47" s="1576">
        <f t="shared" si="18"/>
        <v>0</v>
      </c>
      <c r="BS47" s="1574">
        <f t="shared" si="19"/>
        <v>0</v>
      </c>
      <c r="BT47" s="1577">
        <f t="shared" si="20"/>
        <v>0</v>
      </c>
      <c r="BU47" s="1576">
        <f t="shared" si="21"/>
        <v>0</v>
      </c>
      <c r="BV47" s="1574">
        <f t="shared" si="22"/>
        <v>0</v>
      </c>
      <c r="BW47" s="1577">
        <f t="shared" si="23"/>
        <v>0</v>
      </c>
      <c r="BX47" s="1576">
        <f t="shared" si="24"/>
        <v>0</v>
      </c>
      <c r="BY47" s="1574">
        <f t="shared" si="25"/>
        <v>0</v>
      </c>
      <c r="BZ47" s="1577">
        <f t="shared" si="26"/>
        <v>0</v>
      </c>
      <c r="CA47" s="1576">
        <f t="shared" si="27"/>
        <v>0</v>
      </c>
      <c r="CB47" s="1495">
        <f t="shared" si="28"/>
        <v>0</v>
      </c>
      <c r="CC47" s="1577">
        <f t="shared" si="29"/>
        <v>0</v>
      </c>
      <c r="CD47" s="1576">
        <f t="shared" si="30"/>
        <v>0</v>
      </c>
      <c r="CE47" s="1495">
        <f t="shared" si="31"/>
        <v>0</v>
      </c>
      <c r="CF47" s="1577">
        <f t="shared" si="32"/>
        <v>0</v>
      </c>
      <c r="CG47" s="1576">
        <f t="shared" si="33"/>
        <v>0</v>
      </c>
      <c r="CH47" s="1495">
        <f t="shared" si="34"/>
        <v>0</v>
      </c>
      <c r="CI47" s="1577">
        <f t="shared" si="35"/>
        <v>0</v>
      </c>
      <c r="CJ47" s="1576">
        <f t="shared" si="36"/>
        <v>0</v>
      </c>
      <c r="CK47" s="1495">
        <f t="shared" si="37"/>
        <v>0</v>
      </c>
      <c r="CL47" s="1577">
        <f t="shared" si="38"/>
        <v>0</v>
      </c>
      <c r="CM47" s="1576">
        <f t="shared" si="39"/>
        <v>0</v>
      </c>
      <c r="CN47" s="1495">
        <f t="shared" si="40"/>
        <v>0</v>
      </c>
      <c r="CO47" s="1577">
        <f t="shared" si="41"/>
        <v>0</v>
      </c>
      <c r="CP47" s="1576">
        <f t="shared" si="42"/>
        <v>0</v>
      </c>
      <c r="CQ47" s="1495">
        <f t="shared" si="43"/>
        <v>0</v>
      </c>
      <c r="CR47" s="1577">
        <f t="shared" si="44"/>
        <v>0</v>
      </c>
      <c r="CS47" s="1576">
        <f t="shared" si="45"/>
        <v>0</v>
      </c>
      <c r="CT47" s="1495">
        <f t="shared" si="46"/>
        <v>0</v>
      </c>
      <c r="CU47" s="1577">
        <f t="shared" si="47"/>
        <v>0</v>
      </c>
      <c r="CV47" s="1576">
        <f t="shared" si="48"/>
        <v>0</v>
      </c>
      <c r="CW47" s="1495">
        <f t="shared" si="49"/>
        <v>0</v>
      </c>
      <c r="CX47" s="1577">
        <f t="shared" si="50"/>
        <v>0</v>
      </c>
      <c r="CY47" s="1576">
        <f t="shared" si="51"/>
        <v>0</v>
      </c>
      <c r="CZ47" s="1574">
        <f t="shared" si="52"/>
        <v>0</v>
      </c>
      <c r="DA47" s="1578">
        <f t="shared" si="54"/>
        <v>0</v>
      </c>
      <c r="DB47" s="1579">
        <f t="shared" si="55"/>
        <v>0</v>
      </c>
      <c r="DC47" s="1578">
        <f t="shared" si="56"/>
        <v>0</v>
      </c>
      <c r="DD47" s="1578">
        <f t="shared" si="56"/>
        <v>0</v>
      </c>
      <c r="DE47" s="1578">
        <f t="shared" si="56"/>
        <v>0</v>
      </c>
      <c r="DF47" s="1578">
        <f>IF(DA47-(DE46+CZ47)&lt;0,0,DA47-(DE46+CZ47))</f>
        <v>0</v>
      </c>
      <c r="DG47" s="1538"/>
      <c r="DH47" s="1538"/>
      <c r="DJ47" s="1427"/>
      <c r="DK47" s="1427"/>
      <c r="DL47" s="1427"/>
      <c r="DM47" s="1427"/>
      <c r="DN47" s="1427"/>
      <c r="DO47" s="1427"/>
      <c r="DP47" s="1427"/>
      <c r="DQ47" s="1422"/>
      <c r="DR47" s="1428"/>
      <c r="DS47" s="1428"/>
      <c r="DT47" s="1428"/>
      <c r="DU47" s="1428"/>
      <c r="DV47" s="1428"/>
      <c r="DW47" s="1428"/>
      <c r="DX47" s="1428"/>
      <c r="DY47" s="1428"/>
      <c r="DZ47" s="1428"/>
      <c r="EA47" s="1428"/>
      <c r="EB47" s="1428"/>
      <c r="EC47" s="1428"/>
      <c r="ED47" s="1428"/>
      <c r="EE47" s="1428"/>
      <c r="EF47" s="1428"/>
      <c r="EG47" s="1428"/>
      <c r="EH47" s="1428"/>
      <c r="EI47" s="1428"/>
      <c r="EJ47" s="1428"/>
      <c r="EK47" s="1428"/>
      <c r="EL47" s="1428"/>
      <c r="EM47" s="1428"/>
      <c r="EN47" s="1428"/>
      <c r="EO47" s="1428"/>
      <c r="EP47" s="1428"/>
      <c r="EQ47" s="1428"/>
      <c r="ER47" s="1428"/>
      <c r="ES47" s="1428"/>
      <c r="ET47" s="1428"/>
      <c r="EU47" s="1428"/>
      <c r="EV47" s="1455"/>
      <c r="EW47" s="1455"/>
    </row>
    <row r="48" spans="1:153" s="1440" customFormat="1" ht="14.25" customHeight="1">
      <c r="A48" s="1603"/>
      <c r="B48" s="1458"/>
      <c r="C48" s="1608" t="s">
        <v>32</v>
      </c>
      <c r="D48" s="1609">
        <f>SUM(D36:D47)</f>
        <v>478</v>
      </c>
      <c r="E48" s="1609">
        <f>SUM(E36:E47)</f>
        <v>65</v>
      </c>
      <c r="F48" s="1422"/>
      <c r="G48" s="1422"/>
      <c r="H48" s="1422"/>
      <c r="L48" s="1422"/>
      <c r="M48" s="1422"/>
      <c r="N48" s="1476"/>
      <c r="O48" s="1476">
        <v>13</v>
      </c>
      <c r="P48" s="1430"/>
      <c r="Q48" s="1430"/>
      <c r="R48" s="1430"/>
      <c r="S48" s="1430"/>
      <c r="T48" s="1430"/>
      <c r="U48" s="1430"/>
      <c r="V48" s="1430"/>
      <c r="W48" s="1430"/>
      <c r="X48" s="1430"/>
      <c r="Y48" s="1430"/>
      <c r="Z48" s="1430"/>
      <c r="AA48" s="1430"/>
      <c r="AB48" s="1430"/>
      <c r="AC48" s="1430"/>
      <c r="AD48" s="1430"/>
      <c r="AE48" s="1430"/>
      <c r="AF48" s="1430"/>
      <c r="AG48" s="1430"/>
      <c r="AH48" s="1430"/>
      <c r="AI48" s="1430"/>
      <c r="AJ48" s="1430"/>
      <c r="AK48" s="1430"/>
      <c r="AL48" s="1430"/>
      <c r="AM48" s="1430"/>
      <c r="AN48" s="1430"/>
      <c r="AO48" s="1430"/>
      <c r="AP48" s="1430"/>
      <c r="AQ48" s="1430"/>
      <c r="AR48" s="1430"/>
      <c r="AS48" s="1430"/>
      <c r="AT48" s="1430"/>
      <c r="AU48" s="1430"/>
      <c r="AV48" s="1430"/>
      <c r="AW48" s="1430"/>
      <c r="AX48" s="1430"/>
      <c r="AY48" s="1430"/>
      <c r="AZ48" s="1430"/>
      <c r="BA48" s="1430"/>
      <c r="BB48" s="1430"/>
      <c r="BC48" s="1430"/>
      <c r="BD48" s="1449"/>
      <c r="BE48" s="1571" t="s">
        <v>1208</v>
      </c>
      <c r="BF48" s="1436">
        <v>21</v>
      </c>
      <c r="BG48" s="1436">
        <v>29</v>
      </c>
      <c r="BH48" s="1436">
        <v>5</v>
      </c>
      <c r="BI48" s="1495" t="b">
        <f t="shared" si="53"/>
        <v>1</v>
      </c>
      <c r="BJ48" s="1450" t="b">
        <f t="shared" si="58"/>
        <v>0</v>
      </c>
      <c r="BK48" s="1572">
        <f t="shared" si="13"/>
        <v>0</v>
      </c>
      <c r="BL48" s="1581">
        <f>IF(SUM(BL$20:BL47,BK48)&gt;$BJ$4,0,BK48)</f>
        <v>0</v>
      </c>
      <c r="BM48" s="1436">
        <f t="shared" si="14"/>
        <v>0</v>
      </c>
      <c r="BN48" s="1495">
        <f t="shared" si="15"/>
        <v>0</v>
      </c>
      <c r="BO48" s="1437">
        <f t="shared" si="59"/>
        <v>0</v>
      </c>
      <c r="BP48" s="1574">
        <f t="shared" si="16"/>
        <v>0</v>
      </c>
      <c r="BQ48" s="1577">
        <f t="shared" si="17"/>
        <v>0</v>
      </c>
      <c r="BR48" s="1576">
        <f t="shared" si="18"/>
        <v>0</v>
      </c>
      <c r="BS48" s="1574">
        <f t="shared" si="19"/>
        <v>0</v>
      </c>
      <c r="BT48" s="1577">
        <f t="shared" si="20"/>
        <v>0</v>
      </c>
      <c r="BU48" s="1576">
        <f t="shared" si="21"/>
        <v>0</v>
      </c>
      <c r="BV48" s="1574">
        <f t="shared" si="22"/>
        <v>0</v>
      </c>
      <c r="BW48" s="1577">
        <f t="shared" si="23"/>
        <v>0</v>
      </c>
      <c r="BX48" s="1576">
        <f t="shared" si="24"/>
        <v>0</v>
      </c>
      <c r="BY48" s="1574">
        <f t="shared" si="25"/>
        <v>0</v>
      </c>
      <c r="BZ48" s="1577">
        <f t="shared" si="26"/>
        <v>0</v>
      </c>
      <c r="CA48" s="1576">
        <f t="shared" si="27"/>
        <v>0</v>
      </c>
      <c r="CB48" s="1495">
        <f t="shared" si="28"/>
        <v>0</v>
      </c>
      <c r="CC48" s="1577">
        <f t="shared" si="29"/>
        <v>0</v>
      </c>
      <c r="CD48" s="1576">
        <f t="shared" si="30"/>
        <v>0</v>
      </c>
      <c r="CE48" s="1495">
        <f t="shared" si="31"/>
        <v>0</v>
      </c>
      <c r="CF48" s="1577">
        <f t="shared" si="32"/>
        <v>0</v>
      </c>
      <c r="CG48" s="1576">
        <f t="shared" si="33"/>
        <v>0</v>
      </c>
      <c r="CH48" s="1495">
        <f t="shared" si="34"/>
        <v>0</v>
      </c>
      <c r="CI48" s="1577">
        <f t="shared" si="35"/>
        <v>0</v>
      </c>
      <c r="CJ48" s="1576">
        <f t="shared" si="36"/>
        <v>0</v>
      </c>
      <c r="CK48" s="1495">
        <f t="shared" si="37"/>
        <v>0</v>
      </c>
      <c r="CL48" s="1577">
        <f t="shared" si="38"/>
        <v>0</v>
      </c>
      <c r="CM48" s="1576">
        <f t="shared" si="39"/>
        <v>0</v>
      </c>
      <c r="CN48" s="1495">
        <f t="shared" si="40"/>
        <v>0</v>
      </c>
      <c r="CO48" s="1577">
        <f t="shared" si="41"/>
        <v>0</v>
      </c>
      <c r="CP48" s="1576">
        <f t="shared" si="42"/>
        <v>0</v>
      </c>
      <c r="CQ48" s="1495">
        <f t="shared" si="43"/>
        <v>0</v>
      </c>
      <c r="CR48" s="1577">
        <f t="shared" si="44"/>
        <v>0</v>
      </c>
      <c r="CS48" s="1576">
        <f t="shared" si="45"/>
        <v>0</v>
      </c>
      <c r="CT48" s="1495">
        <f t="shared" si="46"/>
        <v>0</v>
      </c>
      <c r="CU48" s="1577">
        <f t="shared" si="47"/>
        <v>0</v>
      </c>
      <c r="CV48" s="1576">
        <f t="shared" si="48"/>
        <v>0</v>
      </c>
      <c r="CW48" s="1495">
        <f t="shared" si="49"/>
        <v>0</v>
      </c>
      <c r="CX48" s="1577">
        <f t="shared" si="50"/>
        <v>0</v>
      </c>
      <c r="CY48" s="1576">
        <f t="shared" si="51"/>
        <v>0</v>
      </c>
      <c r="CZ48" s="1574">
        <f t="shared" si="52"/>
        <v>0</v>
      </c>
      <c r="DA48" s="1578">
        <f t="shared" si="54"/>
        <v>0</v>
      </c>
      <c r="DB48" s="1579">
        <f t="shared" si="55"/>
        <v>0</v>
      </c>
      <c r="DC48" s="1578">
        <f t="shared" si="56"/>
        <v>0</v>
      </c>
      <c r="DD48" s="1578">
        <f t="shared" si="56"/>
        <v>0</v>
      </c>
      <c r="DE48" s="1578">
        <f t="shared" si="56"/>
        <v>0</v>
      </c>
      <c r="DF48" s="1578">
        <f t="shared" si="57"/>
        <v>0</v>
      </c>
      <c r="DG48" s="1538"/>
      <c r="DH48" s="1538"/>
      <c r="DJ48" s="1427"/>
      <c r="DK48" s="1427"/>
      <c r="DL48" s="1427"/>
      <c r="DM48" s="1427"/>
      <c r="DN48" s="1427"/>
      <c r="DO48" s="1427"/>
      <c r="DP48" s="1427"/>
      <c r="DQ48" s="1422"/>
      <c r="DR48" s="1428"/>
      <c r="DS48" s="1428"/>
      <c r="DT48" s="1428"/>
      <c r="DU48" s="1428"/>
      <c r="DV48" s="1428"/>
      <c r="DW48" s="1428"/>
      <c r="DX48" s="1428"/>
      <c r="DY48" s="1428"/>
      <c r="DZ48" s="1428"/>
      <c r="EA48" s="1428"/>
      <c r="EB48" s="1428"/>
      <c r="EC48" s="1428"/>
      <c r="ED48" s="1428"/>
      <c r="EE48" s="1428"/>
      <c r="EF48" s="1428"/>
      <c r="EG48" s="1428"/>
      <c r="EH48" s="1428"/>
      <c r="EI48" s="1428"/>
      <c r="EJ48" s="1428"/>
      <c r="EK48" s="1428"/>
      <c r="EL48" s="1428"/>
      <c r="EM48" s="1428"/>
      <c r="EN48" s="1428"/>
      <c r="EO48" s="1428"/>
      <c r="EP48" s="1428"/>
      <c r="EQ48" s="1428"/>
      <c r="ER48" s="1428"/>
      <c r="ES48" s="1428"/>
      <c r="ET48" s="1428"/>
      <c r="EU48" s="1428"/>
      <c r="EV48" s="1455"/>
      <c r="EW48" s="1455"/>
    </row>
    <row r="49" spans="1:153" s="1440" customFormat="1">
      <c r="A49" s="1603"/>
      <c r="E49" s="1422"/>
      <c r="F49" s="1475"/>
      <c r="G49" s="1475"/>
      <c r="H49" s="1475"/>
      <c r="I49" s="1475"/>
      <c r="J49" s="1475"/>
      <c r="K49" s="1475"/>
      <c r="L49" s="1475"/>
      <c r="M49" s="1475"/>
      <c r="N49" s="1476"/>
      <c r="O49" s="1476">
        <v>14</v>
      </c>
      <c r="P49" s="1430"/>
      <c r="Q49" s="1430"/>
      <c r="R49" s="1430"/>
      <c r="S49" s="1430"/>
      <c r="T49" s="1430"/>
      <c r="U49" s="1430"/>
      <c r="V49" s="1430"/>
      <c r="W49" s="1430"/>
      <c r="X49" s="1430"/>
      <c r="Y49" s="1430"/>
      <c r="Z49" s="1430"/>
      <c r="AA49" s="1430"/>
      <c r="AB49" s="1430"/>
      <c r="AC49" s="1430"/>
      <c r="AD49" s="1430"/>
      <c r="AE49" s="1430"/>
      <c r="AF49" s="1430"/>
      <c r="AG49" s="1430"/>
      <c r="AH49" s="1430"/>
      <c r="AI49" s="1430"/>
      <c r="AJ49" s="1430"/>
      <c r="AK49" s="1430"/>
      <c r="AL49" s="1430"/>
      <c r="AM49" s="1430"/>
      <c r="AN49" s="1430"/>
      <c r="AO49" s="1430"/>
      <c r="AP49" s="1430"/>
      <c r="AQ49" s="1430"/>
      <c r="AR49" s="1430"/>
      <c r="AS49" s="1430"/>
      <c r="AT49" s="1430"/>
      <c r="AU49" s="1430"/>
      <c r="AV49" s="1430"/>
      <c r="AW49" s="1430"/>
      <c r="AX49" s="1430"/>
      <c r="AY49" s="1430"/>
      <c r="AZ49" s="1430"/>
      <c r="BA49" s="1430"/>
      <c r="BB49" s="1430"/>
      <c r="BC49" s="1430"/>
      <c r="BD49" s="1449"/>
      <c r="BE49" s="1571" t="s">
        <v>1208</v>
      </c>
      <c r="BF49" s="1436">
        <v>21</v>
      </c>
      <c r="BG49" s="1436">
        <v>30</v>
      </c>
      <c r="BH49" s="1436">
        <v>6</v>
      </c>
      <c r="BI49" s="1495" t="b">
        <f t="shared" si="53"/>
        <v>0</v>
      </c>
      <c r="BJ49" s="1450" t="b">
        <f t="shared" si="58"/>
        <v>1</v>
      </c>
      <c r="BK49" s="1572">
        <f t="shared" si="13"/>
        <v>7.4545454545454541</v>
      </c>
      <c r="BL49" s="1581">
        <f>IF(SUM(BL$20:BL48,BK49)&gt;$BJ$4,0,BK49)</f>
        <v>7.4545454545454541</v>
      </c>
      <c r="BM49" s="1436">
        <f t="shared" si="14"/>
        <v>0</v>
      </c>
      <c r="BN49" s="1495">
        <f t="shared" si="15"/>
        <v>0</v>
      </c>
      <c r="BO49" s="1437">
        <f t="shared" si="59"/>
        <v>0</v>
      </c>
      <c r="BP49" s="1574">
        <f t="shared" si="16"/>
        <v>0</v>
      </c>
      <c r="BQ49" s="1577">
        <f t="shared" si="17"/>
        <v>0</v>
      </c>
      <c r="BR49" s="1576">
        <f t="shared" si="18"/>
        <v>0</v>
      </c>
      <c r="BS49" s="1574">
        <f t="shared" si="19"/>
        <v>0</v>
      </c>
      <c r="BT49" s="1577">
        <f t="shared" si="20"/>
        <v>0</v>
      </c>
      <c r="BU49" s="1576">
        <f t="shared" si="21"/>
        <v>0</v>
      </c>
      <c r="BV49" s="1574">
        <f t="shared" si="22"/>
        <v>0</v>
      </c>
      <c r="BW49" s="1577">
        <f t="shared" si="23"/>
        <v>0</v>
      </c>
      <c r="BX49" s="1576">
        <f t="shared" si="24"/>
        <v>0</v>
      </c>
      <c r="BY49" s="1574">
        <f t="shared" si="25"/>
        <v>0</v>
      </c>
      <c r="BZ49" s="1577">
        <f t="shared" si="26"/>
        <v>0</v>
      </c>
      <c r="CA49" s="1576">
        <f t="shared" si="27"/>
        <v>0</v>
      </c>
      <c r="CB49" s="1495">
        <f t="shared" si="28"/>
        <v>0</v>
      </c>
      <c r="CC49" s="1577">
        <f t="shared" si="29"/>
        <v>0</v>
      </c>
      <c r="CD49" s="1576">
        <f t="shared" si="30"/>
        <v>0</v>
      </c>
      <c r="CE49" s="1495">
        <f t="shared" si="31"/>
        <v>0</v>
      </c>
      <c r="CF49" s="1577">
        <f t="shared" si="32"/>
        <v>0</v>
      </c>
      <c r="CG49" s="1576">
        <f t="shared" si="33"/>
        <v>0</v>
      </c>
      <c r="CH49" s="1495">
        <f t="shared" si="34"/>
        <v>0</v>
      </c>
      <c r="CI49" s="1577">
        <f t="shared" si="35"/>
        <v>0</v>
      </c>
      <c r="CJ49" s="1576">
        <f t="shared" si="36"/>
        <v>0</v>
      </c>
      <c r="CK49" s="1495">
        <f t="shared" si="37"/>
        <v>0</v>
      </c>
      <c r="CL49" s="1577">
        <f t="shared" si="38"/>
        <v>0</v>
      </c>
      <c r="CM49" s="1576">
        <f t="shared" si="39"/>
        <v>0</v>
      </c>
      <c r="CN49" s="1495">
        <f t="shared" si="40"/>
        <v>0</v>
      </c>
      <c r="CO49" s="1577">
        <f t="shared" si="41"/>
        <v>0</v>
      </c>
      <c r="CP49" s="1576">
        <f t="shared" si="42"/>
        <v>0</v>
      </c>
      <c r="CQ49" s="1495">
        <f t="shared" si="43"/>
        <v>0</v>
      </c>
      <c r="CR49" s="1577">
        <f t="shared" si="44"/>
        <v>0</v>
      </c>
      <c r="CS49" s="1576">
        <f t="shared" si="45"/>
        <v>0</v>
      </c>
      <c r="CT49" s="1495">
        <f t="shared" si="46"/>
        <v>0</v>
      </c>
      <c r="CU49" s="1577">
        <f t="shared" si="47"/>
        <v>0</v>
      </c>
      <c r="CV49" s="1576">
        <f t="shared" si="48"/>
        <v>0</v>
      </c>
      <c r="CW49" s="1495">
        <f t="shared" si="49"/>
        <v>0</v>
      </c>
      <c r="CX49" s="1577">
        <f t="shared" si="50"/>
        <v>0</v>
      </c>
      <c r="CY49" s="1576">
        <f t="shared" si="51"/>
        <v>0</v>
      </c>
      <c r="CZ49" s="1574">
        <f t="shared" si="52"/>
        <v>0</v>
      </c>
      <c r="DA49" s="1578">
        <f t="shared" si="54"/>
        <v>0</v>
      </c>
      <c r="DB49" s="1579">
        <f t="shared" si="55"/>
        <v>0</v>
      </c>
      <c r="DC49" s="1578">
        <f t="shared" si="56"/>
        <v>0</v>
      </c>
      <c r="DD49" s="1578">
        <f t="shared" si="56"/>
        <v>0</v>
      </c>
      <c r="DE49" s="1578">
        <f t="shared" si="56"/>
        <v>0</v>
      </c>
      <c r="DF49" s="1578">
        <f t="shared" si="57"/>
        <v>0</v>
      </c>
      <c r="DG49" s="1538"/>
      <c r="DH49" s="1538"/>
      <c r="DJ49" s="1427"/>
      <c r="DK49" s="1427"/>
      <c r="DL49" s="1427"/>
      <c r="DM49" s="1427"/>
      <c r="DN49" s="1427"/>
      <c r="DO49" s="1427"/>
      <c r="DP49" s="1427"/>
      <c r="DQ49" s="1422"/>
      <c r="DR49" s="1428"/>
      <c r="DS49" s="1428"/>
      <c r="DT49" s="1428"/>
      <c r="DU49" s="1428"/>
      <c r="DV49" s="1428"/>
      <c r="DW49" s="1428"/>
      <c r="DX49" s="1428"/>
      <c r="DY49" s="1428"/>
      <c r="DZ49" s="1428"/>
      <c r="EA49" s="1428"/>
      <c r="EB49" s="1428"/>
      <c r="EC49" s="1428"/>
      <c r="ED49" s="1428"/>
      <c r="EE49" s="1428"/>
      <c r="EF49" s="1428"/>
      <c r="EG49" s="1428"/>
      <c r="EH49" s="1428"/>
      <c r="EI49" s="1428"/>
      <c r="EJ49" s="1428"/>
      <c r="EK49" s="1428"/>
      <c r="EL49" s="1428"/>
      <c r="EM49" s="1428"/>
      <c r="EN49" s="1428"/>
      <c r="EO49" s="1428"/>
      <c r="EP49" s="1428"/>
      <c r="EQ49" s="1428"/>
      <c r="ER49" s="1428"/>
      <c r="ES49" s="1428"/>
      <c r="ET49" s="1428"/>
      <c r="EU49" s="1428"/>
      <c r="EV49" s="1455"/>
      <c r="EW49" s="1455"/>
    </row>
    <row r="50" spans="1:153">
      <c r="A50" s="1610"/>
      <c r="B50" s="1095"/>
      <c r="C50" s="1475"/>
      <c r="D50" s="1475"/>
      <c r="E50" s="1475"/>
      <c r="F50" s="1475"/>
      <c r="G50" s="1475"/>
      <c r="H50" s="1475"/>
      <c r="I50" s="1475"/>
      <c r="J50" s="1475"/>
      <c r="K50" s="1475"/>
      <c r="L50" s="1475"/>
      <c r="M50" s="1475"/>
      <c r="N50" s="1476"/>
      <c r="O50" s="1476">
        <v>15</v>
      </c>
      <c r="BD50" s="1449"/>
      <c r="BE50" s="1571" t="s">
        <v>1208</v>
      </c>
      <c r="BF50" s="1436">
        <v>21</v>
      </c>
      <c r="BG50" s="1436">
        <v>31</v>
      </c>
      <c r="BH50" s="1436">
        <v>7</v>
      </c>
      <c r="BI50" s="1495" t="b">
        <f t="shared" si="53"/>
        <v>0</v>
      </c>
      <c r="BJ50" s="1450" t="b">
        <f t="shared" si="58"/>
        <v>0</v>
      </c>
      <c r="BK50" s="1572">
        <f t="shared" si="13"/>
        <v>0</v>
      </c>
      <c r="BL50" s="1573">
        <f>$BJ$4-SUM(BL20:BL49)</f>
        <v>7.4545454545454533</v>
      </c>
      <c r="BM50" s="1436">
        <f t="shared" si="14"/>
        <v>0</v>
      </c>
      <c r="BN50" s="1495">
        <f t="shared" si="15"/>
        <v>0</v>
      </c>
      <c r="BO50" s="1437">
        <f t="shared" si="59"/>
        <v>0</v>
      </c>
      <c r="BP50" s="1574">
        <f t="shared" si="16"/>
        <v>0</v>
      </c>
      <c r="BQ50" s="1577">
        <f t="shared" si="17"/>
        <v>0</v>
      </c>
      <c r="BR50" s="1576">
        <f t="shared" si="18"/>
        <v>0</v>
      </c>
      <c r="BS50" s="1574">
        <f t="shared" si="19"/>
        <v>0</v>
      </c>
      <c r="BT50" s="1577">
        <f t="shared" si="20"/>
        <v>0</v>
      </c>
      <c r="BU50" s="1576">
        <f t="shared" si="21"/>
        <v>0</v>
      </c>
      <c r="BV50" s="1574">
        <f t="shared" si="22"/>
        <v>0</v>
      </c>
      <c r="BW50" s="1577">
        <f t="shared" si="23"/>
        <v>0</v>
      </c>
      <c r="BX50" s="1576">
        <f t="shared" si="24"/>
        <v>0</v>
      </c>
      <c r="BY50" s="1574">
        <f t="shared" si="25"/>
        <v>0</v>
      </c>
      <c r="BZ50" s="1577">
        <f t="shared" si="26"/>
        <v>0</v>
      </c>
      <c r="CA50" s="1576">
        <f t="shared" si="27"/>
        <v>0</v>
      </c>
      <c r="CB50" s="1495">
        <f t="shared" si="28"/>
        <v>0</v>
      </c>
      <c r="CC50" s="1577">
        <f t="shared" si="29"/>
        <v>0</v>
      </c>
      <c r="CD50" s="1576">
        <f t="shared" si="30"/>
        <v>0</v>
      </c>
      <c r="CE50" s="1495">
        <f t="shared" si="31"/>
        <v>0</v>
      </c>
      <c r="CF50" s="1577">
        <f t="shared" si="32"/>
        <v>0</v>
      </c>
      <c r="CG50" s="1576">
        <f t="shared" si="33"/>
        <v>0</v>
      </c>
      <c r="CH50" s="1495">
        <f t="shared" si="34"/>
        <v>0</v>
      </c>
      <c r="CI50" s="1577">
        <f t="shared" si="35"/>
        <v>0</v>
      </c>
      <c r="CJ50" s="1576">
        <f t="shared" si="36"/>
        <v>0</v>
      </c>
      <c r="CK50" s="1495">
        <f t="shared" si="37"/>
        <v>0</v>
      </c>
      <c r="CL50" s="1577">
        <f t="shared" si="38"/>
        <v>0</v>
      </c>
      <c r="CM50" s="1576">
        <f t="shared" si="39"/>
        <v>0</v>
      </c>
      <c r="CN50" s="1495">
        <f t="shared" si="40"/>
        <v>0</v>
      </c>
      <c r="CO50" s="1577">
        <f t="shared" si="41"/>
        <v>0</v>
      </c>
      <c r="CP50" s="1576">
        <f t="shared" si="42"/>
        <v>0</v>
      </c>
      <c r="CQ50" s="1495">
        <f t="shared" si="43"/>
        <v>0</v>
      </c>
      <c r="CR50" s="1577">
        <f t="shared" si="44"/>
        <v>0</v>
      </c>
      <c r="CS50" s="1576">
        <f t="shared" si="45"/>
        <v>0</v>
      </c>
      <c r="CT50" s="1495">
        <f t="shared" si="46"/>
        <v>0</v>
      </c>
      <c r="CU50" s="1577">
        <f t="shared" si="47"/>
        <v>0</v>
      </c>
      <c r="CV50" s="1576">
        <f t="shared" si="48"/>
        <v>0</v>
      </c>
      <c r="CW50" s="1495">
        <f t="shared" si="49"/>
        <v>0</v>
      </c>
      <c r="CX50" s="1577">
        <f t="shared" si="50"/>
        <v>0</v>
      </c>
      <c r="CY50" s="1576">
        <f t="shared" si="51"/>
        <v>0</v>
      </c>
      <c r="CZ50" s="1574">
        <f t="shared" si="52"/>
        <v>0</v>
      </c>
      <c r="DA50" s="1578">
        <f t="shared" si="54"/>
        <v>0</v>
      </c>
      <c r="DB50" s="1579">
        <f t="shared" si="55"/>
        <v>0</v>
      </c>
      <c r="DC50" s="1578">
        <f t="shared" si="56"/>
        <v>0</v>
      </c>
      <c r="DD50" s="1578">
        <f t="shared" si="56"/>
        <v>0</v>
      </c>
      <c r="DE50" s="1578">
        <f t="shared" si="56"/>
        <v>0</v>
      </c>
      <c r="DF50" s="1578">
        <f t="shared" si="57"/>
        <v>0</v>
      </c>
      <c r="DG50" s="1420"/>
      <c r="DH50" s="1420"/>
      <c r="DI50" s="1440"/>
      <c r="DJ50" s="1427"/>
      <c r="DK50" s="1427"/>
      <c r="DL50" s="1427"/>
      <c r="DM50" s="1427"/>
      <c r="DN50" s="1427"/>
      <c r="DO50" s="1427"/>
      <c r="DP50" s="1427"/>
      <c r="DQ50" s="1440"/>
    </row>
    <row r="51" spans="1:153" ht="12">
      <c r="A51" s="1587"/>
      <c r="B51" s="1475"/>
      <c r="C51" s="1475"/>
      <c r="D51" s="1475"/>
      <c r="E51" s="1475"/>
      <c r="F51" s="1475"/>
      <c r="G51" s="1475"/>
      <c r="H51" s="1475"/>
      <c r="I51" s="1475"/>
      <c r="J51" s="1475"/>
      <c r="K51" s="1475"/>
      <c r="L51" s="1475"/>
      <c r="M51" s="1475"/>
      <c r="N51" s="1476"/>
      <c r="BD51" s="1449"/>
      <c r="BE51" s="1571" t="s">
        <v>1209</v>
      </c>
      <c r="BF51" s="1436">
        <v>20</v>
      </c>
      <c r="BG51" s="1436">
        <v>1</v>
      </c>
      <c r="BH51" s="1436">
        <v>1</v>
      </c>
      <c r="BI51" s="1495" t="b">
        <f t="shared" si="53"/>
        <v>1</v>
      </c>
      <c r="BJ51" s="1450" t="b">
        <f t="shared" ref="BJ51:BJ78" si="65">MOD(BG51,$BK$7)=0</f>
        <v>0</v>
      </c>
      <c r="BK51" s="1572">
        <f t="shared" ref="BK51:BK78" si="66">IF(BJ51,BK$8,0)</f>
        <v>0</v>
      </c>
      <c r="BL51" s="1573">
        <f>BK51</f>
        <v>0</v>
      </c>
      <c r="BM51" s="1436">
        <f t="shared" si="14"/>
        <v>0</v>
      </c>
      <c r="BN51" s="1495">
        <f t="shared" si="15"/>
        <v>0</v>
      </c>
      <c r="BO51" s="1437">
        <f t="shared" si="59"/>
        <v>0</v>
      </c>
      <c r="BP51" s="1574">
        <f t="shared" ref="BP51:BP78" si="67">$Q$335/$BF$51*BR$16*$BI51</f>
        <v>0</v>
      </c>
      <c r="BQ51" s="1575">
        <f t="shared" ref="BQ51:BQ78" si="68">AQ$370/$BF51*$BI51</f>
        <v>0</v>
      </c>
      <c r="BR51" s="1576">
        <f t="shared" si="18"/>
        <v>0</v>
      </c>
      <c r="BS51" s="1574">
        <f t="shared" ref="BS51:BS78" si="69">$R$335/$BF51*BU$16*$BI51</f>
        <v>0</v>
      </c>
      <c r="BT51" s="1577">
        <f t="shared" ref="BT51:BT78" si="70">AR$370/$BF51*$BI51</f>
        <v>0</v>
      </c>
      <c r="BU51" s="1576">
        <f t="shared" si="21"/>
        <v>0</v>
      </c>
      <c r="BV51" s="1574">
        <f t="shared" ref="BV51:BV78" si="71">$S$335/$BF51*BX$16*$BI51</f>
        <v>0</v>
      </c>
      <c r="BW51" s="1577">
        <f t="shared" ref="BW51:BW78" si="72">AS$370/$BF51*$BI51</f>
        <v>0</v>
      </c>
      <c r="BX51" s="1576">
        <f t="shared" si="24"/>
        <v>0</v>
      </c>
      <c r="BY51" s="1574">
        <f t="shared" ref="BY51:BY78" si="73">$T$335/$BF51*CA$16*$BI51</f>
        <v>0</v>
      </c>
      <c r="BZ51" s="1577">
        <f t="shared" ref="BZ51:BZ78" si="74">AT$370/$BF51*$BI51</f>
        <v>0</v>
      </c>
      <c r="CA51" s="1576">
        <f t="shared" si="27"/>
        <v>0</v>
      </c>
      <c r="CB51" s="1495">
        <f t="shared" ref="CB51:CB78" si="75">$W$335/BF51*$C$419*BI51</f>
        <v>0</v>
      </c>
      <c r="CC51" s="1577">
        <f t="shared" ref="CC51:CC78" si="76">AU$370/$BF51*$BI51</f>
        <v>0</v>
      </c>
      <c r="CD51" s="1576">
        <f t="shared" si="30"/>
        <v>0</v>
      </c>
      <c r="CE51" s="1495">
        <f t="shared" ref="CE51:CE78" si="77">$X$335/BF51*BI51*$C$420</f>
        <v>0</v>
      </c>
      <c r="CF51" s="1577">
        <f t="shared" ref="CF51:CF78" si="78">AV$370/$BF51*$BI51</f>
        <v>0</v>
      </c>
      <c r="CG51" s="1576">
        <f t="shared" si="33"/>
        <v>0</v>
      </c>
      <c r="CH51" s="1495">
        <f t="shared" ref="CH51:CH78" si="79">$Y$335/BF51*BI51*$C$421</f>
        <v>0</v>
      </c>
      <c r="CI51" s="1577">
        <f t="shared" ref="CI51:CI78" si="80">AW$370/$BF51*$BI51</f>
        <v>0</v>
      </c>
      <c r="CJ51" s="1576">
        <f t="shared" si="36"/>
        <v>0</v>
      </c>
      <c r="CK51" s="1495">
        <f t="shared" ref="CK51:CK78" si="81">$Z$335/BF51*BI51*$CM$16</f>
        <v>0</v>
      </c>
      <c r="CL51" s="1577">
        <f t="shared" ref="CL51:CL78" si="82">AX$370/$BF51*$BI51</f>
        <v>0</v>
      </c>
      <c r="CM51" s="1576">
        <f t="shared" si="39"/>
        <v>0</v>
      </c>
      <c r="CN51" s="1495">
        <f t="shared" ref="CN51:CN78" si="83">$AA$335/BF51*BI51*$CP$16</f>
        <v>0</v>
      </c>
      <c r="CO51" s="1577">
        <f t="shared" ref="CO51:CO78" si="84">$AY$370/$BF51*$BI51</f>
        <v>0</v>
      </c>
      <c r="CP51" s="1576">
        <f t="shared" si="42"/>
        <v>0</v>
      </c>
      <c r="CQ51" s="1495">
        <f t="shared" ref="CQ51:CQ78" si="85">$AB$335/BF51*BI51*$CS$16</f>
        <v>0</v>
      </c>
      <c r="CR51" s="1577">
        <f t="shared" ref="CR51:CR78" si="86">AZ$370/$BF51*$BI51</f>
        <v>0</v>
      </c>
      <c r="CS51" s="1576">
        <f t="shared" si="45"/>
        <v>0</v>
      </c>
      <c r="CT51" s="1495">
        <f t="shared" ref="CT51:CT78" si="87">$AC$335/BF51*BI51*$CV$16</f>
        <v>0</v>
      </c>
      <c r="CU51" s="1577">
        <f t="shared" ref="CU51:CU78" si="88">BA$370/$BF51*$BI51</f>
        <v>0</v>
      </c>
      <c r="CV51" s="1576">
        <f t="shared" si="48"/>
        <v>0</v>
      </c>
      <c r="CW51" s="1495">
        <f t="shared" ref="CW51:CW78" si="89">$AD$335/BF51*BI51*$CY$16</f>
        <v>0</v>
      </c>
      <c r="CX51" s="1577">
        <f t="shared" ref="CX51:CX78" si="90">BB$370/$BF51*$BI51</f>
        <v>0</v>
      </c>
      <c r="CY51" s="1576">
        <f t="shared" si="51"/>
        <v>0</v>
      </c>
      <c r="CZ51" s="1574">
        <f t="shared" si="52"/>
        <v>0</v>
      </c>
      <c r="DA51" s="1578">
        <f t="shared" si="54"/>
        <v>0</v>
      </c>
      <c r="DB51" s="1579">
        <f t="shared" si="55"/>
        <v>0</v>
      </c>
      <c r="DC51" s="1578">
        <f t="shared" si="56"/>
        <v>0</v>
      </c>
      <c r="DD51" s="1578">
        <f t="shared" si="56"/>
        <v>0</v>
      </c>
      <c r="DE51" s="1578">
        <f t="shared" si="56"/>
        <v>0</v>
      </c>
      <c r="DF51" s="1578">
        <f>IF(DA51-(DE50+CZ51)&lt;0,0,DA51-(DE50+CZ51))</f>
        <v>0</v>
      </c>
      <c r="DG51" s="1420"/>
      <c r="DH51" s="1420"/>
    </row>
    <row r="52" spans="1:153" s="1458" customFormat="1" ht="17.25" customHeight="1">
      <c r="A52" s="1587"/>
      <c r="B52" s="1611" t="s">
        <v>1604</v>
      </c>
      <c r="C52" s="1448"/>
      <c r="D52" s="1448"/>
      <c r="E52" s="1448"/>
      <c r="F52" s="1448"/>
      <c r="G52" s="1448"/>
      <c r="H52" s="1448"/>
      <c r="I52" s="1448"/>
      <c r="J52" s="1448"/>
      <c r="K52" s="1448"/>
      <c r="L52" s="1448"/>
      <c r="M52" s="1448"/>
      <c r="N52" s="1448"/>
      <c r="O52" s="1448"/>
      <c r="P52" s="1448"/>
      <c r="Q52" s="1448"/>
      <c r="R52" s="1448"/>
      <c r="S52" s="1448"/>
      <c r="T52" s="1448"/>
      <c r="U52" s="1448"/>
      <c r="V52" s="1448"/>
      <c r="W52" s="1448"/>
      <c r="X52" s="1448"/>
      <c r="Y52" s="1448"/>
      <c r="Z52" s="1448"/>
      <c r="AA52" s="1448"/>
      <c r="AB52" s="1448"/>
      <c r="AC52" s="1448"/>
      <c r="AD52" s="1448"/>
      <c r="AE52" s="1448"/>
      <c r="AF52" s="1448"/>
      <c r="AG52" s="1448"/>
      <c r="AH52" s="1448"/>
      <c r="AI52" s="1448"/>
      <c r="AJ52" s="1448"/>
      <c r="AK52" s="1448"/>
      <c r="AL52" s="1448"/>
      <c r="AM52" s="1448"/>
      <c r="AN52" s="1448"/>
      <c r="AO52" s="1448"/>
      <c r="AP52" s="1448"/>
      <c r="AQ52" s="1448"/>
      <c r="AR52" s="1448"/>
      <c r="AS52" s="1448"/>
      <c r="AT52" s="1448"/>
      <c r="AU52" s="1448"/>
      <c r="AV52" s="1448"/>
      <c r="AW52" s="1448"/>
      <c r="AX52" s="1448"/>
      <c r="AY52" s="1448"/>
      <c r="AZ52" s="1448"/>
      <c r="BA52" s="1448"/>
      <c r="BB52" s="1448"/>
      <c r="BC52" s="1448"/>
      <c r="BD52" s="1449"/>
      <c r="BE52" s="1612" t="s">
        <v>1209</v>
      </c>
      <c r="BF52" s="1613">
        <v>20</v>
      </c>
      <c r="BG52" s="1613">
        <v>2</v>
      </c>
      <c r="BH52" s="1613">
        <v>2</v>
      </c>
      <c r="BI52" s="1614" t="b">
        <f t="shared" si="53"/>
        <v>1</v>
      </c>
      <c r="BJ52" s="1615" t="b">
        <f t="shared" si="65"/>
        <v>0</v>
      </c>
      <c r="BK52" s="1616">
        <f t="shared" si="66"/>
        <v>0</v>
      </c>
      <c r="BL52" s="1617">
        <f>IF(SUM(BL$51:BL51,BK52)&gt;$BK$4,0,BK52)</f>
        <v>0</v>
      </c>
      <c r="BM52" s="1613">
        <f t="shared" si="14"/>
        <v>0</v>
      </c>
      <c r="BN52" s="1614">
        <f t="shared" si="15"/>
        <v>0</v>
      </c>
      <c r="BO52" s="1618">
        <f t="shared" si="59"/>
        <v>0</v>
      </c>
      <c r="BP52" s="1574">
        <f t="shared" si="67"/>
        <v>0</v>
      </c>
      <c r="BQ52" s="1577">
        <f t="shared" si="68"/>
        <v>0</v>
      </c>
      <c r="BR52" s="1576">
        <f t="shared" si="18"/>
        <v>0</v>
      </c>
      <c r="BS52" s="1574">
        <f t="shared" si="69"/>
        <v>0</v>
      </c>
      <c r="BT52" s="1577">
        <f t="shared" si="70"/>
        <v>0</v>
      </c>
      <c r="BU52" s="1576">
        <f t="shared" si="21"/>
        <v>0</v>
      </c>
      <c r="BV52" s="1574">
        <f t="shared" si="71"/>
        <v>0</v>
      </c>
      <c r="BW52" s="1577">
        <f t="shared" si="72"/>
        <v>0</v>
      </c>
      <c r="BX52" s="1576">
        <f t="shared" si="24"/>
        <v>0</v>
      </c>
      <c r="BY52" s="1574">
        <f t="shared" si="73"/>
        <v>0</v>
      </c>
      <c r="BZ52" s="1577">
        <f t="shared" si="74"/>
        <v>0</v>
      </c>
      <c r="CA52" s="1576">
        <f t="shared" si="27"/>
        <v>0</v>
      </c>
      <c r="CB52" s="1614">
        <f t="shared" si="75"/>
        <v>0</v>
      </c>
      <c r="CC52" s="1577">
        <f t="shared" si="76"/>
        <v>0</v>
      </c>
      <c r="CD52" s="1576">
        <f t="shared" si="30"/>
        <v>0</v>
      </c>
      <c r="CE52" s="1614">
        <f t="shared" si="77"/>
        <v>0</v>
      </c>
      <c r="CF52" s="1577">
        <f t="shared" si="78"/>
        <v>0</v>
      </c>
      <c r="CG52" s="1576">
        <f t="shared" si="33"/>
        <v>0</v>
      </c>
      <c r="CH52" s="1614">
        <f t="shared" si="79"/>
        <v>0</v>
      </c>
      <c r="CI52" s="1577">
        <f t="shared" si="80"/>
        <v>0</v>
      </c>
      <c r="CJ52" s="1576">
        <f t="shared" si="36"/>
        <v>0</v>
      </c>
      <c r="CK52" s="1495">
        <f t="shared" si="81"/>
        <v>0</v>
      </c>
      <c r="CL52" s="1577">
        <f t="shared" si="82"/>
        <v>0</v>
      </c>
      <c r="CM52" s="1576">
        <f t="shared" si="39"/>
        <v>0</v>
      </c>
      <c r="CN52" s="1495">
        <f t="shared" si="83"/>
        <v>0</v>
      </c>
      <c r="CO52" s="1577">
        <f t="shared" si="84"/>
        <v>0</v>
      </c>
      <c r="CP52" s="1576">
        <f t="shared" si="42"/>
        <v>0</v>
      </c>
      <c r="CQ52" s="1495">
        <f t="shared" si="85"/>
        <v>0</v>
      </c>
      <c r="CR52" s="1577">
        <f t="shared" si="86"/>
        <v>0</v>
      </c>
      <c r="CS52" s="1576">
        <f t="shared" si="45"/>
        <v>0</v>
      </c>
      <c r="CT52" s="1495">
        <f t="shared" si="87"/>
        <v>0</v>
      </c>
      <c r="CU52" s="1577">
        <f t="shared" si="88"/>
        <v>0</v>
      </c>
      <c r="CV52" s="1576">
        <f t="shared" si="48"/>
        <v>0</v>
      </c>
      <c r="CW52" s="1495">
        <f t="shared" si="89"/>
        <v>0</v>
      </c>
      <c r="CX52" s="1577">
        <f t="shared" si="90"/>
        <v>0</v>
      </c>
      <c r="CY52" s="1576">
        <f t="shared" si="51"/>
        <v>0</v>
      </c>
      <c r="CZ52" s="1619">
        <f t="shared" si="52"/>
        <v>0</v>
      </c>
      <c r="DA52" s="1578">
        <f t="shared" si="54"/>
        <v>0</v>
      </c>
      <c r="DB52" s="1620">
        <f t="shared" si="55"/>
        <v>0</v>
      </c>
      <c r="DC52" s="1621">
        <f t="shared" si="56"/>
        <v>0</v>
      </c>
      <c r="DD52" s="1621">
        <f t="shared" si="56"/>
        <v>0</v>
      </c>
      <c r="DE52" s="1621">
        <f t="shared" si="56"/>
        <v>0</v>
      </c>
      <c r="DF52" s="1621">
        <f t="shared" si="57"/>
        <v>0</v>
      </c>
      <c r="DG52" s="1467"/>
      <c r="DH52" s="1467"/>
      <c r="DI52" s="1440"/>
      <c r="DJ52" s="1427"/>
      <c r="DK52" s="1427"/>
      <c r="DL52" s="1427"/>
      <c r="DM52" s="1427"/>
      <c r="DN52" s="1427"/>
      <c r="DO52" s="1427"/>
      <c r="DP52" s="1427"/>
      <c r="DQ52" s="1440"/>
      <c r="DR52" s="1428"/>
      <c r="DS52" s="1428"/>
      <c r="DT52" s="1428"/>
      <c r="DU52" s="1428"/>
      <c r="DV52" s="1428"/>
      <c r="DW52" s="1428"/>
      <c r="DX52" s="1428"/>
      <c r="DY52" s="1428"/>
      <c r="DZ52" s="1428"/>
      <c r="EA52" s="1428"/>
      <c r="EB52" s="1428"/>
      <c r="EC52" s="1428"/>
      <c r="ED52" s="1428"/>
      <c r="EE52" s="1428"/>
      <c r="EF52" s="1428"/>
      <c r="EG52" s="1428"/>
      <c r="EH52" s="1428"/>
      <c r="EI52" s="1428"/>
      <c r="EJ52" s="1428"/>
      <c r="EK52" s="1428"/>
      <c r="EL52" s="1428"/>
      <c r="EM52" s="1428"/>
      <c r="EN52" s="1428"/>
      <c r="EO52" s="1428"/>
      <c r="EP52" s="1428"/>
      <c r="EQ52" s="1428"/>
      <c r="ER52" s="1428"/>
      <c r="ES52" s="1428"/>
      <c r="ET52" s="1428"/>
      <c r="EU52" s="1428"/>
    </row>
    <row r="53" spans="1:153">
      <c r="A53" s="1622"/>
      <c r="B53" s="1623" t="s">
        <v>489</v>
      </c>
      <c r="C53" s="1624"/>
      <c r="D53" s="1624"/>
      <c r="E53" s="1624"/>
      <c r="F53" s="1624"/>
      <c r="G53" s="1624"/>
      <c r="H53" s="1624"/>
      <c r="I53" s="1624"/>
      <c r="J53" s="1624"/>
      <c r="K53" s="1624"/>
      <c r="L53" s="1624"/>
      <c r="M53" s="1624"/>
      <c r="N53" s="1461"/>
      <c r="O53" s="1461"/>
      <c r="P53" s="1461"/>
      <c r="Q53" s="1461"/>
      <c r="R53" s="1461"/>
      <c r="S53" s="1461"/>
      <c r="T53" s="1461"/>
      <c r="U53" s="1461"/>
      <c r="V53" s="1461"/>
      <c r="W53" s="1461"/>
      <c r="X53" s="1461"/>
      <c r="Y53" s="1461"/>
      <c r="Z53" s="1461"/>
      <c r="AA53" s="1461"/>
      <c r="AB53" s="1461"/>
      <c r="AC53" s="1461"/>
      <c r="AD53" s="1461"/>
      <c r="AE53" s="1461"/>
      <c r="AF53" s="1461"/>
      <c r="AG53" s="1461"/>
      <c r="AH53" s="1461"/>
      <c r="AI53" s="1461"/>
      <c r="AJ53" s="1461"/>
      <c r="AK53" s="1461"/>
      <c r="AL53" s="1461"/>
      <c r="AM53" s="1461"/>
      <c r="AN53" s="1461"/>
      <c r="AO53" s="1461"/>
      <c r="AP53" s="1461"/>
      <c r="AQ53" s="1461"/>
      <c r="AR53" s="1461"/>
      <c r="AS53" s="1461"/>
      <c r="AT53" s="1461"/>
      <c r="AU53" s="1461"/>
      <c r="AV53" s="1461"/>
      <c r="AW53" s="1461"/>
      <c r="AX53" s="1461"/>
      <c r="AY53" s="1461"/>
      <c r="AZ53" s="1461"/>
      <c r="BA53" s="1461"/>
      <c r="BB53" s="1461"/>
      <c r="BC53" s="1461"/>
      <c r="BD53" s="1449"/>
      <c r="BE53" s="1571" t="s">
        <v>1209</v>
      </c>
      <c r="BF53" s="1436">
        <v>20</v>
      </c>
      <c r="BG53" s="1436">
        <v>3</v>
      </c>
      <c r="BH53" s="1436">
        <v>3</v>
      </c>
      <c r="BI53" s="1495" t="b">
        <f t="shared" si="53"/>
        <v>1</v>
      </c>
      <c r="BJ53" s="1450" t="b">
        <f t="shared" si="65"/>
        <v>0</v>
      </c>
      <c r="BK53" s="1572">
        <f t="shared" si="66"/>
        <v>0</v>
      </c>
      <c r="BL53" s="1581">
        <f>IF(SUM(BL$51:BL52,BK53)&gt;$BK$4,0,BK53)</f>
        <v>0</v>
      </c>
      <c r="BM53" s="1436">
        <f t="shared" si="14"/>
        <v>0</v>
      </c>
      <c r="BN53" s="1495">
        <f t="shared" si="15"/>
        <v>0</v>
      </c>
      <c r="BO53" s="1437">
        <f t="shared" si="59"/>
        <v>0</v>
      </c>
      <c r="BP53" s="1574">
        <f t="shared" si="67"/>
        <v>0</v>
      </c>
      <c r="BQ53" s="1577">
        <f t="shared" si="68"/>
        <v>0</v>
      </c>
      <c r="BR53" s="1576">
        <f t="shared" si="18"/>
        <v>0</v>
      </c>
      <c r="BS53" s="1574">
        <f t="shared" si="69"/>
        <v>0</v>
      </c>
      <c r="BT53" s="1577">
        <f t="shared" si="70"/>
        <v>0</v>
      </c>
      <c r="BU53" s="1576">
        <f t="shared" si="21"/>
        <v>0</v>
      </c>
      <c r="BV53" s="1574">
        <f t="shared" si="71"/>
        <v>0</v>
      </c>
      <c r="BW53" s="1577">
        <f t="shared" si="72"/>
        <v>0</v>
      </c>
      <c r="BX53" s="1576">
        <f t="shared" si="24"/>
        <v>0</v>
      </c>
      <c r="BY53" s="1574">
        <f t="shared" si="73"/>
        <v>0</v>
      </c>
      <c r="BZ53" s="1577">
        <f t="shared" si="74"/>
        <v>0</v>
      </c>
      <c r="CA53" s="1576">
        <f t="shared" si="27"/>
        <v>0</v>
      </c>
      <c r="CB53" s="1495">
        <f t="shared" si="75"/>
        <v>0</v>
      </c>
      <c r="CC53" s="1577">
        <f t="shared" si="76"/>
        <v>0</v>
      </c>
      <c r="CD53" s="1576">
        <f t="shared" si="30"/>
        <v>0</v>
      </c>
      <c r="CE53" s="1495">
        <f t="shared" si="77"/>
        <v>0</v>
      </c>
      <c r="CF53" s="1577">
        <f t="shared" si="78"/>
        <v>0</v>
      </c>
      <c r="CG53" s="1576">
        <f t="shared" si="33"/>
        <v>0</v>
      </c>
      <c r="CH53" s="1495">
        <f t="shared" si="79"/>
        <v>0</v>
      </c>
      <c r="CI53" s="1577">
        <f t="shared" si="80"/>
        <v>0</v>
      </c>
      <c r="CJ53" s="1576">
        <f t="shared" si="36"/>
        <v>0</v>
      </c>
      <c r="CK53" s="1495">
        <f t="shared" si="81"/>
        <v>0</v>
      </c>
      <c r="CL53" s="1577">
        <f t="shared" si="82"/>
        <v>0</v>
      </c>
      <c r="CM53" s="1576">
        <f t="shared" si="39"/>
        <v>0</v>
      </c>
      <c r="CN53" s="1495">
        <f t="shared" si="83"/>
        <v>0</v>
      </c>
      <c r="CO53" s="1577">
        <f t="shared" si="84"/>
        <v>0</v>
      </c>
      <c r="CP53" s="1576">
        <f t="shared" si="42"/>
        <v>0</v>
      </c>
      <c r="CQ53" s="1495">
        <f t="shared" si="85"/>
        <v>0</v>
      </c>
      <c r="CR53" s="1577">
        <f t="shared" si="86"/>
        <v>0</v>
      </c>
      <c r="CS53" s="1576">
        <f t="shared" si="45"/>
        <v>0</v>
      </c>
      <c r="CT53" s="1495">
        <f t="shared" si="87"/>
        <v>0</v>
      </c>
      <c r="CU53" s="1577">
        <f t="shared" si="88"/>
        <v>0</v>
      </c>
      <c r="CV53" s="1576">
        <f t="shared" si="48"/>
        <v>0</v>
      </c>
      <c r="CW53" s="1495">
        <f t="shared" si="89"/>
        <v>0</v>
      </c>
      <c r="CX53" s="1577">
        <f t="shared" si="90"/>
        <v>0</v>
      </c>
      <c r="CY53" s="1576">
        <f t="shared" si="51"/>
        <v>0</v>
      </c>
      <c r="CZ53" s="1574">
        <f t="shared" si="52"/>
        <v>0</v>
      </c>
      <c r="DA53" s="1578">
        <f t="shared" si="54"/>
        <v>0</v>
      </c>
      <c r="DB53" s="1579">
        <f t="shared" si="55"/>
        <v>0</v>
      </c>
      <c r="DC53" s="1578">
        <f t="shared" si="56"/>
        <v>0</v>
      </c>
      <c r="DD53" s="1578">
        <f t="shared" si="56"/>
        <v>0</v>
      </c>
      <c r="DE53" s="1578">
        <f t="shared" si="56"/>
        <v>0</v>
      </c>
      <c r="DF53" s="1578">
        <f t="shared" si="57"/>
        <v>0</v>
      </c>
      <c r="DG53" s="1420"/>
      <c r="DH53" s="1420"/>
    </row>
    <row r="54" spans="1:153" ht="20.25" customHeight="1">
      <c r="A54" s="1446"/>
      <c r="B54" s="1457" t="s">
        <v>2322</v>
      </c>
      <c r="C54" s="1458"/>
      <c r="D54" s="1458"/>
      <c r="E54" s="1458"/>
      <c r="F54" s="1458"/>
      <c r="G54" s="1458"/>
      <c r="H54" s="1458"/>
      <c r="I54" s="1458"/>
      <c r="J54" s="1458"/>
      <c r="K54" s="1458"/>
      <c r="L54" s="1458"/>
      <c r="M54" s="1458"/>
      <c r="N54" s="1624"/>
      <c r="O54" s="1624"/>
      <c r="P54" s="1624"/>
      <c r="Q54" s="1624"/>
      <c r="R54" s="1624"/>
      <c r="S54" s="1624"/>
      <c r="T54" s="1624"/>
      <c r="U54" s="1624"/>
      <c r="V54" s="1624"/>
      <c r="W54" s="1624"/>
      <c r="X54" s="1624"/>
      <c r="Y54" s="1624"/>
      <c r="Z54" s="1624"/>
      <c r="AA54" s="1624"/>
      <c r="AB54" s="1624"/>
      <c r="AC54" s="1624"/>
      <c r="AD54" s="1624"/>
      <c r="AE54" s="1624"/>
      <c r="AF54" s="1624"/>
      <c r="AG54" s="1624"/>
      <c r="AH54" s="1624"/>
      <c r="AI54" s="1624"/>
      <c r="AJ54" s="1624"/>
      <c r="AK54" s="1624"/>
      <c r="AL54" s="1624"/>
      <c r="AM54" s="1624"/>
      <c r="AN54" s="1624"/>
      <c r="AO54" s="1624"/>
      <c r="AP54" s="1624"/>
      <c r="AQ54" s="1624"/>
      <c r="AR54" s="1624"/>
      <c r="AS54" s="1624"/>
      <c r="AT54" s="1624"/>
      <c r="AU54" s="1624"/>
      <c r="AV54" s="1624"/>
      <c r="AW54" s="1624"/>
      <c r="AX54" s="1624"/>
      <c r="AY54" s="1624"/>
      <c r="AZ54" s="1624"/>
      <c r="BA54" s="1624"/>
      <c r="BB54" s="1624"/>
      <c r="BC54" s="1624"/>
      <c r="BD54" s="1449"/>
      <c r="BE54" s="1571" t="s">
        <v>1209</v>
      </c>
      <c r="BF54" s="1436">
        <v>20</v>
      </c>
      <c r="BG54" s="1436">
        <v>4</v>
      </c>
      <c r="BH54" s="1436">
        <v>4</v>
      </c>
      <c r="BI54" s="1495" t="b">
        <f t="shared" si="53"/>
        <v>1</v>
      </c>
      <c r="BJ54" s="1450" t="b">
        <f t="shared" si="65"/>
        <v>1</v>
      </c>
      <c r="BK54" s="1572">
        <f t="shared" si="66"/>
        <v>7.5</v>
      </c>
      <c r="BL54" s="1581">
        <f>IF(SUM(BL$51:BL53,BK54)&gt;$BK$4,0,BK54)</f>
        <v>7.5</v>
      </c>
      <c r="BM54" s="1436">
        <f t="shared" si="14"/>
        <v>0</v>
      </c>
      <c r="BN54" s="1495">
        <f t="shared" si="15"/>
        <v>0</v>
      </c>
      <c r="BO54" s="1437">
        <f t="shared" si="59"/>
        <v>0</v>
      </c>
      <c r="BP54" s="1574">
        <f t="shared" si="67"/>
        <v>0</v>
      </c>
      <c r="BQ54" s="1577">
        <f t="shared" si="68"/>
        <v>0</v>
      </c>
      <c r="BR54" s="1576">
        <f t="shared" si="18"/>
        <v>0</v>
      </c>
      <c r="BS54" s="1574">
        <f t="shared" si="69"/>
        <v>0</v>
      </c>
      <c r="BT54" s="1577">
        <f t="shared" si="70"/>
        <v>0</v>
      </c>
      <c r="BU54" s="1576">
        <f t="shared" si="21"/>
        <v>0</v>
      </c>
      <c r="BV54" s="1574">
        <f t="shared" si="71"/>
        <v>0</v>
      </c>
      <c r="BW54" s="1577">
        <f t="shared" si="72"/>
        <v>0</v>
      </c>
      <c r="BX54" s="1576">
        <f t="shared" si="24"/>
        <v>0</v>
      </c>
      <c r="BY54" s="1574">
        <f t="shared" si="73"/>
        <v>0</v>
      </c>
      <c r="BZ54" s="1577">
        <f t="shared" si="74"/>
        <v>0</v>
      </c>
      <c r="CA54" s="1576">
        <f t="shared" si="27"/>
        <v>0</v>
      </c>
      <c r="CB54" s="1495">
        <f t="shared" si="75"/>
        <v>0</v>
      </c>
      <c r="CC54" s="1577">
        <f t="shared" si="76"/>
        <v>0</v>
      </c>
      <c r="CD54" s="1576">
        <f t="shared" si="30"/>
        <v>0</v>
      </c>
      <c r="CE54" s="1495">
        <f t="shared" si="77"/>
        <v>0</v>
      </c>
      <c r="CF54" s="1577">
        <f t="shared" si="78"/>
        <v>0</v>
      </c>
      <c r="CG54" s="1576">
        <f t="shared" si="33"/>
        <v>0</v>
      </c>
      <c r="CH54" s="1495">
        <f t="shared" si="79"/>
        <v>0</v>
      </c>
      <c r="CI54" s="1577">
        <f t="shared" si="80"/>
        <v>0</v>
      </c>
      <c r="CJ54" s="1576">
        <f t="shared" si="36"/>
        <v>0</v>
      </c>
      <c r="CK54" s="1495">
        <f t="shared" si="81"/>
        <v>0</v>
      </c>
      <c r="CL54" s="1577">
        <f t="shared" si="82"/>
        <v>0</v>
      </c>
      <c r="CM54" s="1576">
        <f t="shared" si="39"/>
        <v>0</v>
      </c>
      <c r="CN54" s="1495">
        <f t="shared" si="83"/>
        <v>0</v>
      </c>
      <c r="CO54" s="1577">
        <f t="shared" si="84"/>
        <v>0</v>
      </c>
      <c r="CP54" s="1576">
        <f t="shared" si="42"/>
        <v>0</v>
      </c>
      <c r="CQ54" s="1495">
        <f t="shared" si="85"/>
        <v>0</v>
      </c>
      <c r="CR54" s="1577">
        <f t="shared" si="86"/>
        <v>0</v>
      </c>
      <c r="CS54" s="1576">
        <f t="shared" si="45"/>
        <v>0</v>
      </c>
      <c r="CT54" s="1495">
        <f t="shared" si="87"/>
        <v>0</v>
      </c>
      <c r="CU54" s="1577">
        <f t="shared" si="88"/>
        <v>0</v>
      </c>
      <c r="CV54" s="1576">
        <f t="shared" si="48"/>
        <v>0</v>
      </c>
      <c r="CW54" s="1495">
        <f t="shared" si="89"/>
        <v>0</v>
      </c>
      <c r="CX54" s="1577">
        <f t="shared" si="90"/>
        <v>0</v>
      </c>
      <c r="CY54" s="1576">
        <f t="shared" si="51"/>
        <v>0</v>
      </c>
      <c r="CZ54" s="1574">
        <f t="shared" si="52"/>
        <v>0</v>
      </c>
      <c r="DA54" s="1578">
        <f t="shared" si="54"/>
        <v>0</v>
      </c>
      <c r="DB54" s="1579">
        <f t="shared" si="55"/>
        <v>0</v>
      </c>
      <c r="DC54" s="1578">
        <f t="shared" si="56"/>
        <v>0</v>
      </c>
      <c r="DD54" s="1578">
        <f t="shared" si="56"/>
        <v>0</v>
      </c>
      <c r="DE54" s="1578">
        <f t="shared" si="56"/>
        <v>0</v>
      </c>
      <c r="DF54" s="1578">
        <f t="shared" si="57"/>
        <v>0</v>
      </c>
      <c r="DG54" s="1420"/>
      <c r="DH54" s="1420"/>
      <c r="DI54" s="1440"/>
      <c r="DJ54" s="1427"/>
      <c r="DK54" s="1427"/>
      <c r="DL54" s="1427"/>
      <c r="DM54" s="1427"/>
      <c r="DN54" s="1427"/>
      <c r="DO54" s="1427"/>
      <c r="DP54" s="1427"/>
      <c r="DQ54" s="1440"/>
      <c r="DV54" s="1625"/>
      <c r="DW54" s="1625"/>
      <c r="DX54" s="1625"/>
      <c r="DY54" s="1625"/>
      <c r="DZ54" s="1625"/>
      <c r="EA54" s="1625"/>
      <c r="EB54" s="1625"/>
      <c r="EC54" s="1625"/>
      <c r="ED54" s="1625"/>
      <c r="EE54" s="1625"/>
      <c r="EF54" s="1625"/>
      <c r="EG54" s="1625"/>
    </row>
    <row r="55" spans="1:153" ht="11.25">
      <c r="I55" s="1422"/>
      <c r="J55" s="1422"/>
      <c r="K55" s="1422"/>
      <c r="BD55" s="1449"/>
      <c r="BE55" s="1571" t="s">
        <v>1209</v>
      </c>
      <c r="BF55" s="1436">
        <v>20</v>
      </c>
      <c r="BG55" s="1436">
        <v>5</v>
      </c>
      <c r="BH55" s="1436">
        <v>5</v>
      </c>
      <c r="BI55" s="1495" t="b">
        <f t="shared" si="53"/>
        <v>1</v>
      </c>
      <c r="BJ55" s="1450" t="b">
        <f t="shared" si="65"/>
        <v>0</v>
      </c>
      <c r="BK55" s="1572">
        <f t="shared" si="66"/>
        <v>0</v>
      </c>
      <c r="BL55" s="1581">
        <f>IF(SUM(BL$51:BL54,BK55)&gt;$BK$4,0,BK55)</f>
        <v>0</v>
      </c>
      <c r="BM55" s="1436">
        <f t="shared" si="14"/>
        <v>0</v>
      </c>
      <c r="BN55" s="1495">
        <f t="shared" si="15"/>
        <v>0</v>
      </c>
      <c r="BO55" s="1437">
        <f t="shared" si="59"/>
        <v>0</v>
      </c>
      <c r="BP55" s="1574">
        <f t="shared" si="67"/>
        <v>0</v>
      </c>
      <c r="BQ55" s="1577">
        <f t="shared" si="68"/>
        <v>0</v>
      </c>
      <c r="BR55" s="1576">
        <f t="shared" si="18"/>
        <v>0</v>
      </c>
      <c r="BS55" s="1574">
        <f t="shared" si="69"/>
        <v>0</v>
      </c>
      <c r="BT55" s="1577">
        <f t="shared" si="70"/>
        <v>0</v>
      </c>
      <c r="BU55" s="1576">
        <f t="shared" si="21"/>
        <v>0</v>
      </c>
      <c r="BV55" s="1574">
        <f t="shared" si="71"/>
        <v>0</v>
      </c>
      <c r="BW55" s="1577">
        <f t="shared" si="72"/>
        <v>0</v>
      </c>
      <c r="BX55" s="1576">
        <f t="shared" si="24"/>
        <v>0</v>
      </c>
      <c r="BY55" s="1574">
        <f t="shared" si="73"/>
        <v>0</v>
      </c>
      <c r="BZ55" s="1577">
        <f t="shared" si="74"/>
        <v>0</v>
      </c>
      <c r="CA55" s="1576">
        <f t="shared" si="27"/>
        <v>0</v>
      </c>
      <c r="CB55" s="1495">
        <f t="shared" si="75"/>
        <v>0</v>
      </c>
      <c r="CC55" s="1577">
        <f t="shared" si="76"/>
        <v>0</v>
      </c>
      <c r="CD55" s="1576">
        <f t="shared" si="30"/>
        <v>0</v>
      </c>
      <c r="CE55" s="1495">
        <f t="shared" si="77"/>
        <v>0</v>
      </c>
      <c r="CF55" s="1577">
        <f t="shared" si="78"/>
        <v>0</v>
      </c>
      <c r="CG55" s="1576">
        <f t="shared" si="33"/>
        <v>0</v>
      </c>
      <c r="CH55" s="1495">
        <f t="shared" si="79"/>
        <v>0</v>
      </c>
      <c r="CI55" s="1577">
        <f t="shared" si="80"/>
        <v>0</v>
      </c>
      <c r="CJ55" s="1576">
        <f t="shared" si="36"/>
        <v>0</v>
      </c>
      <c r="CK55" s="1495">
        <f t="shared" si="81"/>
        <v>0</v>
      </c>
      <c r="CL55" s="1577">
        <f t="shared" si="82"/>
        <v>0</v>
      </c>
      <c r="CM55" s="1576">
        <f t="shared" si="39"/>
        <v>0</v>
      </c>
      <c r="CN55" s="1495">
        <f t="shared" si="83"/>
        <v>0</v>
      </c>
      <c r="CO55" s="1577">
        <f t="shared" si="84"/>
        <v>0</v>
      </c>
      <c r="CP55" s="1576">
        <f t="shared" si="42"/>
        <v>0</v>
      </c>
      <c r="CQ55" s="1495">
        <f t="shared" si="85"/>
        <v>0</v>
      </c>
      <c r="CR55" s="1577">
        <f t="shared" si="86"/>
        <v>0</v>
      </c>
      <c r="CS55" s="1576">
        <f t="shared" si="45"/>
        <v>0</v>
      </c>
      <c r="CT55" s="1495">
        <f t="shared" si="87"/>
        <v>0</v>
      </c>
      <c r="CU55" s="1577">
        <f t="shared" si="88"/>
        <v>0</v>
      </c>
      <c r="CV55" s="1576">
        <f t="shared" si="48"/>
        <v>0</v>
      </c>
      <c r="CW55" s="1495">
        <f t="shared" si="89"/>
        <v>0</v>
      </c>
      <c r="CX55" s="1577">
        <f t="shared" si="90"/>
        <v>0</v>
      </c>
      <c r="CY55" s="1576">
        <f t="shared" si="51"/>
        <v>0</v>
      </c>
      <c r="CZ55" s="1574">
        <f t="shared" si="52"/>
        <v>0</v>
      </c>
      <c r="DA55" s="1578">
        <f t="shared" si="54"/>
        <v>0</v>
      </c>
      <c r="DB55" s="1579">
        <f t="shared" si="55"/>
        <v>0</v>
      </c>
      <c r="DC55" s="1578">
        <f t="shared" si="56"/>
        <v>0</v>
      </c>
      <c r="DD55" s="1578">
        <f t="shared" si="56"/>
        <v>0</v>
      </c>
      <c r="DE55" s="1578">
        <f t="shared" si="56"/>
        <v>0</v>
      </c>
      <c r="DF55" s="1578">
        <f t="shared" si="57"/>
        <v>0</v>
      </c>
      <c r="DG55" s="1420"/>
      <c r="DH55" s="1420"/>
      <c r="DV55" s="1626"/>
      <c r="DW55" s="1626"/>
      <c r="DX55" s="1626"/>
      <c r="DY55" s="1626"/>
      <c r="DZ55" s="1626"/>
      <c r="EA55" s="1626"/>
      <c r="EB55" s="1626"/>
      <c r="EC55" s="1626"/>
      <c r="ED55" s="1626"/>
      <c r="EE55" s="1626"/>
      <c r="EF55" s="1626"/>
      <c r="EG55" s="1626"/>
    </row>
    <row r="56" spans="1:153" ht="27.75" customHeight="1">
      <c r="A56" s="1627"/>
      <c r="B56" s="1628" t="s">
        <v>1605</v>
      </c>
      <c r="C56" s="1628"/>
      <c r="D56" s="1628"/>
      <c r="E56" s="1628"/>
      <c r="F56" s="1628"/>
      <c r="G56" s="1455"/>
      <c r="I56" s="1422"/>
      <c r="J56" s="1422"/>
      <c r="K56" s="1422"/>
      <c r="P56" s="2554" t="s">
        <v>1606</v>
      </c>
      <c r="Q56" s="2554"/>
      <c r="R56" s="1629">
        <f>$V$30</f>
        <v>0</v>
      </c>
      <c r="T56" s="2555" t="s">
        <v>121</v>
      </c>
      <c r="U56" s="2555"/>
      <c r="V56" s="2555"/>
      <c r="W56" s="2555"/>
      <c r="X56" s="2556" t="s">
        <v>337</v>
      </c>
      <c r="Y56" s="2556"/>
      <c r="Z56" s="2556"/>
      <c r="AA56" s="2556"/>
      <c r="BD56" s="1449"/>
      <c r="BE56" s="1571" t="s">
        <v>1209</v>
      </c>
      <c r="BF56" s="1436">
        <v>20</v>
      </c>
      <c r="BG56" s="1436">
        <v>6</v>
      </c>
      <c r="BH56" s="1436">
        <v>6</v>
      </c>
      <c r="BI56" s="1495" t="b">
        <f t="shared" si="53"/>
        <v>0</v>
      </c>
      <c r="BJ56" s="1450" t="b">
        <f t="shared" si="65"/>
        <v>0</v>
      </c>
      <c r="BK56" s="1572">
        <f t="shared" si="66"/>
        <v>0</v>
      </c>
      <c r="BL56" s="1581">
        <f>IF(SUM(BL$51:BL55,BK56)&gt;$BK$4,0,BK56)</f>
        <v>0</v>
      </c>
      <c r="BM56" s="1436">
        <f t="shared" si="14"/>
        <v>0</v>
      </c>
      <c r="BN56" s="1495">
        <f t="shared" si="15"/>
        <v>0</v>
      </c>
      <c r="BO56" s="1437">
        <f t="shared" si="59"/>
        <v>0</v>
      </c>
      <c r="BP56" s="1574">
        <f t="shared" si="67"/>
        <v>0</v>
      </c>
      <c r="BQ56" s="1577">
        <f t="shared" si="68"/>
        <v>0</v>
      </c>
      <c r="BR56" s="1576">
        <f t="shared" si="18"/>
        <v>0</v>
      </c>
      <c r="BS56" s="1574">
        <f t="shared" si="69"/>
        <v>0</v>
      </c>
      <c r="BT56" s="1577">
        <f t="shared" si="70"/>
        <v>0</v>
      </c>
      <c r="BU56" s="1576">
        <f t="shared" si="21"/>
        <v>0</v>
      </c>
      <c r="BV56" s="1574">
        <f t="shared" si="71"/>
        <v>0</v>
      </c>
      <c r="BW56" s="1577">
        <f t="shared" si="72"/>
        <v>0</v>
      </c>
      <c r="BX56" s="1576">
        <f t="shared" si="24"/>
        <v>0</v>
      </c>
      <c r="BY56" s="1574">
        <f t="shared" si="73"/>
        <v>0</v>
      </c>
      <c r="BZ56" s="1577">
        <f t="shared" si="74"/>
        <v>0</v>
      </c>
      <c r="CA56" s="1576">
        <f t="shared" si="27"/>
        <v>0</v>
      </c>
      <c r="CB56" s="1495">
        <f t="shared" si="75"/>
        <v>0</v>
      </c>
      <c r="CC56" s="1577">
        <f t="shared" si="76"/>
        <v>0</v>
      </c>
      <c r="CD56" s="1576">
        <f t="shared" si="30"/>
        <v>0</v>
      </c>
      <c r="CE56" s="1495">
        <f t="shared" si="77"/>
        <v>0</v>
      </c>
      <c r="CF56" s="1577">
        <f t="shared" si="78"/>
        <v>0</v>
      </c>
      <c r="CG56" s="1576">
        <f t="shared" si="33"/>
        <v>0</v>
      </c>
      <c r="CH56" s="1495">
        <f t="shared" si="79"/>
        <v>0</v>
      </c>
      <c r="CI56" s="1577">
        <f t="shared" si="80"/>
        <v>0</v>
      </c>
      <c r="CJ56" s="1576">
        <f t="shared" si="36"/>
        <v>0</v>
      </c>
      <c r="CK56" s="1495">
        <f t="shared" si="81"/>
        <v>0</v>
      </c>
      <c r="CL56" s="1577">
        <f t="shared" si="82"/>
        <v>0</v>
      </c>
      <c r="CM56" s="1576">
        <f t="shared" si="39"/>
        <v>0</v>
      </c>
      <c r="CN56" s="1495">
        <f t="shared" si="83"/>
        <v>0</v>
      </c>
      <c r="CO56" s="1577">
        <f t="shared" si="84"/>
        <v>0</v>
      </c>
      <c r="CP56" s="1576">
        <f t="shared" si="42"/>
        <v>0</v>
      </c>
      <c r="CQ56" s="1495">
        <f t="shared" si="85"/>
        <v>0</v>
      </c>
      <c r="CR56" s="1577">
        <f t="shared" si="86"/>
        <v>0</v>
      </c>
      <c r="CS56" s="1576">
        <f t="shared" si="45"/>
        <v>0</v>
      </c>
      <c r="CT56" s="1495">
        <f t="shared" si="87"/>
        <v>0</v>
      </c>
      <c r="CU56" s="1577">
        <f t="shared" si="88"/>
        <v>0</v>
      </c>
      <c r="CV56" s="1576">
        <f t="shared" si="48"/>
        <v>0</v>
      </c>
      <c r="CW56" s="1495">
        <f t="shared" si="89"/>
        <v>0</v>
      </c>
      <c r="CX56" s="1577">
        <f t="shared" si="90"/>
        <v>0</v>
      </c>
      <c r="CY56" s="1576">
        <f t="shared" si="51"/>
        <v>0</v>
      </c>
      <c r="CZ56" s="1574">
        <f t="shared" si="52"/>
        <v>0</v>
      </c>
      <c r="DA56" s="1578">
        <f t="shared" si="54"/>
        <v>0</v>
      </c>
      <c r="DB56" s="1579">
        <f t="shared" si="55"/>
        <v>0</v>
      </c>
      <c r="DC56" s="1578">
        <f t="shared" si="56"/>
        <v>0</v>
      </c>
      <c r="DD56" s="1578">
        <f t="shared" si="56"/>
        <v>0</v>
      </c>
      <c r="DE56" s="1578">
        <f t="shared" si="56"/>
        <v>0</v>
      </c>
      <c r="DF56" s="1578">
        <f t="shared" si="57"/>
        <v>0</v>
      </c>
      <c r="DG56" s="1420"/>
      <c r="DH56" s="1420"/>
      <c r="DJ56" s="1630"/>
      <c r="DK56" s="1539"/>
      <c r="DL56" s="1631"/>
      <c r="DM56" s="1631"/>
      <c r="DN56" s="1632"/>
      <c r="DO56" s="1625"/>
      <c r="DV56" s="1633"/>
      <c r="DW56" s="1633"/>
      <c r="DX56" s="1633"/>
      <c r="DY56" s="1633"/>
      <c r="DZ56" s="1633"/>
      <c r="EA56" s="1633"/>
      <c r="EB56" s="1633"/>
      <c r="EC56" s="1633"/>
      <c r="ED56" s="1633"/>
      <c r="EE56" s="1633"/>
      <c r="EF56" s="1633"/>
      <c r="EG56" s="1633"/>
    </row>
    <row r="57" spans="1:153" ht="15" customHeight="1">
      <c r="B57" s="2532" t="s">
        <v>515</v>
      </c>
      <c r="C57" s="2532"/>
      <c r="D57" s="2532"/>
      <c r="E57" s="1596" t="s">
        <v>1609</v>
      </c>
      <c r="F57" s="1596" t="s">
        <v>1608</v>
      </c>
      <c r="G57" s="1455"/>
      <c r="K57" s="1475"/>
      <c r="L57" s="1475"/>
      <c r="M57" s="1475"/>
      <c r="R57" s="2548" t="s">
        <v>1610</v>
      </c>
      <c r="S57" s="2548" t="s">
        <v>1611</v>
      </c>
      <c r="T57" s="2548" t="s">
        <v>1612</v>
      </c>
      <c r="U57" s="2548" t="s">
        <v>1613</v>
      </c>
      <c r="V57" s="2548" t="s">
        <v>1614</v>
      </c>
      <c r="W57" s="2548" t="s">
        <v>1615</v>
      </c>
      <c r="X57" s="2548" t="s">
        <v>1612</v>
      </c>
      <c r="Y57" s="2548" t="s">
        <v>1613</v>
      </c>
      <c r="Z57" s="2548" t="s">
        <v>1614</v>
      </c>
      <c r="AA57" s="2548" t="s">
        <v>1615</v>
      </c>
      <c r="BD57" s="1449"/>
      <c r="BE57" s="1571" t="s">
        <v>1209</v>
      </c>
      <c r="BF57" s="1436">
        <v>20</v>
      </c>
      <c r="BG57" s="1436">
        <v>7</v>
      </c>
      <c r="BH57" s="1436">
        <v>7</v>
      </c>
      <c r="BI57" s="1495" t="b">
        <f t="shared" si="53"/>
        <v>0</v>
      </c>
      <c r="BJ57" s="1450" t="b">
        <f t="shared" si="65"/>
        <v>0</v>
      </c>
      <c r="BK57" s="1572">
        <f t="shared" si="66"/>
        <v>0</v>
      </c>
      <c r="BL57" s="1581">
        <f>IF(SUM(BL$51:BL56,BK57)&gt;$BK$4,0,BK57)</f>
        <v>0</v>
      </c>
      <c r="BM57" s="1436">
        <f t="shared" si="14"/>
        <v>0</v>
      </c>
      <c r="BN57" s="1495">
        <f t="shared" si="15"/>
        <v>0</v>
      </c>
      <c r="BO57" s="1437">
        <f t="shared" si="59"/>
        <v>0</v>
      </c>
      <c r="BP57" s="1574">
        <f t="shared" si="67"/>
        <v>0</v>
      </c>
      <c r="BQ57" s="1577">
        <f t="shared" si="68"/>
        <v>0</v>
      </c>
      <c r="BR57" s="1576">
        <f t="shared" si="18"/>
        <v>0</v>
      </c>
      <c r="BS57" s="1574">
        <f t="shared" si="69"/>
        <v>0</v>
      </c>
      <c r="BT57" s="1577">
        <f t="shared" si="70"/>
        <v>0</v>
      </c>
      <c r="BU57" s="1576">
        <f t="shared" si="21"/>
        <v>0</v>
      </c>
      <c r="BV57" s="1574">
        <f t="shared" si="71"/>
        <v>0</v>
      </c>
      <c r="BW57" s="1577">
        <f t="shared" si="72"/>
        <v>0</v>
      </c>
      <c r="BX57" s="1576">
        <f t="shared" si="24"/>
        <v>0</v>
      </c>
      <c r="BY57" s="1574">
        <f t="shared" si="73"/>
        <v>0</v>
      </c>
      <c r="BZ57" s="1577">
        <f t="shared" si="74"/>
        <v>0</v>
      </c>
      <c r="CA57" s="1576">
        <f t="shared" si="27"/>
        <v>0</v>
      </c>
      <c r="CB57" s="1495">
        <f t="shared" si="75"/>
        <v>0</v>
      </c>
      <c r="CC57" s="1577">
        <f t="shared" si="76"/>
        <v>0</v>
      </c>
      <c r="CD57" s="1576">
        <f t="shared" si="30"/>
        <v>0</v>
      </c>
      <c r="CE57" s="1495">
        <f t="shared" si="77"/>
        <v>0</v>
      </c>
      <c r="CF57" s="1577">
        <f t="shared" si="78"/>
        <v>0</v>
      </c>
      <c r="CG57" s="1576">
        <f t="shared" si="33"/>
        <v>0</v>
      </c>
      <c r="CH57" s="1495">
        <f t="shared" si="79"/>
        <v>0</v>
      </c>
      <c r="CI57" s="1577">
        <f t="shared" si="80"/>
        <v>0</v>
      </c>
      <c r="CJ57" s="1576">
        <f t="shared" si="36"/>
        <v>0</v>
      </c>
      <c r="CK57" s="1495">
        <f t="shared" si="81"/>
        <v>0</v>
      </c>
      <c r="CL57" s="1577">
        <f t="shared" si="82"/>
        <v>0</v>
      </c>
      <c r="CM57" s="1576">
        <f t="shared" si="39"/>
        <v>0</v>
      </c>
      <c r="CN57" s="1495">
        <f t="shared" si="83"/>
        <v>0</v>
      </c>
      <c r="CO57" s="1577">
        <f t="shared" si="84"/>
        <v>0</v>
      </c>
      <c r="CP57" s="1576">
        <f t="shared" si="42"/>
        <v>0</v>
      </c>
      <c r="CQ57" s="1495">
        <f t="shared" si="85"/>
        <v>0</v>
      </c>
      <c r="CR57" s="1577">
        <f t="shared" si="86"/>
        <v>0</v>
      </c>
      <c r="CS57" s="1576">
        <f t="shared" si="45"/>
        <v>0</v>
      </c>
      <c r="CT57" s="1495">
        <f t="shared" si="87"/>
        <v>0</v>
      </c>
      <c r="CU57" s="1577">
        <f t="shared" si="88"/>
        <v>0</v>
      </c>
      <c r="CV57" s="1576">
        <f t="shared" si="48"/>
        <v>0</v>
      </c>
      <c r="CW57" s="1495">
        <f t="shared" si="89"/>
        <v>0</v>
      </c>
      <c r="CX57" s="1577">
        <f t="shared" si="90"/>
        <v>0</v>
      </c>
      <c r="CY57" s="1576">
        <f t="shared" si="51"/>
        <v>0</v>
      </c>
      <c r="CZ57" s="1574">
        <f t="shared" si="52"/>
        <v>0</v>
      </c>
      <c r="DA57" s="1578">
        <f t="shared" si="54"/>
        <v>0</v>
      </c>
      <c r="DB57" s="1579">
        <f t="shared" si="55"/>
        <v>0</v>
      </c>
      <c r="DC57" s="1578">
        <f t="shared" si="56"/>
        <v>0</v>
      </c>
      <c r="DD57" s="1578">
        <f t="shared" si="56"/>
        <v>0</v>
      </c>
      <c r="DE57" s="1578">
        <f t="shared" si="56"/>
        <v>0</v>
      </c>
      <c r="DF57" s="1578">
        <f t="shared" si="57"/>
        <v>0</v>
      </c>
      <c r="DG57" s="1420"/>
      <c r="DH57" s="1420"/>
      <c r="DJ57" s="1630"/>
      <c r="DK57" s="1634" t="s">
        <v>1616</v>
      </c>
      <c r="DL57" s="1425" t="s">
        <v>1617</v>
      </c>
      <c r="DM57" s="1425" t="s">
        <v>1610</v>
      </c>
      <c r="DN57" s="1635" t="s">
        <v>1618</v>
      </c>
      <c r="DO57" s="1626"/>
      <c r="DV57" s="1633"/>
      <c r="DW57" s="1633"/>
      <c r="DX57" s="1633"/>
      <c r="DY57" s="1633"/>
      <c r="DZ57" s="1633"/>
      <c r="EA57" s="1633"/>
      <c r="EB57" s="1633"/>
      <c r="EC57" s="1633"/>
      <c r="ED57" s="1633"/>
      <c r="EE57" s="1633"/>
      <c r="EF57" s="1633"/>
      <c r="EG57" s="1633"/>
    </row>
    <row r="58" spans="1:153" ht="13.5" customHeight="1">
      <c r="A58" s="1636"/>
      <c r="B58" s="2537" t="s">
        <v>1619</v>
      </c>
      <c r="C58" s="2538"/>
      <c r="D58" s="2539"/>
      <c r="E58" s="1637"/>
      <c r="F58" s="1638"/>
      <c r="G58" s="1455"/>
      <c r="I58" s="1475"/>
      <c r="J58" s="1475"/>
      <c r="K58" s="1475"/>
      <c r="L58" s="1475"/>
      <c r="M58" s="1475"/>
      <c r="N58" s="1639"/>
      <c r="O58" s="1639"/>
      <c r="P58" s="1639"/>
      <c r="Q58" s="1639"/>
      <c r="R58" s="2549"/>
      <c r="S58" s="2549"/>
      <c r="T58" s="2549"/>
      <c r="U58" s="2549"/>
      <c r="V58" s="2549"/>
      <c r="W58" s="2550"/>
      <c r="X58" s="2549"/>
      <c r="Y58" s="2549"/>
      <c r="Z58" s="2549"/>
      <c r="AA58" s="2550"/>
      <c r="BD58" s="1449"/>
      <c r="BE58" s="1571" t="s">
        <v>1209</v>
      </c>
      <c r="BF58" s="1436">
        <v>20</v>
      </c>
      <c r="BG58" s="1436">
        <v>8</v>
      </c>
      <c r="BH58" s="1436">
        <v>1</v>
      </c>
      <c r="BI58" s="1495" t="b">
        <f t="shared" si="53"/>
        <v>1</v>
      </c>
      <c r="BJ58" s="1450" t="b">
        <f t="shared" si="65"/>
        <v>1</v>
      </c>
      <c r="BK58" s="1572">
        <f t="shared" si="66"/>
        <v>7.5</v>
      </c>
      <c r="BL58" s="1581">
        <f>IF(SUM(BL$51:BL57,BK58)&gt;$BK$4,0,BK58)</f>
        <v>7.5</v>
      </c>
      <c r="BM58" s="1436">
        <f t="shared" si="14"/>
        <v>0</v>
      </c>
      <c r="BN58" s="1495">
        <f t="shared" si="15"/>
        <v>0</v>
      </c>
      <c r="BO58" s="1437">
        <f t="shared" si="59"/>
        <v>0</v>
      </c>
      <c r="BP58" s="1574">
        <f t="shared" si="67"/>
        <v>0</v>
      </c>
      <c r="BQ58" s="1577">
        <f t="shared" si="68"/>
        <v>0</v>
      </c>
      <c r="BR58" s="1576">
        <f t="shared" si="18"/>
        <v>0</v>
      </c>
      <c r="BS58" s="1574">
        <f t="shared" si="69"/>
        <v>0</v>
      </c>
      <c r="BT58" s="1577">
        <f t="shared" si="70"/>
        <v>0</v>
      </c>
      <c r="BU58" s="1576">
        <f t="shared" si="21"/>
        <v>0</v>
      </c>
      <c r="BV58" s="1574">
        <f t="shared" si="71"/>
        <v>0</v>
      </c>
      <c r="BW58" s="1577">
        <f t="shared" si="72"/>
        <v>0</v>
      </c>
      <c r="BX58" s="1576">
        <f t="shared" si="24"/>
        <v>0</v>
      </c>
      <c r="BY58" s="1574">
        <f t="shared" si="73"/>
        <v>0</v>
      </c>
      <c r="BZ58" s="1577">
        <f t="shared" si="74"/>
        <v>0</v>
      </c>
      <c r="CA58" s="1576">
        <f t="shared" si="27"/>
        <v>0</v>
      </c>
      <c r="CB58" s="1495">
        <f t="shared" si="75"/>
        <v>0</v>
      </c>
      <c r="CC58" s="1577">
        <f t="shared" si="76"/>
        <v>0</v>
      </c>
      <c r="CD58" s="1576">
        <f t="shared" si="30"/>
        <v>0</v>
      </c>
      <c r="CE58" s="1495">
        <f t="shared" si="77"/>
        <v>0</v>
      </c>
      <c r="CF58" s="1577">
        <f t="shared" si="78"/>
        <v>0</v>
      </c>
      <c r="CG58" s="1576">
        <f t="shared" si="33"/>
        <v>0</v>
      </c>
      <c r="CH58" s="1495">
        <f t="shared" si="79"/>
        <v>0</v>
      </c>
      <c r="CI58" s="1577">
        <f t="shared" si="80"/>
        <v>0</v>
      </c>
      <c r="CJ58" s="1576">
        <f t="shared" si="36"/>
        <v>0</v>
      </c>
      <c r="CK58" s="1495">
        <f t="shared" si="81"/>
        <v>0</v>
      </c>
      <c r="CL58" s="1577">
        <f t="shared" si="82"/>
        <v>0</v>
      </c>
      <c r="CM58" s="1576">
        <f t="shared" si="39"/>
        <v>0</v>
      </c>
      <c r="CN58" s="1495">
        <f t="shared" si="83"/>
        <v>0</v>
      </c>
      <c r="CO58" s="1577">
        <f t="shared" si="84"/>
        <v>0</v>
      </c>
      <c r="CP58" s="1576">
        <f t="shared" si="42"/>
        <v>0</v>
      </c>
      <c r="CQ58" s="1495">
        <f t="shared" si="85"/>
        <v>0</v>
      </c>
      <c r="CR58" s="1577">
        <f t="shared" si="86"/>
        <v>0</v>
      </c>
      <c r="CS58" s="1576">
        <f t="shared" si="45"/>
        <v>0</v>
      </c>
      <c r="CT58" s="1495">
        <f t="shared" si="87"/>
        <v>0</v>
      </c>
      <c r="CU58" s="1577">
        <f t="shared" si="88"/>
        <v>0</v>
      </c>
      <c r="CV58" s="1576">
        <f t="shared" si="48"/>
        <v>0</v>
      </c>
      <c r="CW58" s="1495">
        <f t="shared" si="89"/>
        <v>0</v>
      </c>
      <c r="CX58" s="1577">
        <f t="shared" si="90"/>
        <v>0</v>
      </c>
      <c r="CY58" s="1576">
        <f t="shared" si="51"/>
        <v>0</v>
      </c>
      <c r="CZ58" s="1574">
        <f t="shared" si="52"/>
        <v>0</v>
      </c>
      <c r="DA58" s="1578">
        <f t="shared" si="54"/>
        <v>0</v>
      </c>
      <c r="DB58" s="1579">
        <f t="shared" si="55"/>
        <v>0</v>
      </c>
      <c r="DC58" s="1578">
        <f t="shared" si="56"/>
        <v>0</v>
      </c>
      <c r="DD58" s="1578">
        <f t="shared" si="56"/>
        <v>0</v>
      </c>
      <c r="DE58" s="1578">
        <f t="shared" si="56"/>
        <v>0</v>
      </c>
      <c r="DF58" s="1578">
        <f t="shared" si="57"/>
        <v>0</v>
      </c>
      <c r="DG58" s="1420"/>
      <c r="DH58" s="1420"/>
      <c r="DJ58" s="1640" t="s">
        <v>1621</v>
      </c>
      <c r="DK58" s="1641">
        <v>4</v>
      </c>
      <c r="DL58" s="1642">
        <v>2.2999999999999998</v>
      </c>
      <c r="DM58" s="1643">
        <f>DL58/9.5</f>
        <v>0.24210526315789471</v>
      </c>
      <c r="DN58" s="1644" t="s">
        <v>1515</v>
      </c>
      <c r="DO58" s="1633"/>
      <c r="DV58" s="1633"/>
      <c r="DW58" s="1633"/>
      <c r="DX58" s="1633"/>
      <c r="DY58" s="1633"/>
      <c r="DZ58" s="1633"/>
      <c r="EA58" s="1633"/>
      <c r="EB58" s="1633"/>
      <c r="EC58" s="1633"/>
      <c r="ED58" s="1633"/>
      <c r="EE58" s="1633"/>
      <c r="EF58" s="1633"/>
      <c r="EG58" s="1633"/>
    </row>
    <row r="59" spans="1:153" ht="12.75">
      <c r="A59" s="1587"/>
      <c r="B59" s="2537" t="s">
        <v>1622</v>
      </c>
      <c r="C59" s="2538"/>
      <c r="D59" s="2539"/>
      <c r="E59" s="1637"/>
      <c r="F59" s="1638"/>
      <c r="G59" s="1455"/>
      <c r="I59" s="1475"/>
      <c r="J59" s="1475"/>
      <c r="K59" s="1475"/>
      <c r="L59" s="1475"/>
      <c r="M59" s="1475"/>
      <c r="P59" s="2547" t="s">
        <v>1408</v>
      </c>
      <c r="Q59" s="2547"/>
      <c r="R59" s="1645">
        <f>IF(D67="Yes",DM59,DM58)</f>
        <v>0.1368421052631579</v>
      </c>
      <c r="S59" s="1646">
        <f>R59*$R$56</f>
        <v>0</v>
      </c>
      <c r="T59" s="1646" t="s">
        <v>1620</v>
      </c>
      <c r="U59" s="1646" t="s">
        <v>1620</v>
      </c>
      <c r="V59" s="1647">
        <f>F58*E58+F59*E59+F60*E60+F61*E61</f>
        <v>0</v>
      </c>
      <c r="W59" s="1591">
        <f>S59*V59/1000</f>
        <v>0</v>
      </c>
      <c r="X59" s="1646" t="s">
        <v>1620</v>
      </c>
      <c r="Y59" s="1646" t="s">
        <v>1620</v>
      </c>
      <c r="Z59" s="1647">
        <f>DK58</f>
        <v>4</v>
      </c>
      <c r="AA59" s="1648">
        <f>S59*Z59/1000</f>
        <v>0</v>
      </c>
      <c r="BD59" s="1449"/>
      <c r="BE59" s="1571" t="s">
        <v>1209</v>
      </c>
      <c r="BF59" s="1436">
        <v>20</v>
      </c>
      <c r="BG59" s="1436">
        <v>9</v>
      </c>
      <c r="BH59" s="1436">
        <v>2</v>
      </c>
      <c r="BI59" s="1495" t="b">
        <f t="shared" si="53"/>
        <v>1</v>
      </c>
      <c r="BJ59" s="1450" t="b">
        <f t="shared" si="65"/>
        <v>0</v>
      </c>
      <c r="BK59" s="1572">
        <f t="shared" si="66"/>
        <v>0</v>
      </c>
      <c r="BL59" s="1581">
        <f>IF(SUM(BL$51:BL58,BK59)&gt;$BK$4,0,BK59)</f>
        <v>0</v>
      </c>
      <c r="BM59" s="1436">
        <f t="shared" si="14"/>
        <v>0</v>
      </c>
      <c r="BN59" s="1495">
        <f t="shared" si="15"/>
        <v>0</v>
      </c>
      <c r="BO59" s="1437">
        <f t="shared" si="59"/>
        <v>0</v>
      </c>
      <c r="BP59" s="1574">
        <f t="shared" si="67"/>
        <v>0</v>
      </c>
      <c r="BQ59" s="1577">
        <f t="shared" si="68"/>
        <v>0</v>
      </c>
      <c r="BR59" s="1576">
        <f t="shared" si="18"/>
        <v>0</v>
      </c>
      <c r="BS59" s="1574">
        <f t="shared" si="69"/>
        <v>0</v>
      </c>
      <c r="BT59" s="1577">
        <f t="shared" si="70"/>
        <v>0</v>
      </c>
      <c r="BU59" s="1576">
        <f t="shared" si="21"/>
        <v>0</v>
      </c>
      <c r="BV59" s="1574">
        <f t="shared" si="71"/>
        <v>0</v>
      </c>
      <c r="BW59" s="1577">
        <f t="shared" si="72"/>
        <v>0</v>
      </c>
      <c r="BX59" s="1576">
        <f t="shared" si="24"/>
        <v>0</v>
      </c>
      <c r="BY59" s="1574">
        <f t="shared" si="73"/>
        <v>0</v>
      </c>
      <c r="BZ59" s="1577">
        <f t="shared" si="74"/>
        <v>0</v>
      </c>
      <c r="CA59" s="1576">
        <f t="shared" si="27"/>
        <v>0</v>
      </c>
      <c r="CB59" s="1495">
        <f t="shared" si="75"/>
        <v>0</v>
      </c>
      <c r="CC59" s="1577">
        <f t="shared" si="76"/>
        <v>0</v>
      </c>
      <c r="CD59" s="1576">
        <f t="shared" si="30"/>
        <v>0</v>
      </c>
      <c r="CE59" s="1495">
        <f t="shared" si="77"/>
        <v>0</v>
      </c>
      <c r="CF59" s="1577">
        <f t="shared" si="78"/>
        <v>0</v>
      </c>
      <c r="CG59" s="1576">
        <f t="shared" si="33"/>
        <v>0</v>
      </c>
      <c r="CH59" s="1495">
        <f t="shared" si="79"/>
        <v>0</v>
      </c>
      <c r="CI59" s="1577">
        <f t="shared" si="80"/>
        <v>0</v>
      </c>
      <c r="CJ59" s="1576">
        <f t="shared" si="36"/>
        <v>0</v>
      </c>
      <c r="CK59" s="1495">
        <f t="shared" si="81"/>
        <v>0</v>
      </c>
      <c r="CL59" s="1577">
        <f t="shared" si="82"/>
        <v>0</v>
      </c>
      <c r="CM59" s="1576">
        <f t="shared" si="39"/>
        <v>0</v>
      </c>
      <c r="CN59" s="1495">
        <f t="shared" si="83"/>
        <v>0</v>
      </c>
      <c r="CO59" s="1577">
        <f t="shared" si="84"/>
        <v>0</v>
      </c>
      <c r="CP59" s="1576">
        <f t="shared" si="42"/>
        <v>0</v>
      </c>
      <c r="CQ59" s="1495">
        <f t="shared" si="85"/>
        <v>0</v>
      </c>
      <c r="CR59" s="1577">
        <f t="shared" si="86"/>
        <v>0</v>
      </c>
      <c r="CS59" s="1576">
        <f t="shared" si="45"/>
        <v>0</v>
      </c>
      <c r="CT59" s="1495">
        <f t="shared" si="87"/>
        <v>0</v>
      </c>
      <c r="CU59" s="1577">
        <f t="shared" si="88"/>
        <v>0</v>
      </c>
      <c r="CV59" s="1576">
        <f t="shared" si="48"/>
        <v>0</v>
      </c>
      <c r="CW59" s="1495">
        <f t="shared" si="89"/>
        <v>0</v>
      </c>
      <c r="CX59" s="1577">
        <f t="shared" si="90"/>
        <v>0</v>
      </c>
      <c r="CY59" s="1576">
        <f t="shared" si="51"/>
        <v>0</v>
      </c>
      <c r="CZ59" s="1574">
        <f t="shared" si="52"/>
        <v>0</v>
      </c>
      <c r="DA59" s="1578">
        <f t="shared" si="54"/>
        <v>0</v>
      </c>
      <c r="DB59" s="1579">
        <f t="shared" si="55"/>
        <v>0</v>
      </c>
      <c r="DC59" s="1578">
        <f t="shared" si="56"/>
        <v>0</v>
      </c>
      <c r="DD59" s="1578">
        <f t="shared" si="56"/>
        <v>0</v>
      </c>
      <c r="DE59" s="1578">
        <f t="shared" si="56"/>
        <v>0</v>
      </c>
      <c r="DF59" s="1578">
        <f t="shared" si="57"/>
        <v>0</v>
      </c>
      <c r="DG59" s="1420"/>
      <c r="DH59" s="1420"/>
      <c r="DJ59" s="1640" t="s">
        <v>1625</v>
      </c>
      <c r="DK59" s="1641">
        <v>4</v>
      </c>
      <c r="DL59" s="1642">
        <v>1.3</v>
      </c>
      <c r="DM59" s="1643">
        <f>DL59/9.5</f>
        <v>0.1368421052631579</v>
      </c>
      <c r="DN59" s="1644" t="s">
        <v>1515</v>
      </c>
      <c r="DO59" s="1633"/>
      <c r="DV59" s="1633"/>
      <c r="DW59" s="1633"/>
      <c r="DX59" s="1633"/>
      <c r="DY59" s="1633"/>
      <c r="DZ59" s="1633"/>
      <c r="EA59" s="1633"/>
      <c r="EB59" s="1633"/>
      <c r="EC59" s="1633"/>
      <c r="ED59" s="1633"/>
      <c r="EE59" s="1633"/>
      <c r="EF59" s="1633"/>
      <c r="EG59" s="1633"/>
    </row>
    <row r="60" spans="1:153" ht="12.75">
      <c r="A60" s="1649"/>
      <c r="B60" s="2537" t="s">
        <v>1627</v>
      </c>
      <c r="C60" s="2538"/>
      <c r="D60" s="2539"/>
      <c r="E60" s="1637"/>
      <c r="F60" s="1638"/>
      <c r="G60" s="1587"/>
      <c r="H60" s="1475"/>
      <c r="I60" s="1475"/>
      <c r="J60" s="1475"/>
      <c r="K60" s="1475"/>
      <c r="L60" s="1475"/>
      <c r="M60" s="1475"/>
      <c r="P60" s="2545" t="s">
        <v>1624</v>
      </c>
      <c r="Q60" s="2546"/>
      <c r="R60" s="1645">
        <f>IF(D67="Yes",DM60,0)</f>
        <v>0.10526315789473684</v>
      </c>
      <c r="S60" s="1646">
        <f>R60*R56</f>
        <v>0</v>
      </c>
      <c r="T60" s="1646" t="s">
        <v>1620</v>
      </c>
      <c r="U60" s="1646" t="s">
        <v>1620</v>
      </c>
      <c r="V60" s="1647">
        <f>F69*E69+F70*E70+F71*E71+F72*E72</f>
        <v>0</v>
      </c>
      <c r="W60" s="1591">
        <f>S60*V60/1000</f>
        <v>0</v>
      </c>
      <c r="X60" s="1646" t="s">
        <v>1620</v>
      </c>
      <c r="Y60" s="1646" t="s">
        <v>1620</v>
      </c>
      <c r="Z60" s="1647">
        <f>DK60</f>
        <v>2</v>
      </c>
      <c r="AA60" s="1648">
        <f>S60*Z60/1000</f>
        <v>0</v>
      </c>
      <c r="BD60" s="1449"/>
      <c r="BE60" s="1571" t="s">
        <v>1209</v>
      </c>
      <c r="BF60" s="1436">
        <v>20</v>
      </c>
      <c r="BG60" s="1436">
        <v>10</v>
      </c>
      <c r="BH60" s="1436">
        <v>3</v>
      </c>
      <c r="BI60" s="1495" t="b">
        <f t="shared" si="53"/>
        <v>1</v>
      </c>
      <c r="BJ60" s="1450" t="b">
        <f t="shared" si="65"/>
        <v>0</v>
      </c>
      <c r="BK60" s="1572">
        <f t="shared" si="66"/>
        <v>0</v>
      </c>
      <c r="BL60" s="1581">
        <f>IF(SUM(BL$51:BL59,BK60)&gt;$BK$4,0,BK60)</f>
        <v>0</v>
      </c>
      <c r="BM60" s="1436">
        <f t="shared" si="14"/>
        <v>0</v>
      </c>
      <c r="BN60" s="1495">
        <f t="shared" si="15"/>
        <v>0</v>
      </c>
      <c r="BO60" s="1437">
        <f t="shared" si="59"/>
        <v>0</v>
      </c>
      <c r="BP60" s="1574">
        <f t="shared" si="67"/>
        <v>0</v>
      </c>
      <c r="BQ60" s="1577">
        <f t="shared" si="68"/>
        <v>0</v>
      </c>
      <c r="BR60" s="1576">
        <f t="shared" si="18"/>
        <v>0</v>
      </c>
      <c r="BS60" s="1574">
        <f t="shared" si="69"/>
        <v>0</v>
      </c>
      <c r="BT60" s="1577">
        <f t="shared" si="70"/>
        <v>0</v>
      </c>
      <c r="BU60" s="1576">
        <f t="shared" si="21"/>
        <v>0</v>
      </c>
      <c r="BV60" s="1574">
        <f t="shared" si="71"/>
        <v>0</v>
      </c>
      <c r="BW60" s="1577">
        <f t="shared" si="72"/>
        <v>0</v>
      </c>
      <c r="BX60" s="1576">
        <f t="shared" si="24"/>
        <v>0</v>
      </c>
      <c r="BY60" s="1574">
        <f t="shared" si="73"/>
        <v>0</v>
      </c>
      <c r="BZ60" s="1577">
        <f t="shared" si="74"/>
        <v>0</v>
      </c>
      <c r="CA60" s="1576">
        <f t="shared" si="27"/>
        <v>0</v>
      </c>
      <c r="CB60" s="1495">
        <f t="shared" si="75"/>
        <v>0</v>
      </c>
      <c r="CC60" s="1577">
        <f t="shared" si="76"/>
        <v>0</v>
      </c>
      <c r="CD60" s="1576">
        <f t="shared" si="30"/>
        <v>0</v>
      </c>
      <c r="CE60" s="1495">
        <f t="shared" si="77"/>
        <v>0</v>
      </c>
      <c r="CF60" s="1577">
        <f t="shared" si="78"/>
        <v>0</v>
      </c>
      <c r="CG60" s="1576">
        <f t="shared" si="33"/>
        <v>0</v>
      </c>
      <c r="CH60" s="1495">
        <f t="shared" si="79"/>
        <v>0</v>
      </c>
      <c r="CI60" s="1577">
        <f t="shared" si="80"/>
        <v>0</v>
      </c>
      <c r="CJ60" s="1576">
        <f t="shared" si="36"/>
        <v>0</v>
      </c>
      <c r="CK60" s="1495">
        <f t="shared" si="81"/>
        <v>0</v>
      </c>
      <c r="CL60" s="1577">
        <f t="shared" si="82"/>
        <v>0</v>
      </c>
      <c r="CM60" s="1576">
        <f t="shared" si="39"/>
        <v>0</v>
      </c>
      <c r="CN60" s="1495">
        <f t="shared" si="83"/>
        <v>0</v>
      </c>
      <c r="CO60" s="1577">
        <f t="shared" si="84"/>
        <v>0</v>
      </c>
      <c r="CP60" s="1576">
        <f t="shared" si="42"/>
        <v>0</v>
      </c>
      <c r="CQ60" s="1495">
        <f t="shared" si="85"/>
        <v>0</v>
      </c>
      <c r="CR60" s="1577">
        <f t="shared" si="86"/>
        <v>0</v>
      </c>
      <c r="CS60" s="1576">
        <f t="shared" si="45"/>
        <v>0</v>
      </c>
      <c r="CT60" s="1495">
        <f t="shared" si="87"/>
        <v>0</v>
      </c>
      <c r="CU60" s="1577">
        <f t="shared" si="88"/>
        <v>0</v>
      </c>
      <c r="CV60" s="1576">
        <f t="shared" si="48"/>
        <v>0</v>
      </c>
      <c r="CW60" s="1495">
        <f t="shared" si="89"/>
        <v>0</v>
      </c>
      <c r="CX60" s="1577">
        <f t="shared" si="90"/>
        <v>0</v>
      </c>
      <c r="CY60" s="1576">
        <f t="shared" si="51"/>
        <v>0</v>
      </c>
      <c r="CZ60" s="1574">
        <f t="shared" si="52"/>
        <v>0</v>
      </c>
      <c r="DA60" s="1578">
        <f t="shared" si="54"/>
        <v>0</v>
      </c>
      <c r="DB60" s="1579">
        <f t="shared" si="55"/>
        <v>0</v>
      </c>
      <c r="DC60" s="1578">
        <f t="shared" si="56"/>
        <v>0</v>
      </c>
      <c r="DD60" s="1578">
        <f t="shared" si="56"/>
        <v>0</v>
      </c>
      <c r="DE60" s="1578">
        <f t="shared" si="56"/>
        <v>0</v>
      </c>
      <c r="DF60" s="1578">
        <f t="shared" si="57"/>
        <v>0</v>
      </c>
      <c r="DG60" s="1420"/>
      <c r="DH60" s="1420"/>
      <c r="DJ60" s="1640" t="s">
        <v>1629</v>
      </c>
      <c r="DK60" s="1641">
        <v>2</v>
      </c>
      <c r="DL60" s="1642">
        <v>1</v>
      </c>
      <c r="DM60" s="1643">
        <f>DL60/9.5</f>
        <v>0.10526315789473684</v>
      </c>
      <c r="DN60" s="1644" t="s">
        <v>1515</v>
      </c>
      <c r="DO60" s="1633"/>
      <c r="DV60" s="1633"/>
      <c r="DW60" s="1633"/>
      <c r="DX60" s="1633"/>
      <c r="DY60" s="1633"/>
      <c r="DZ60" s="1633"/>
      <c r="EA60" s="1633"/>
      <c r="EB60" s="1633"/>
      <c r="EC60" s="1633"/>
      <c r="ED60" s="1633"/>
      <c r="EE60" s="1633"/>
      <c r="EF60" s="1633"/>
      <c r="EG60" s="1633"/>
    </row>
    <row r="61" spans="1:153" ht="12.75">
      <c r="A61" s="1528"/>
      <c r="B61" s="2537" t="s">
        <v>1631</v>
      </c>
      <c r="C61" s="2538"/>
      <c r="D61" s="2539"/>
      <c r="E61" s="1637"/>
      <c r="F61" s="1638"/>
      <c r="G61" s="1587"/>
      <c r="H61" s="1475"/>
      <c r="I61" s="1475"/>
      <c r="J61" s="1475"/>
      <c r="K61" s="1475"/>
      <c r="L61" s="1475"/>
      <c r="M61" s="1475"/>
      <c r="N61" s="1430" t="s">
        <v>1623</v>
      </c>
      <c r="O61" s="1639"/>
      <c r="P61" s="2545" t="s">
        <v>1628</v>
      </c>
      <c r="Q61" s="2546"/>
      <c r="R61" s="1645"/>
      <c r="S61" s="1646">
        <f>365*C74</f>
        <v>0</v>
      </c>
      <c r="T61" s="1646" t="s">
        <v>1620</v>
      </c>
      <c r="U61" s="1646" t="s">
        <v>1620</v>
      </c>
      <c r="V61" s="1647">
        <f>D74*E74</f>
        <v>0</v>
      </c>
      <c r="W61" s="1591">
        <f>S61*V61/1000</f>
        <v>0</v>
      </c>
      <c r="X61" s="1646"/>
      <c r="Y61" s="1646"/>
      <c r="Z61" s="1647"/>
      <c r="AA61" s="1648"/>
      <c r="BD61" s="1449"/>
      <c r="BE61" s="1571" t="s">
        <v>1209</v>
      </c>
      <c r="BF61" s="1436">
        <v>20</v>
      </c>
      <c r="BG61" s="1436">
        <v>11</v>
      </c>
      <c r="BH61" s="1436">
        <v>4</v>
      </c>
      <c r="BI61" s="1495" t="b">
        <f t="shared" si="53"/>
        <v>1</v>
      </c>
      <c r="BJ61" s="1450" t="b">
        <f t="shared" si="65"/>
        <v>0</v>
      </c>
      <c r="BK61" s="1572">
        <f t="shared" si="66"/>
        <v>0</v>
      </c>
      <c r="BL61" s="1581">
        <f>IF(SUM(BL$51:BL60,BK61)&gt;$BK$4,0,BK61)</f>
        <v>0</v>
      </c>
      <c r="BM61" s="1436">
        <f t="shared" si="14"/>
        <v>0</v>
      </c>
      <c r="BN61" s="1495">
        <f t="shared" si="15"/>
        <v>0</v>
      </c>
      <c r="BO61" s="1437">
        <f t="shared" si="59"/>
        <v>0</v>
      </c>
      <c r="BP61" s="1574">
        <f t="shared" si="67"/>
        <v>0</v>
      </c>
      <c r="BQ61" s="1577">
        <f t="shared" si="68"/>
        <v>0</v>
      </c>
      <c r="BR61" s="1576">
        <f t="shared" si="18"/>
        <v>0</v>
      </c>
      <c r="BS61" s="1574">
        <f t="shared" si="69"/>
        <v>0</v>
      </c>
      <c r="BT61" s="1577">
        <f t="shared" si="70"/>
        <v>0</v>
      </c>
      <c r="BU61" s="1576">
        <f t="shared" si="21"/>
        <v>0</v>
      </c>
      <c r="BV61" s="1574">
        <f t="shared" si="71"/>
        <v>0</v>
      </c>
      <c r="BW61" s="1577">
        <f t="shared" si="72"/>
        <v>0</v>
      </c>
      <c r="BX61" s="1576">
        <f t="shared" si="24"/>
        <v>0</v>
      </c>
      <c r="BY61" s="1574">
        <f t="shared" si="73"/>
        <v>0</v>
      </c>
      <c r="BZ61" s="1577">
        <f t="shared" si="74"/>
        <v>0</v>
      </c>
      <c r="CA61" s="1576">
        <f t="shared" si="27"/>
        <v>0</v>
      </c>
      <c r="CB61" s="1495">
        <f t="shared" si="75"/>
        <v>0</v>
      </c>
      <c r="CC61" s="1577">
        <f t="shared" si="76"/>
        <v>0</v>
      </c>
      <c r="CD61" s="1576">
        <f t="shared" si="30"/>
        <v>0</v>
      </c>
      <c r="CE61" s="1495">
        <f t="shared" si="77"/>
        <v>0</v>
      </c>
      <c r="CF61" s="1577">
        <f t="shared" si="78"/>
        <v>0</v>
      </c>
      <c r="CG61" s="1576">
        <f t="shared" si="33"/>
        <v>0</v>
      </c>
      <c r="CH61" s="1495">
        <f t="shared" si="79"/>
        <v>0</v>
      </c>
      <c r="CI61" s="1577">
        <f t="shared" si="80"/>
        <v>0</v>
      </c>
      <c r="CJ61" s="1576">
        <f t="shared" si="36"/>
        <v>0</v>
      </c>
      <c r="CK61" s="1495">
        <f t="shared" si="81"/>
        <v>0</v>
      </c>
      <c r="CL61" s="1577">
        <f t="shared" si="82"/>
        <v>0</v>
      </c>
      <c r="CM61" s="1576">
        <f t="shared" si="39"/>
        <v>0</v>
      </c>
      <c r="CN61" s="1495">
        <f t="shared" si="83"/>
        <v>0</v>
      </c>
      <c r="CO61" s="1577">
        <f t="shared" si="84"/>
        <v>0</v>
      </c>
      <c r="CP61" s="1576">
        <f t="shared" si="42"/>
        <v>0</v>
      </c>
      <c r="CQ61" s="1495">
        <f t="shared" si="85"/>
        <v>0</v>
      </c>
      <c r="CR61" s="1577">
        <f t="shared" si="86"/>
        <v>0</v>
      </c>
      <c r="CS61" s="1576">
        <f t="shared" si="45"/>
        <v>0</v>
      </c>
      <c r="CT61" s="1495">
        <f t="shared" si="87"/>
        <v>0</v>
      </c>
      <c r="CU61" s="1577">
        <f t="shared" si="88"/>
        <v>0</v>
      </c>
      <c r="CV61" s="1576">
        <f t="shared" si="48"/>
        <v>0</v>
      </c>
      <c r="CW61" s="1495">
        <f t="shared" si="89"/>
        <v>0</v>
      </c>
      <c r="CX61" s="1577">
        <f t="shared" si="90"/>
        <v>0</v>
      </c>
      <c r="CY61" s="1576">
        <f t="shared" si="51"/>
        <v>0</v>
      </c>
      <c r="CZ61" s="1574">
        <f t="shared" si="52"/>
        <v>0</v>
      </c>
      <c r="DA61" s="1578">
        <f t="shared" si="54"/>
        <v>0</v>
      </c>
      <c r="DB61" s="1579">
        <f t="shared" si="55"/>
        <v>0</v>
      </c>
      <c r="DC61" s="1578">
        <f t="shared" si="56"/>
        <v>0</v>
      </c>
      <c r="DD61" s="1578">
        <f t="shared" si="56"/>
        <v>0</v>
      </c>
      <c r="DE61" s="1578">
        <f t="shared" si="56"/>
        <v>0</v>
      </c>
      <c r="DF61" s="1578">
        <f t="shared" si="57"/>
        <v>0</v>
      </c>
      <c r="DG61" s="1420"/>
      <c r="DH61" s="1420"/>
      <c r="DJ61" s="1640" t="s">
        <v>1633</v>
      </c>
      <c r="DK61" s="1641">
        <v>9</v>
      </c>
      <c r="DL61" s="1644"/>
      <c r="DM61" s="1644"/>
      <c r="DN61" s="1644"/>
      <c r="DO61" s="1633"/>
      <c r="DV61" s="1633"/>
      <c r="DW61" s="1633"/>
      <c r="DX61" s="1633"/>
      <c r="DY61" s="1633"/>
      <c r="DZ61" s="1633"/>
      <c r="EA61" s="1633"/>
      <c r="EB61" s="1633"/>
      <c r="EC61" s="1633"/>
      <c r="ED61" s="1633"/>
      <c r="EE61" s="1633"/>
      <c r="EF61" s="1633"/>
      <c r="EG61" s="1633"/>
    </row>
    <row r="62" spans="1:153" ht="15" customHeight="1">
      <c r="A62" s="1528"/>
      <c r="B62" s="2544" t="str">
        <f>IF(F62&lt;&gt;1,$N$61,"")</f>
        <v>Please complete for 100% of fittings</v>
      </c>
      <c r="C62" s="2544"/>
      <c r="D62" s="2544"/>
      <c r="E62" s="2544"/>
      <c r="F62" s="1650">
        <f>SUM(F58:F61)</f>
        <v>0</v>
      </c>
      <c r="G62" s="1455"/>
      <c r="H62" s="1475"/>
      <c r="I62" s="1475"/>
      <c r="J62" s="1475"/>
      <c r="K62" s="1475"/>
      <c r="L62" s="1475"/>
      <c r="M62" s="1475"/>
      <c r="N62" s="1430" t="s">
        <v>1635</v>
      </c>
      <c r="P62" s="2545" t="s">
        <v>554</v>
      </c>
      <c r="Q62" s="2546"/>
      <c r="R62" s="1645">
        <f>DM63</f>
        <v>0.26315789473684209</v>
      </c>
      <c r="S62" s="1646">
        <f>R62*$R$56</f>
        <v>0</v>
      </c>
      <c r="T62" s="1651" t="s">
        <v>1632</v>
      </c>
      <c r="U62" s="1652"/>
      <c r="V62" s="1647">
        <f>F82*E82*U82+F83*E83*U83+F84*E84*U84+F85*E85*U85</f>
        <v>0</v>
      </c>
      <c r="W62" s="1591">
        <f>S62*V62/1000</f>
        <v>0</v>
      </c>
      <c r="X62" s="1647">
        <f>DN63/60</f>
        <v>0.15</v>
      </c>
      <c r="Y62" s="1646">
        <f>DK61</f>
        <v>9</v>
      </c>
      <c r="Z62" s="1647">
        <f>X62*Y62</f>
        <v>1.3499999999999999</v>
      </c>
      <c r="AA62" s="1648">
        <f>S62*Z62/1000</f>
        <v>0</v>
      </c>
      <c r="BD62" s="1449"/>
      <c r="BE62" s="1571" t="s">
        <v>1209</v>
      </c>
      <c r="BF62" s="1436">
        <v>20</v>
      </c>
      <c r="BG62" s="1436">
        <v>12</v>
      </c>
      <c r="BH62" s="1436">
        <v>5</v>
      </c>
      <c r="BI62" s="1495" t="b">
        <f t="shared" si="53"/>
        <v>1</v>
      </c>
      <c r="BJ62" s="1450" t="b">
        <f t="shared" si="65"/>
        <v>1</v>
      </c>
      <c r="BK62" s="1572">
        <f t="shared" si="66"/>
        <v>7.5</v>
      </c>
      <c r="BL62" s="1581">
        <f>IF(SUM(BL$51:BL61,BK62)&gt;$BK$4,0,BK62)</f>
        <v>7.5</v>
      </c>
      <c r="BM62" s="1436">
        <f t="shared" si="14"/>
        <v>0</v>
      </c>
      <c r="BN62" s="1495">
        <f t="shared" si="15"/>
        <v>0</v>
      </c>
      <c r="BO62" s="1437">
        <f t="shared" si="59"/>
        <v>0</v>
      </c>
      <c r="BP62" s="1574">
        <f t="shared" si="67"/>
        <v>0</v>
      </c>
      <c r="BQ62" s="1577">
        <f t="shared" si="68"/>
        <v>0</v>
      </c>
      <c r="BR62" s="1576">
        <f t="shared" si="18"/>
        <v>0</v>
      </c>
      <c r="BS62" s="1574">
        <f t="shared" si="69"/>
        <v>0</v>
      </c>
      <c r="BT62" s="1577">
        <f t="shared" si="70"/>
        <v>0</v>
      </c>
      <c r="BU62" s="1576">
        <f t="shared" si="21"/>
        <v>0</v>
      </c>
      <c r="BV62" s="1574">
        <f t="shared" si="71"/>
        <v>0</v>
      </c>
      <c r="BW62" s="1577">
        <f t="shared" si="72"/>
        <v>0</v>
      </c>
      <c r="BX62" s="1576">
        <f t="shared" si="24"/>
        <v>0</v>
      </c>
      <c r="BY62" s="1574">
        <f t="shared" si="73"/>
        <v>0</v>
      </c>
      <c r="BZ62" s="1577">
        <f t="shared" si="74"/>
        <v>0</v>
      </c>
      <c r="CA62" s="1576">
        <f t="shared" si="27"/>
        <v>0</v>
      </c>
      <c r="CB62" s="1495">
        <f t="shared" si="75"/>
        <v>0</v>
      </c>
      <c r="CC62" s="1577">
        <f t="shared" si="76"/>
        <v>0</v>
      </c>
      <c r="CD62" s="1576">
        <f t="shared" si="30"/>
        <v>0</v>
      </c>
      <c r="CE62" s="1495">
        <f t="shared" si="77"/>
        <v>0</v>
      </c>
      <c r="CF62" s="1577">
        <f t="shared" si="78"/>
        <v>0</v>
      </c>
      <c r="CG62" s="1576">
        <f t="shared" si="33"/>
        <v>0</v>
      </c>
      <c r="CH62" s="1495">
        <f t="shared" si="79"/>
        <v>0</v>
      </c>
      <c r="CI62" s="1577">
        <f t="shared" si="80"/>
        <v>0</v>
      </c>
      <c r="CJ62" s="1576">
        <f t="shared" si="36"/>
        <v>0</v>
      </c>
      <c r="CK62" s="1495">
        <f t="shared" si="81"/>
        <v>0</v>
      </c>
      <c r="CL62" s="1577">
        <f t="shared" si="82"/>
        <v>0</v>
      </c>
      <c r="CM62" s="1576">
        <f t="shared" si="39"/>
        <v>0</v>
      </c>
      <c r="CN62" s="1495">
        <f t="shared" si="83"/>
        <v>0</v>
      </c>
      <c r="CO62" s="1577">
        <f t="shared" si="84"/>
        <v>0</v>
      </c>
      <c r="CP62" s="1576">
        <f t="shared" si="42"/>
        <v>0</v>
      </c>
      <c r="CQ62" s="1495">
        <f t="shared" si="85"/>
        <v>0</v>
      </c>
      <c r="CR62" s="1577">
        <f t="shared" si="86"/>
        <v>0</v>
      </c>
      <c r="CS62" s="1576">
        <f t="shared" si="45"/>
        <v>0</v>
      </c>
      <c r="CT62" s="1495">
        <f t="shared" si="87"/>
        <v>0</v>
      </c>
      <c r="CU62" s="1577">
        <f t="shared" si="88"/>
        <v>0</v>
      </c>
      <c r="CV62" s="1576">
        <f t="shared" si="48"/>
        <v>0</v>
      </c>
      <c r="CW62" s="1495">
        <f t="shared" si="89"/>
        <v>0</v>
      </c>
      <c r="CX62" s="1577">
        <f t="shared" si="90"/>
        <v>0</v>
      </c>
      <c r="CY62" s="1576">
        <f t="shared" si="51"/>
        <v>0</v>
      </c>
      <c r="CZ62" s="1574">
        <f t="shared" si="52"/>
        <v>0</v>
      </c>
      <c r="DA62" s="1578">
        <f t="shared" si="54"/>
        <v>0</v>
      </c>
      <c r="DB62" s="1579">
        <f t="shared" si="55"/>
        <v>0</v>
      </c>
      <c r="DC62" s="1578">
        <f t="shared" si="56"/>
        <v>0</v>
      </c>
      <c r="DD62" s="1578">
        <f t="shared" si="56"/>
        <v>0</v>
      </c>
      <c r="DE62" s="1578">
        <f t="shared" si="56"/>
        <v>0</v>
      </c>
      <c r="DF62" s="1578">
        <f t="shared" si="57"/>
        <v>0</v>
      </c>
      <c r="DG62" s="1420"/>
      <c r="DH62" s="1420"/>
      <c r="DJ62" s="1653" t="s">
        <v>1499</v>
      </c>
      <c r="DK62" s="1641"/>
      <c r="DL62" s="1644"/>
      <c r="DM62" s="1644"/>
      <c r="DN62" s="1644">
        <v>0</v>
      </c>
      <c r="DO62" s="1633"/>
      <c r="DV62" s="1633"/>
      <c r="DW62" s="1633"/>
      <c r="DX62" s="1633"/>
      <c r="DY62" s="1633"/>
      <c r="DZ62" s="1633"/>
      <c r="EA62" s="1633"/>
      <c r="EB62" s="1633"/>
      <c r="EC62" s="1633"/>
      <c r="ED62" s="1633"/>
      <c r="EE62" s="1633"/>
      <c r="EF62" s="1633"/>
      <c r="EG62" s="1633"/>
    </row>
    <row r="63" spans="1:153" ht="12.75">
      <c r="A63" s="1528"/>
      <c r="B63" s="2525" t="s">
        <v>1965</v>
      </c>
      <c r="C63" s="2525"/>
      <c r="D63" s="2525"/>
      <c r="E63" s="2525"/>
      <c r="F63" s="1654">
        <f>W59</f>
        <v>0</v>
      </c>
      <c r="G63" s="1587"/>
      <c r="H63" s="1475"/>
      <c r="I63" s="1475"/>
      <c r="J63" s="1475"/>
      <c r="K63" s="1475"/>
      <c r="L63" s="1475"/>
      <c r="M63" s="1475"/>
      <c r="P63" s="2545" t="s">
        <v>1542</v>
      </c>
      <c r="Q63" s="2546"/>
      <c r="R63" s="1645"/>
      <c r="S63" s="1646">
        <f>Z30</f>
        <v>0</v>
      </c>
      <c r="T63" s="1647">
        <v>5</v>
      </c>
      <c r="U63" s="1647">
        <f>F93*E93+F94*E94+F95*E95</f>
        <v>0</v>
      </c>
      <c r="V63" s="1647">
        <f>U63*$DN$66/60</f>
        <v>0</v>
      </c>
      <c r="W63" s="1591">
        <f>V63*Z30/1000</f>
        <v>0</v>
      </c>
      <c r="X63" s="1646">
        <f>DN66/60</f>
        <v>5</v>
      </c>
      <c r="Y63" s="1646">
        <f>DK66</f>
        <v>12</v>
      </c>
      <c r="Z63" s="1647">
        <f>X63*Y63</f>
        <v>60</v>
      </c>
      <c r="AA63" s="1648">
        <f>S63*Z63/1000</f>
        <v>0</v>
      </c>
      <c r="BD63" s="1449"/>
      <c r="BE63" s="1571" t="s">
        <v>1209</v>
      </c>
      <c r="BF63" s="1436">
        <v>20</v>
      </c>
      <c r="BG63" s="1436">
        <v>13</v>
      </c>
      <c r="BH63" s="1436">
        <v>6</v>
      </c>
      <c r="BI63" s="1495" t="b">
        <f t="shared" si="53"/>
        <v>0</v>
      </c>
      <c r="BJ63" s="1450" t="b">
        <f t="shared" si="65"/>
        <v>0</v>
      </c>
      <c r="BK63" s="1572">
        <f t="shared" si="66"/>
        <v>0</v>
      </c>
      <c r="BL63" s="1581">
        <f>IF(SUM(BL$51:BL62,BK63)&gt;$BK$4,0,BK63)</f>
        <v>0</v>
      </c>
      <c r="BM63" s="1436">
        <f t="shared" si="14"/>
        <v>0</v>
      </c>
      <c r="BN63" s="1495">
        <f t="shared" si="15"/>
        <v>0</v>
      </c>
      <c r="BO63" s="1437">
        <f t="shared" si="59"/>
        <v>0</v>
      </c>
      <c r="BP63" s="1574">
        <f t="shared" si="67"/>
        <v>0</v>
      </c>
      <c r="BQ63" s="1577">
        <f t="shared" si="68"/>
        <v>0</v>
      </c>
      <c r="BR63" s="1576">
        <f t="shared" si="18"/>
        <v>0</v>
      </c>
      <c r="BS63" s="1574">
        <f t="shared" si="69"/>
        <v>0</v>
      </c>
      <c r="BT63" s="1577">
        <f t="shared" si="70"/>
        <v>0</v>
      </c>
      <c r="BU63" s="1576">
        <f t="shared" si="21"/>
        <v>0</v>
      </c>
      <c r="BV63" s="1574">
        <f t="shared" si="71"/>
        <v>0</v>
      </c>
      <c r="BW63" s="1577">
        <f t="shared" si="72"/>
        <v>0</v>
      </c>
      <c r="BX63" s="1576">
        <f t="shared" si="24"/>
        <v>0</v>
      </c>
      <c r="BY63" s="1574">
        <f t="shared" si="73"/>
        <v>0</v>
      </c>
      <c r="BZ63" s="1577">
        <f t="shared" si="74"/>
        <v>0</v>
      </c>
      <c r="CA63" s="1576">
        <f t="shared" si="27"/>
        <v>0</v>
      </c>
      <c r="CB63" s="1495">
        <f t="shared" si="75"/>
        <v>0</v>
      </c>
      <c r="CC63" s="1577">
        <f t="shared" si="76"/>
        <v>0</v>
      </c>
      <c r="CD63" s="1576">
        <f t="shared" si="30"/>
        <v>0</v>
      </c>
      <c r="CE63" s="1495">
        <f t="shared" si="77"/>
        <v>0</v>
      </c>
      <c r="CF63" s="1577">
        <f t="shared" si="78"/>
        <v>0</v>
      </c>
      <c r="CG63" s="1576">
        <f t="shared" si="33"/>
        <v>0</v>
      </c>
      <c r="CH63" s="1495">
        <f t="shared" si="79"/>
        <v>0</v>
      </c>
      <c r="CI63" s="1577">
        <f t="shared" si="80"/>
        <v>0</v>
      </c>
      <c r="CJ63" s="1576">
        <f t="shared" si="36"/>
        <v>0</v>
      </c>
      <c r="CK63" s="1495">
        <f t="shared" si="81"/>
        <v>0</v>
      </c>
      <c r="CL63" s="1577">
        <f t="shared" si="82"/>
        <v>0</v>
      </c>
      <c r="CM63" s="1576">
        <f t="shared" si="39"/>
        <v>0</v>
      </c>
      <c r="CN63" s="1495">
        <f t="shared" si="83"/>
        <v>0</v>
      </c>
      <c r="CO63" s="1577">
        <f t="shared" si="84"/>
        <v>0</v>
      </c>
      <c r="CP63" s="1576">
        <f t="shared" si="42"/>
        <v>0</v>
      </c>
      <c r="CQ63" s="1495">
        <f t="shared" si="85"/>
        <v>0</v>
      </c>
      <c r="CR63" s="1577">
        <f t="shared" si="86"/>
        <v>0</v>
      </c>
      <c r="CS63" s="1576">
        <f t="shared" si="45"/>
        <v>0</v>
      </c>
      <c r="CT63" s="1495">
        <f t="shared" si="87"/>
        <v>0</v>
      </c>
      <c r="CU63" s="1577">
        <f t="shared" si="88"/>
        <v>0</v>
      </c>
      <c r="CV63" s="1576">
        <f t="shared" si="48"/>
        <v>0</v>
      </c>
      <c r="CW63" s="1495">
        <f t="shared" si="89"/>
        <v>0</v>
      </c>
      <c r="CX63" s="1577">
        <f t="shared" si="90"/>
        <v>0</v>
      </c>
      <c r="CY63" s="1576">
        <f t="shared" si="51"/>
        <v>0</v>
      </c>
      <c r="CZ63" s="1574">
        <f t="shared" si="52"/>
        <v>0</v>
      </c>
      <c r="DA63" s="1578">
        <f t="shared" si="54"/>
        <v>0</v>
      </c>
      <c r="DB63" s="1579">
        <f t="shared" si="55"/>
        <v>0</v>
      </c>
      <c r="DC63" s="1578">
        <f t="shared" si="56"/>
        <v>0</v>
      </c>
      <c r="DD63" s="1578">
        <f t="shared" si="56"/>
        <v>0</v>
      </c>
      <c r="DE63" s="1578">
        <f t="shared" si="56"/>
        <v>0</v>
      </c>
      <c r="DF63" s="1578">
        <f t="shared" si="57"/>
        <v>0</v>
      </c>
      <c r="DG63" s="1420"/>
      <c r="DH63" s="1420"/>
      <c r="DJ63" s="1653" t="s">
        <v>1637</v>
      </c>
      <c r="DK63" s="1655"/>
      <c r="DL63" s="1642">
        <v>2.5</v>
      </c>
      <c r="DM63" s="1643">
        <f>DL63/9.5</f>
        <v>0.26315789473684209</v>
      </c>
      <c r="DN63" s="1642">
        <v>9</v>
      </c>
      <c r="DO63" s="1633"/>
      <c r="DV63" s="1633"/>
      <c r="DW63" s="1633"/>
      <c r="DX63" s="1633"/>
      <c r="DY63" s="1633"/>
      <c r="DZ63" s="1633"/>
      <c r="EA63" s="1633"/>
      <c r="EB63" s="1633"/>
      <c r="EC63" s="1633"/>
      <c r="ED63" s="1633"/>
      <c r="EE63" s="1633"/>
      <c r="EF63" s="1633"/>
      <c r="EG63" s="1633"/>
    </row>
    <row r="64" spans="1:153" ht="15" customHeight="1">
      <c r="A64" s="1587"/>
      <c r="B64" s="2526" t="s">
        <v>1966</v>
      </c>
      <c r="C64" s="2526"/>
      <c r="D64" s="2526"/>
      <c r="E64" s="2526"/>
      <c r="F64" s="1656">
        <f>AA59</f>
        <v>0</v>
      </c>
      <c r="G64" s="1587"/>
      <c r="H64" s="1475"/>
      <c r="I64" s="1475"/>
      <c r="J64" s="1475"/>
      <c r="K64" s="1475"/>
      <c r="L64" s="1475"/>
      <c r="M64" s="1475"/>
      <c r="BD64" s="1449"/>
      <c r="BE64" s="1571" t="s">
        <v>1209</v>
      </c>
      <c r="BF64" s="1436">
        <v>20</v>
      </c>
      <c r="BG64" s="1436">
        <v>14</v>
      </c>
      <c r="BH64" s="1436">
        <v>7</v>
      </c>
      <c r="BI64" s="1495" t="b">
        <f t="shared" si="53"/>
        <v>0</v>
      </c>
      <c r="BJ64" s="1450" t="b">
        <f t="shared" si="65"/>
        <v>0</v>
      </c>
      <c r="BK64" s="1572">
        <f t="shared" si="66"/>
        <v>0</v>
      </c>
      <c r="BL64" s="1581">
        <f>IF(SUM(BL$51:BL63,BK64)&gt;$BK$4,0,BK64)</f>
        <v>0</v>
      </c>
      <c r="BM64" s="1436">
        <f t="shared" si="14"/>
        <v>0</v>
      </c>
      <c r="BN64" s="1495">
        <f t="shared" si="15"/>
        <v>0</v>
      </c>
      <c r="BO64" s="1437">
        <f t="shared" si="59"/>
        <v>0</v>
      </c>
      <c r="BP64" s="1574">
        <f t="shared" si="67"/>
        <v>0</v>
      </c>
      <c r="BQ64" s="1577">
        <f t="shared" si="68"/>
        <v>0</v>
      </c>
      <c r="BR64" s="1576">
        <f t="shared" si="18"/>
        <v>0</v>
      </c>
      <c r="BS64" s="1574">
        <f t="shared" si="69"/>
        <v>0</v>
      </c>
      <c r="BT64" s="1577">
        <f t="shared" si="70"/>
        <v>0</v>
      </c>
      <c r="BU64" s="1576">
        <f t="shared" si="21"/>
        <v>0</v>
      </c>
      <c r="BV64" s="1574">
        <f t="shared" si="71"/>
        <v>0</v>
      </c>
      <c r="BW64" s="1577">
        <f t="shared" si="72"/>
        <v>0</v>
      </c>
      <c r="BX64" s="1576">
        <f t="shared" si="24"/>
        <v>0</v>
      </c>
      <c r="BY64" s="1574">
        <f t="shared" si="73"/>
        <v>0</v>
      </c>
      <c r="BZ64" s="1577">
        <f t="shared" si="74"/>
        <v>0</v>
      </c>
      <c r="CA64" s="1576">
        <f t="shared" si="27"/>
        <v>0</v>
      </c>
      <c r="CB64" s="1495">
        <f t="shared" si="75"/>
        <v>0</v>
      </c>
      <c r="CC64" s="1577">
        <f t="shared" si="76"/>
        <v>0</v>
      </c>
      <c r="CD64" s="1576">
        <f t="shared" si="30"/>
        <v>0</v>
      </c>
      <c r="CE64" s="1495">
        <f t="shared" si="77"/>
        <v>0</v>
      </c>
      <c r="CF64" s="1577">
        <f t="shared" si="78"/>
        <v>0</v>
      </c>
      <c r="CG64" s="1576">
        <f t="shared" si="33"/>
        <v>0</v>
      </c>
      <c r="CH64" s="1495">
        <f t="shared" si="79"/>
        <v>0</v>
      </c>
      <c r="CI64" s="1577">
        <f t="shared" si="80"/>
        <v>0</v>
      </c>
      <c r="CJ64" s="1576">
        <f t="shared" si="36"/>
        <v>0</v>
      </c>
      <c r="CK64" s="1495">
        <f t="shared" si="81"/>
        <v>0</v>
      </c>
      <c r="CL64" s="1577">
        <f t="shared" si="82"/>
        <v>0</v>
      </c>
      <c r="CM64" s="1576">
        <f t="shared" si="39"/>
        <v>0</v>
      </c>
      <c r="CN64" s="1495">
        <f t="shared" si="83"/>
        <v>0</v>
      </c>
      <c r="CO64" s="1577">
        <f t="shared" si="84"/>
        <v>0</v>
      </c>
      <c r="CP64" s="1576">
        <f t="shared" si="42"/>
        <v>0</v>
      </c>
      <c r="CQ64" s="1495">
        <f t="shared" si="85"/>
        <v>0</v>
      </c>
      <c r="CR64" s="1577">
        <f t="shared" si="86"/>
        <v>0</v>
      </c>
      <c r="CS64" s="1576">
        <f t="shared" si="45"/>
        <v>0</v>
      </c>
      <c r="CT64" s="1495">
        <f t="shared" si="87"/>
        <v>0</v>
      </c>
      <c r="CU64" s="1577">
        <f t="shared" si="88"/>
        <v>0</v>
      </c>
      <c r="CV64" s="1576">
        <f t="shared" si="48"/>
        <v>0</v>
      </c>
      <c r="CW64" s="1495">
        <f t="shared" si="89"/>
        <v>0</v>
      </c>
      <c r="CX64" s="1577">
        <f t="shared" si="90"/>
        <v>0</v>
      </c>
      <c r="CY64" s="1576">
        <f t="shared" si="51"/>
        <v>0</v>
      </c>
      <c r="CZ64" s="1574">
        <f t="shared" si="52"/>
        <v>0</v>
      </c>
      <c r="DA64" s="1578">
        <f t="shared" si="54"/>
        <v>0</v>
      </c>
      <c r="DB64" s="1579">
        <f t="shared" si="55"/>
        <v>0</v>
      </c>
      <c r="DC64" s="1578">
        <f t="shared" si="56"/>
        <v>0</v>
      </c>
      <c r="DD64" s="1578">
        <f t="shared" si="56"/>
        <v>0</v>
      </c>
      <c r="DE64" s="1578">
        <f t="shared" si="56"/>
        <v>0</v>
      </c>
      <c r="DF64" s="1578">
        <f t="shared" si="57"/>
        <v>0</v>
      </c>
      <c r="DG64" s="1420"/>
      <c r="DH64" s="1420"/>
      <c r="DJ64" s="1653" t="s">
        <v>1638</v>
      </c>
      <c r="DK64" s="1655"/>
      <c r="DL64" s="1642">
        <v>2.5</v>
      </c>
      <c r="DM64" s="1643">
        <f>DL64/9.5</f>
        <v>0.26315789473684209</v>
      </c>
      <c r="DN64" s="1642">
        <v>7</v>
      </c>
      <c r="DO64" s="1633"/>
      <c r="DV64" s="1633"/>
      <c r="DW64" s="1633"/>
      <c r="DX64" s="1633"/>
      <c r="DY64" s="1633"/>
      <c r="DZ64" s="1633"/>
      <c r="EA64" s="1633"/>
      <c r="EB64" s="1633"/>
      <c r="EC64" s="1633"/>
      <c r="ED64" s="1633"/>
      <c r="EE64" s="1633"/>
      <c r="EF64" s="1633"/>
      <c r="EG64" s="1633"/>
    </row>
    <row r="65" spans="1:137" ht="15" customHeight="1">
      <c r="A65" s="1475"/>
      <c r="B65" s="1475"/>
      <c r="C65" s="1475"/>
      <c r="D65" s="1475"/>
      <c r="E65" s="1475"/>
      <c r="F65" s="1475"/>
      <c r="G65" s="1475"/>
      <c r="H65" s="1475"/>
      <c r="I65" s="1475"/>
      <c r="J65" s="1475"/>
      <c r="K65" s="1475"/>
      <c r="L65" s="1475"/>
      <c r="M65" s="1475"/>
      <c r="BD65" s="1449"/>
      <c r="BE65" s="1571" t="s">
        <v>1209</v>
      </c>
      <c r="BF65" s="1436">
        <v>20</v>
      </c>
      <c r="BG65" s="1436">
        <v>15</v>
      </c>
      <c r="BH65" s="1436">
        <v>1</v>
      </c>
      <c r="BI65" s="1495" t="b">
        <f t="shared" si="53"/>
        <v>1</v>
      </c>
      <c r="BJ65" s="1450" t="b">
        <f t="shared" si="65"/>
        <v>0</v>
      </c>
      <c r="BK65" s="1572">
        <f t="shared" si="66"/>
        <v>0</v>
      </c>
      <c r="BL65" s="1581">
        <f>IF(SUM(BL$51:BL64,BK65)&gt;$BK$4,0,BK65)</f>
        <v>0</v>
      </c>
      <c r="BM65" s="1436">
        <f t="shared" si="14"/>
        <v>0</v>
      </c>
      <c r="BN65" s="1495">
        <f t="shared" si="15"/>
        <v>0</v>
      </c>
      <c r="BO65" s="1437">
        <f t="shared" si="59"/>
        <v>0</v>
      </c>
      <c r="BP65" s="1574">
        <f t="shared" si="67"/>
        <v>0</v>
      </c>
      <c r="BQ65" s="1577">
        <f t="shared" si="68"/>
        <v>0</v>
      </c>
      <c r="BR65" s="1576">
        <f t="shared" si="18"/>
        <v>0</v>
      </c>
      <c r="BS65" s="1574">
        <f t="shared" si="69"/>
        <v>0</v>
      </c>
      <c r="BT65" s="1577">
        <f t="shared" si="70"/>
        <v>0</v>
      </c>
      <c r="BU65" s="1576">
        <f t="shared" si="21"/>
        <v>0</v>
      </c>
      <c r="BV65" s="1574">
        <f t="shared" si="71"/>
        <v>0</v>
      </c>
      <c r="BW65" s="1577">
        <f t="shared" si="72"/>
        <v>0</v>
      </c>
      <c r="BX65" s="1576">
        <f t="shared" si="24"/>
        <v>0</v>
      </c>
      <c r="BY65" s="1574">
        <f t="shared" si="73"/>
        <v>0</v>
      </c>
      <c r="BZ65" s="1577">
        <f t="shared" si="74"/>
        <v>0</v>
      </c>
      <c r="CA65" s="1576">
        <f t="shared" si="27"/>
        <v>0</v>
      </c>
      <c r="CB65" s="1495">
        <f t="shared" si="75"/>
        <v>0</v>
      </c>
      <c r="CC65" s="1577">
        <f t="shared" si="76"/>
        <v>0</v>
      </c>
      <c r="CD65" s="1576">
        <f t="shared" si="30"/>
        <v>0</v>
      </c>
      <c r="CE65" s="1495">
        <f t="shared" si="77"/>
        <v>0</v>
      </c>
      <c r="CF65" s="1577">
        <f t="shared" si="78"/>
        <v>0</v>
      </c>
      <c r="CG65" s="1576">
        <f t="shared" si="33"/>
        <v>0</v>
      </c>
      <c r="CH65" s="1495">
        <f t="shared" si="79"/>
        <v>0</v>
      </c>
      <c r="CI65" s="1577">
        <f t="shared" si="80"/>
        <v>0</v>
      </c>
      <c r="CJ65" s="1576">
        <f t="shared" si="36"/>
        <v>0</v>
      </c>
      <c r="CK65" s="1495">
        <f t="shared" si="81"/>
        <v>0</v>
      </c>
      <c r="CL65" s="1577">
        <f t="shared" si="82"/>
        <v>0</v>
      </c>
      <c r="CM65" s="1576">
        <f t="shared" si="39"/>
        <v>0</v>
      </c>
      <c r="CN65" s="1495">
        <f t="shared" si="83"/>
        <v>0</v>
      </c>
      <c r="CO65" s="1577">
        <f t="shared" si="84"/>
        <v>0</v>
      </c>
      <c r="CP65" s="1576">
        <f t="shared" si="42"/>
        <v>0</v>
      </c>
      <c r="CQ65" s="1495">
        <f t="shared" si="85"/>
        <v>0</v>
      </c>
      <c r="CR65" s="1577">
        <f t="shared" si="86"/>
        <v>0</v>
      </c>
      <c r="CS65" s="1576">
        <f t="shared" si="45"/>
        <v>0</v>
      </c>
      <c r="CT65" s="1495">
        <f t="shared" si="87"/>
        <v>0</v>
      </c>
      <c r="CU65" s="1577">
        <f t="shared" si="88"/>
        <v>0</v>
      </c>
      <c r="CV65" s="1576">
        <f t="shared" si="48"/>
        <v>0</v>
      </c>
      <c r="CW65" s="1495">
        <f t="shared" si="89"/>
        <v>0</v>
      </c>
      <c r="CX65" s="1577">
        <f t="shared" si="90"/>
        <v>0</v>
      </c>
      <c r="CY65" s="1576">
        <f t="shared" si="51"/>
        <v>0</v>
      </c>
      <c r="CZ65" s="1574">
        <f t="shared" si="52"/>
        <v>0</v>
      </c>
      <c r="DA65" s="1578">
        <f t="shared" si="54"/>
        <v>0</v>
      </c>
      <c r="DB65" s="1579">
        <f t="shared" si="55"/>
        <v>0</v>
      </c>
      <c r="DC65" s="1578">
        <f t="shared" si="56"/>
        <v>0</v>
      </c>
      <c r="DD65" s="1578">
        <f t="shared" si="56"/>
        <v>0</v>
      </c>
      <c r="DE65" s="1578">
        <f t="shared" si="56"/>
        <v>0</v>
      </c>
      <c r="DF65" s="1578">
        <f t="shared" si="57"/>
        <v>0</v>
      </c>
      <c r="DG65" s="1420"/>
      <c r="DH65" s="1420"/>
      <c r="DJ65" s="1653" t="s">
        <v>1639</v>
      </c>
      <c r="DK65" s="1655"/>
      <c r="DL65" s="1642">
        <v>2.5</v>
      </c>
      <c r="DM65" s="1643">
        <f>DL65/9.5</f>
        <v>0.26315789473684209</v>
      </c>
      <c r="DN65" s="1642">
        <v>6</v>
      </c>
      <c r="DO65" s="1633"/>
      <c r="DV65" s="1633"/>
      <c r="DW65" s="1633"/>
      <c r="DX65" s="1633"/>
      <c r="DY65" s="1633"/>
      <c r="DZ65" s="1633"/>
      <c r="EA65" s="1633"/>
      <c r="EB65" s="1633"/>
      <c r="EC65" s="1633"/>
      <c r="ED65" s="1633"/>
      <c r="EE65" s="1633"/>
      <c r="EF65" s="1633"/>
      <c r="EG65" s="1633"/>
    </row>
    <row r="66" spans="1:137" ht="15" customHeight="1">
      <c r="A66" s="1587"/>
      <c r="B66" s="1628" t="s">
        <v>457</v>
      </c>
      <c r="C66" s="1657"/>
      <c r="D66" s="1657"/>
      <c r="E66" s="1657"/>
      <c r="F66" s="1658"/>
      <c r="G66" s="1475"/>
      <c r="H66" s="1475"/>
      <c r="I66" s="1475"/>
      <c r="J66" s="1475"/>
      <c r="K66" s="1475"/>
      <c r="L66" s="1475"/>
      <c r="M66" s="1475"/>
      <c r="BD66" s="1449"/>
      <c r="BE66" s="1571" t="s">
        <v>1209</v>
      </c>
      <c r="BF66" s="1436">
        <v>20</v>
      </c>
      <c r="BG66" s="1436">
        <v>16</v>
      </c>
      <c r="BH66" s="1436">
        <v>2</v>
      </c>
      <c r="BI66" s="1495" t="b">
        <f t="shared" si="53"/>
        <v>1</v>
      </c>
      <c r="BJ66" s="1450" t="b">
        <f t="shared" si="65"/>
        <v>1</v>
      </c>
      <c r="BK66" s="1572">
        <f t="shared" si="66"/>
        <v>7.5</v>
      </c>
      <c r="BL66" s="1581">
        <f>IF(SUM(BL$51:BL65,BK66)&gt;$BK$4,0,BK66)</f>
        <v>7.5</v>
      </c>
      <c r="BM66" s="1436">
        <f t="shared" si="14"/>
        <v>0</v>
      </c>
      <c r="BN66" s="1495">
        <f t="shared" si="15"/>
        <v>0</v>
      </c>
      <c r="BO66" s="1437">
        <f t="shared" si="59"/>
        <v>0</v>
      </c>
      <c r="BP66" s="1574">
        <f t="shared" si="67"/>
        <v>0</v>
      </c>
      <c r="BQ66" s="1577">
        <f t="shared" si="68"/>
        <v>0</v>
      </c>
      <c r="BR66" s="1576">
        <f t="shared" si="18"/>
        <v>0</v>
      </c>
      <c r="BS66" s="1574">
        <f t="shared" si="69"/>
        <v>0</v>
      </c>
      <c r="BT66" s="1577">
        <f t="shared" si="70"/>
        <v>0</v>
      </c>
      <c r="BU66" s="1576">
        <f t="shared" si="21"/>
        <v>0</v>
      </c>
      <c r="BV66" s="1574">
        <f t="shared" si="71"/>
        <v>0</v>
      </c>
      <c r="BW66" s="1577">
        <f t="shared" si="72"/>
        <v>0</v>
      </c>
      <c r="BX66" s="1576">
        <f t="shared" si="24"/>
        <v>0</v>
      </c>
      <c r="BY66" s="1574">
        <f t="shared" si="73"/>
        <v>0</v>
      </c>
      <c r="BZ66" s="1577">
        <f t="shared" si="74"/>
        <v>0</v>
      </c>
      <c r="CA66" s="1576">
        <f t="shared" si="27"/>
        <v>0</v>
      </c>
      <c r="CB66" s="1495">
        <f t="shared" si="75"/>
        <v>0</v>
      </c>
      <c r="CC66" s="1577">
        <f t="shared" si="76"/>
        <v>0</v>
      </c>
      <c r="CD66" s="1576">
        <f t="shared" si="30"/>
        <v>0</v>
      </c>
      <c r="CE66" s="1495">
        <f t="shared" si="77"/>
        <v>0</v>
      </c>
      <c r="CF66" s="1577">
        <f t="shared" si="78"/>
        <v>0</v>
      </c>
      <c r="CG66" s="1576">
        <f t="shared" si="33"/>
        <v>0</v>
      </c>
      <c r="CH66" s="1495">
        <f t="shared" si="79"/>
        <v>0</v>
      </c>
      <c r="CI66" s="1577">
        <f t="shared" si="80"/>
        <v>0</v>
      </c>
      <c r="CJ66" s="1576">
        <f t="shared" si="36"/>
        <v>0</v>
      </c>
      <c r="CK66" s="1495">
        <f t="shared" si="81"/>
        <v>0</v>
      </c>
      <c r="CL66" s="1577">
        <f t="shared" si="82"/>
        <v>0</v>
      </c>
      <c r="CM66" s="1576">
        <f t="shared" si="39"/>
        <v>0</v>
      </c>
      <c r="CN66" s="1495">
        <f t="shared" si="83"/>
        <v>0</v>
      </c>
      <c r="CO66" s="1577">
        <f t="shared" si="84"/>
        <v>0</v>
      </c>
      <c r="CP66" s="1576">
        <f t="shared" si="42"/>
        <v>0</v>
      </c>
      <c r="CQ66" s="1495">
        <f t="shared" si="85"/>
        <v>0</v>
      </c>
      <c r="CR66" s="1577">
        <f t="shared" si="86"/>
        <v>0</v>
      </c>
      <c r="CS66" s="1576">
        <f t="shared" si="45"/>
        <v>0</v>
      </c>
      <c r="CT66" s="1495">
        <f t="shared" si="87"/>
        <v>0</v>
      </c>
      <c r="CU66" s="1577">
        <f t="shared" si="88"/>
        <v>0</v>
      </c>
      <c r="CV66" s="1576">
        <f t="shared" si="48"/>
        <v>0</v>
      </c>
      <c r="CW66" s="1495">
        <f t="shared" si="89"/>
        <v>0</v>
      </c>
      <c r="CX66" s="1577">
        <f t="shared" si="90"/>
        <v>0</v>
      </c>
      <c r="CY66" s="1576">
        <f t="shared" si="51"/>
        <v>0</v>
      </c>
      <c r="CZ66" s="1574">
        <f t="shared" si="52"/>
        <v>0</v>
      </c>
      <c r="DA66" s="1578">
        <f t="shared" si="54"/>
        <v>0</v>
      </c>
      <c r="DB66" s="1579">
        <f t="shared" si="55"/>
        <v>0</v>
      </c>
      <c r="DC66" s="1578">
        <f t="shared" si="56"/>
        <v>0</v>
      </c>
      <c r="DD66" s="1578">
        <f t="shared" si="56"/>
        <v>0</v>
      </c>
      <c r="DE66" s="1578">
        <f t="shared" si="56"/>
        <v>0</v>
      </c>
      <c r="DF66" s="1578">
        <f t="shared" si="57"/>
        <v>0</v>
      </c>
      <c r="DG66" s="1420"/>
      <c r="DH66" s="1420"/>
      <c r="DJ66" s="1640" t="s">
        <v>1641</v>
      </c>
      <c r="DK66" s="1641">
        <v>12</v>
      </c>
      <c r="DL66" s="1642" t="s">
        <v>1642</v>
      </c>
      <c r="DM66" s="1643"/>
      <c r="DN66" s="1642">
        <v>300</v>
      </c>
      <c r="DO66" s="1633"/>
      <c r="DV66" s="1633"/>
      <c r="DW66" s="1633"/>
      <c r="DX66" s="1633"/>
      <c r="DY66" s="1633"/>
      <c r="DZ66" s="1633"/>
      <c r="EA66" s="1633"/>
      <c r="EB66" s="1633"/>
      <c r="EC66" s="1633"/>
      <c r="ED66" s="1633"/>
      <c r="EE66" s="1633"/>
      <c r="EF66" s="1633"/>
      <c r="EG66" s="1633"/>
    </row>
    <row r="67" spans="1:137" ht="27.75" customHeight="1">
      <c r="A67" s="1587"/>
      <c r="B67" s="2532" t="s">
        <v>1640</v>
      </c>
      <c r="C67" s="2541"/>
      <c r="D67" s="1659" t="s">
        <v>588</v>
      </c>
      <c r="E67" s="1660" t="str">
        <f>IF(D67="No",N62,"")</f>
        <v/>
      </c>
      <c r="F67" s="1661"/>
      <c r="G67" s="1475"/>
      <c r="H67" s="1475"/>
      <c r="I67" s="1475"/>
      <c r="J67" s="1475"/>
      <c r="K67" s="1475"/>
      <c r="L67" s="1475"/>
      <c r="M67" s="1475"/>
      <c r="BD67" s="1449"/>
      <c r="BE67" s="1571" t="s">
        <v>1209</v>
      </c>
      <c r="BF67" s="1436">
        <v>20</v>
      </c>
      <c r="BG67" s="1436">
        <v>17</v>
      </c>
      <c r="BH67" s="1436">
        <v>3</v>
      </c>
      <c r="BI67" s="1495" t="b">
        <f t="shared" si="53"/>
        <v>1</v>
      </c>
      <c r="BJ67" s="1450" t="b">
        <f t="shared" si="65"/>
        <v>0</v>
      </c>
      <c r="BK67" s="1572">
        <f t="shared" si="66"/>
        <v>0</v>
      </c>
      <c r="BL67" s="1581">
        <f>IF(SUM(BL$51:BL66,BK67)&gt;$BK$4,0,BK67)</f>
        <v>0</v>
      </c>
      <c r="BM67" s="1436">
        <f t="shared" si="14"/>
        <v>0</v>
      </c>
      <c r="BN67" s="1495">
        <f t="shared" si="15"/>
        <v>0</v>
      </c>
      <c r="BO67" s="1437">
        <f t="shared" si="59"/>
        <v>0</v>
      </c>
      <c r="BP67" s="1574">
        <f t="shared" si="67"/>
        <v>0</v>
      </c>
      <c r="BQ67" s="1577">
        <f t="shared" si="68"/>
        <v>0</v>
      </c>
      <c r="BR67" s="1576">
        <f t="shared" si="18"/>
        <v>0</v>
      </c>
      <c r="BS67" s="1574">
        <f t="shared" si="69"/>
        <v>0</v>
      </c>
      <c r="BT67" s="1577">
        <f t="shared" si="70"/>
        <v>0</v>
      </c>
      <c r="BU67" s="1576">
        <f t="shared" si="21"/>
        <v>0</v>
      </c>
      <c r="BV67" s="1574">
        <f t="shared" si="71"/>
        <v>0</v>
      </c>
      <c r="BW67" s="1577">
        <f t="shared" si="72"/>
        <v>0</v>
      </c>
      <c r="BX67" s="1576">
        <f t="shared" si="24"/>
        <v>0</v>
      </c>
      <c r="BY67" s="1574">
        <f t="shared" si="73"/>
        <v>0</v>
      </c>
      <c r="BZ67" s="1577">
        <f t="shared" si="74"/>
        <v>0</v>
      </c>
      <c r="CA67" s="1576">
        <f t="shared" si="27"/>
        <v>0</v>
      </c>
      <c r="CB67" s="1495">
        <f t="shared" si="75"/>
        <v>0</v>
      </c>
      <c r="CC67" s="1577">
        <f t="shared" si="76"/>
        <v>0</v>
      </c>
      <c r="CD67" s="1576">
        <f t="shared" si="30"/>
        <v>0</v>
      </c>
      <c r="CE67" s="1495">
        <f t="shared" si="77"/>
        <v>0</v>
      </c>
      <c r="CF67" s="1577">
        <f t="shared" si="78"/>
        <v>0</v>
      </c>
      <c r="CG67" s="1576">
        <f t="shared" si="33"/>
        <v>0</v>
      </c>
      <c r="CH67" s="1495">
        <f t="shared" si="79"/>
        <v>0</v>
      </c>
      <c r="CI67" s="1577">
        <f t="shared" si="80"/>
        <v>0</v>
      </c>
      <c r="CJ67" s="1576">
        <f t="shared" si="36"/>
        <v>0</v>
      </c>
      <c r="CK67" s="1495">
        <f t="shared" si="81"/>
        <v>0</v>
      </c>
      <c r="CL67" s="1577">
        <f t="shared" si="82"/>
        <v>0</v>
      </c>
      <c r="CM67" s="1576">
        <f t="shared" si="39"/>
        <v>0</v>
      </c>
      <c r="CN67" s="1495">
        <f t="shared" si="83"/>
        <v>0</v>
      </c>
      <c r="CO67" s="1577">
        <f t="shared" si="84"/>
        <v>0</v>
      </c>
      <c r="CP67" s="1576">
        <f t="shared" si="42"/>
        <v>0</v>
      </c>
      <c r="CQ67" s="1495">
        <f t="shared" si="85"/>
        <v>0</v>
      </c>
      <c r="CR67" s="1577">
        <f t="shared" si="86"/>
        <v>0</v>
      </c>
      <c r="CS67" s="1576">
        <f t="shared" si="45"/>
        <v>0</v>
      </c>
      <c r="CT67" s="1495">
        <f t="shared" si="87"/>
        <v>0</v>
      </c>
      <c r="CU67" s="1577">
        <f t="shared" si="88"/>
        <v>0</v>
      </c>
      <c r="CV67" s="1576">
        <f t="shared" si="48"/>
        <v>0</v>
      </c>
      <c r="CW67" s="1495">
        <f t="shared" si="89"/>
        <v>0</v>
      </c>
      <c r="CX67" s="1577">
        <f t="shared" si="90"/>
        <v>0</v>
      </c>
      <c r="CY67" s="1576">
        <f t="shared" si="51"/>
        <v>0</v>
      </c>
      <c r="CZ67" s="1574">
        <f t="shared" si="52"/>
        <v>0</v>
      </c>
      <c r="DA67" s="1578">
        <f t="shared" si="54"/>
        <v>0</v>
      </c>
      <c r="DB67" s="1579">
        <f t="shared" si="55"/>
        <v>0</v>
      </c>
      <c r="DC67" s="1578">
        <f t="shared" si="56"/>
        <v>0</v>
      </c>
      <c r="DD67" s="1578">
        <f t="shared" si="56"/>
        <v>0</v>
      </c>
      <c r="DE67" s="1578">
        <f t="shared" si="56"/>
        <v>0</v>
      </c>
      <c r="DF67" s="1578">
        <f t="shared" si="57"/>
        <v>0</v>
      </c>
      <c r="DG67" s="1420"/>
      <c r="DH67" s="1420"/>
      <c r="DJ67" s="1640" t="s">
        <v>1643</v>
      </c>
      <c r="DK67" s="1655" t="s">
        <v>1515</v>
      </c>
      <c r="DL67" s="1644"/>
      <c r="DM67" s="1644"/>
      <c r="DN67" s="1644"/>
      <c r="DO67" s="1633"/>
      <c r="DV67" s="1633"/>
      <c r="DW67" s="1633"/>
      <c r="DX67" s="1633"/>
      <c r="DY67" s="1633"/>
      <c r="DZ67" s="1633"/>
      <c r="EA67" s="1633"/>
      <c r="EB67" s="1633"/>
      <c r="EC67" s="1633"/>
      <c r="ED67" s="1633"/>
      <c r="EE67" s="1633"/>
      <c r="EF67" s="1633"/>
      <c r="EG67" s="1633"/>
    </row>
    <row r="68" spans="1:137" ht="24">
      <c r="A68" s="1636"/>
      <c r="B68" s="2532" t="s">
        <v>1939</v>
      </c>
      <c r="C68" s="2532"/>
      <c r="D68" s="2532"/>
      <c r="E68" s="1596" t="s">
        <v>1609</v>
      </c>
      <c r="F68" s="1596" t="s">
        <v>1608</v>
      </c>
      <c r="I68" s="1475"/>
      <c r="J68" s="1475"/>
      <c r="K68" s="1475"/>
      <c r="L68" s="1475"/>
      <c r="M68" s="1475"/>
      <c r="BD68" s="1449"/>
      <c r="BE68" s="1571" t="s">
        <v>1209</v>
      </c>
      <c r="BF68" s="1436">
        <v>20</v>
      </c>
      <c r="BG68" s="1436">
        <v>18</v>
      </c>
      <c r="BH68" s="1436">
        <v>4</v>
      </c>
      <c r="BI68" s="1495" t="b">
        <f t="shared" si="53"/>
        <v>1</v>
      </c>
      <c r="BJ68" s="1450" t="b">
        <f t="shared" si="65"/>
        <v>0</v>
      </c>
      <c r="BK68" s="1572">
        <f t="shared" si="66"/>
        <v>0</v>
      </c>
      <c r="BL68" s="1581">
        <f>IF(SUM(BL$51:BL67,BK68)&gt;$BK$4,0,BK68)</f>
        <v>0</v>
      </c>
      <c r="BM68" s="1436">
        <f t="shared" si="14"/>
        <v>0</v>
      </c>
      <c r="BN68" s="1495">
        <f t="shared" si="15"/>
        <v>0</v>
      </c>
      <c r="BO68" s="1437">
        <f t="shared" si="59"/>
        <v>0</v>
      </c>
      <c r="BP68" s="1574">
        <f t="shared" si="67"/>
        <v>0</v>
      </c>
      <c r="BQ68" s="1577">
        <f t="shared" si="68"/>
        <v>0</v>
      </c>
      <c r="BR68" s="1576">
        <f t="shared" si="18"/>
        <v>0</v>
      </c>
      <c r="BS68" s="1574">
        <f t="shared" si="69"/>
        <v>0</v>
      </c>
      <c r="BT68" s="1577">
        <f t="shared" si="70"/>
        <v>0</v>
      </c>
      <c r="BU68" s="1576">
        <f t="shared" si="21"/>
        <v>0</v>
      </c>
      <c r="BV68" s="1574">
        <f t="shared" si="71"/>
        <v>0</v>
      </c>
      <c r="BW68" s="1577">
        <f t="shared" si="72"/>
        <v>0</v>
      </c>
      <c r="BX68" s="1576">
        <f t="shared" si="24"/>
        <v>0</v>
      </c>
      <c r="BY68" s="1574">
        <f t="shared" si="73"/>
        <v>0</v>
      </c>
      <c r="BZ68" s="1577">
        <f t="shared" si="74"/>
        <v>0</v>
      </c>
      <c r="CA68" s="1576">
        <f t="shared" si="27"/>
        <v>0</v>
      </c>
      <c r="CB68" s="1495">
        <f t="shared" si="75"/>
        <v>0</v>
      </c>
      <c r="CC68" s="1577">
        <f t="shared" si="76"/>
        <v>0</v>
      </c>
      <c r="CD68" s="1576">
        <f t="shared" si="30"/>
        <v>0</v>
      </c>
      <c r="CE68" s="1495">
        <f t="shared" si="77"/>
        <v>0</v>
      </c>
      <c r="CF68" s="1577">
        <f t="shared" si="78"/>
        <v>0</v>
      </c>
      <c r="CG68" s="1576">
        <f t="shared" si="33"/>
        <v>0</v>
      </c>
      <c r="CH68" s="1495">
        <f t="shared" si="79"/>
        <v>0</v>
      </c>
      <c r="CI68" s="1577">
        <f t="shared" si="80"/>
        <v>0</v>
      </c>
      <c r="CJ68" s="1576">
        <f t="shared" si="36"/>
        <v>0</v>
      </c>
      <c r="CK68" s="1495">
        <f t="shared" si="81"/>
        <v>0</v>
      </c>
      <c r="CL68" s="1577">
        <f t="shared" si="82"/>
        <v>0</v>
      </c>
      <c r="CM68" s="1576">
        <f t="shared" si="39"/>
        <v>0</v>
      </c>
      <c r="CN68" s="1495">
        <f t="shared" si="83"/>
        <v>0</v>
      </c>
      <c r="CO68" s="1577">
        <f t="shared" si="84"/>
        <v>0</v>
      </c>
      <c r="CP68" s="1576">
        <f t="shared" si="42"/>
        <v>0</v>
      </c>
      <c r="CQ68" s="1495">
        <f t="shared" si="85"/>
        <v>0</v>
      </c>
      <c r="CR68" s="1577">
        <f t="shared" si="86"/>
        <v>0</v>
      </c>
      <c r="CS68" s="1576">
        <f t="shared" si="45"/>
        <v>0</v>
      </c>
      <c r="CT68" s="1495">
        <f t="shared" si="87"/>
        <v>0</v>
      </c>
      <c r="CU68" s="1577">
        <f t="shared" si="88"/>
        <v>0</v>
      </c>
      <c r="CV68" s="1576">
        <f t="shared" si="48"/>
        <v>0</v>
      </c>
      <c r="CW68" s="1495">
        <f t="shared" si="89"/>
        <v>0</v>
      </c>
      <c r="CX68" s="1577">
        <f t="shared" si="90"/>
        <v>0</v>
      </c>
      <c r="CY68" s="1576">
        <f t="shared" si="51"/>
        <v>0</v>
      </c>
      <c r="CZ68" s="1574">
        <f t="shared" si="52"/>
        <v>0</v>
      </c>
      <c r="DA68" s="1578">
        <f t="shared" si="54"/>
        <v>0</v>
      </c>
      <c r="DB68" s="1579">
        <f t="shared" si="55"/>
        <v>0</v>
      </c>
      <c r="DC68" s="1578">
        <f t="shared" si="56"/>
        <v>0</v>
      </c>
      <c r="DD68" s="1578">
        <f t="shared" si="56"/>
        <v>0</v>
      </c>
      <c r="DE68" s="1578">
        <f t="shared" si="56"/>
        <v>0</v>
      </c>
      <c r="DF68" s="1578">
        <f t="shared" si="57"/>
        <v>0</v>
      </c>
      <c r="DG68" s="1420"/>
      <c r="DH68" s="1420"/>
      <c r="DJ68" s="1640" t="s">
        <v>1645</v>
      </c>
      <c r="DK68" s="1655" t="s">
        <v>1515</v>
      </c>
      <c r="DL68" s="1644"/>
      <c r="DM68" s="1644"/>
      <c r="DN68" s="1644"/>
      <c r="DO68" s="1633"/>
    </row>
    <row r="69" spans="1:137" ht="12.75">
      <c r="A69" s="1594"/>
      <c r="B69" s="2533" t="s">
        <v>1644</v>
      </c>
      <c r="C69" s="2534"/>
      <c r="D69" s="2535"/>
      <c r="E69" s="1507"/>
      <c r="F69" s="1662"/>
      <c r="I69" s="1475"/>
      <c r="J69" s="1475"/>
      <c r="K69" s="1475"/>
      <c r="L69" s="1663"/>
      <c r="M69" s="1663"/>
      <c r="BD69" s="1449"/>
      <c r="BE69" s="1571" t="s">
        <v>1209</v>
      </c>
      <c r="BF69" s="1436">
        <v>20</v>
      </c>
      <c r="BG69" s="1436">
        <v>19</v>
      </c>
      <c r="BH69" s="1436">
        <v>5</v>
      </c>
      <c r="BI69" s="1495" t="b">
        <f t="shared" si="53"/>
        <v>1</v>
      </c>
      <c r="BJ69" s="1450" t="b">
        <f t="shared" si="65"/>
        <v>0</v>
      </c>
      <c r="BK69" s="1572">
        <f t="shared" si="66"/>
        <v>0</v>
      </c>
      <c r="BL69" s="1581">
        <f>IF(SUM(BL$51:BL68,BK69)&gt;$BK$4,0,BK69)</f>
        <v>0</v>
      </c>
      <c r="BM69" s="1436">
        <f t="shared" si="14"/>
        <v>0</v>
      </c>
      <c r="BN69" s="1495">
        <f t="shared" si="15"/>
        <v>0</v>
      </c>
      <c r="BO69" s="1437">
        <f t="shared" si="59"/>
        <v>0</v>
      </c>
      <c r="BP69" s="1574">
        <f t="shared" si="67"/>
        <v>0</v>
      </c>
      <c r="BQ69" s="1577">
        <f t="shared" si="68"/>
        <v>0</v>
      </c>
      <c r="BR69" s="1576">
        <f t="shared" si="18"/>
        <v>0</v>
      </c>
      <c r="BS69" s="1574">
        <f t="shared" si="69"/>
        <v>0</v>
      </c>
      <c r="BT69" s="1577">
        <f t="shared" si="70"/>
        <v>0</v>
      </c>
      <c r="BU69" s="1576">
        <f t="shared" si="21"/>
        <v>0</v>
      </c>
      <c r="BV69" s="1574">
        <f t="shared" si="71"/>
        <v>0</v>
      </c>
      <c r="BW69" s="1577">
        <f t="shared" si="72"/>
        <v>0</v>
      </c>
      <c r="BX69" s="1576">
        <f t="shared" si="24"/>
        <v>0</v>
      </c>
      <c r="BY69" s="1574">
        <f t="shared" si="73"/>
        <v>0</v>
      </c>
      <c r="BZ69" s="1577">
        <f t="shared" si="74"/>
        <v>0</v>
      </c>
      <c r="CA69" s="1576">
        <f t="shared" si="27"/>
        <v>0</v>
      </c>
      <c r="CB69" s="1495">
        <f t="shared" si="75"/>
        <v>0</v>
      </c>
      <c r="CC69" s="1577">
        <f t="shared" si="76"/>
        <v>0</v>
      </c>
      <c r="CD69" s="1576">
        <f t="shared" si="30"/>
        <v>0</v>
      </c>
      <c r="CE69" s="1495">
        <f t="shared" si="77"/>
        <v>0</v>
      </c>
      <c r="CF69" s="1577">
        <f t="shared" si="78"/>
        <v>0</v>
      </c>
      <c r="CG69" s="1576">
        <f t="shared" si="33"/>
        <v>0</v>
      </c>
      <c r="CH69" s="1495">
        <f t="shared" si="79"/>
        <v>0</v>
      </c>
      <c r="CI69" s="1577">
        <f t="shared" si="80"/>
        <v>0</v>
      </c>
      <c r="CJ69" s="1576">
        <f t="shared" si="36"/>
        <v>0</v>
      </c>
      <c r="CK69" s="1495">
        <f t="shared" si="81"/>
        <v>0</v>
      </c>
      <c r="CL69" s="1577">
        <f t="shared" si="82"/>
        <v>0</v>
      </c>
      <c r="CM69" s="1576">
        <f t="shared" si="39"/>
        <v>0</v>
      </c>
      <c r="CN69" s="1495">
        <f t="shared" si="83"/>
        <v>0</v>
      </c>
      <c r="CO69" s="1577">
        <f t="shared" si="84"/>
        <v>0</v>
      </c>
      <c r="CP69" s="1576">
        <f t="shared" si="42"/>
        <v>0</v>
      </c>
      <c r="CQ69" s="1495">
        <f t="shared" si="85"/>
        <v>0</v>
      </c>
      <c r="CR69" s="1577">
        <f t="shared" si="86"/>
        <v>0</v>
      </c>
      <c r="CS69" s="1576">
        <f t="shared" si="45"/>
        <v>0</v>
      </c>
      <c r="CT69" s="1495">
        <f t="shared" si="87"/>
        <v>0</v>
      </c>
      <c r="CU69" s="1577">
        <f t="shared" si="88"/>
        <v>0</v>
      </c>
      <c r="CV69" s="1576">
        <f t="shared" si="48"/>
        <v>0</v>
      </c>
      <c r="CW69" s="1495">
        <f t="shared" si="89"/>
        <v>0</v>
      </c>
      <c r="CX69" s="1577">
        <f t="shared" si="90"/>
        <v>0</v>
      </c>
      <c r="CY69" s="1576">
        <f t="shared" si="51"/>
        <v>0</v>
      </c>
      <c r="CZ69" s="1574">
        <f t="shared" si="52"/>
        <v>0</v>
      </c>
      <c r="DA69" s="1578">
        <f t="shared" si="54"/>
        <v>0</v>
      </c>
      <c r="DB69" s="1579">
        <f t="shared" si="55"/>
        <v>0</v>
      </c>
      <c r="DC69" s="1578">
        <f t="shared" si="56"/>
        <v>0</v>
      </c>
      <c r="DD69" s="1578">
        <f t="shared" si="56"/>
        <v>0</v>
      </c>
      <c r="DE69" s="1578">
        <f t="shared" si="56"/>
        <v>0</v>
      </c>
      <c r="DF69" s="1578">
        <f t="shared" si="57"/>
        <v>0</v>
      </c>
      <c r="DG69" s="1420"/>
      <c r="DH69" s="1420"/>
      <c r="DJ69" s="1640" t="s">
        <v>1422</v>
      </c>
      <c r="DK69" s="1655" t="s">
        <v>1515</v>
      </c>
      <c r="DL69" s="1644"/>
      <c r="DM69" s="1644"/>
      <c r="DN69" s="1644"/>
      <c r="DO69" s="1633"/>
    </row>
    <row r="70" spans="1:137" ht="15" customHeight="1">
      <c r="A70" s="1587"/>
      <c r="B70" s="2537" t="s">
        <v>1646</v>
      </c>
      <c r="C70" s="2538"/>
      <c r="D70" s="2539"/>
      <c r="E70" s="1507"/>
      <c r="F70" s="1662"/>
      <c r="I70" s="1475"/>
      <c r="J70" s="1475"/>
      <c r="K70" s="1475"/>
      <c r="L70" s="1475"/>
      <c r="M70" s="1475"/>
      <c r="BD70" s="1449"/>
      <c r="BE70" s="1571" t="s">
        <v>1209</v>
      </c>
      <c r="BF70" s="1436">
        <v>20</v>
      </c>
      <c r="BG70" s="1436">
        <v>20</v>
      </c>
      <c r="BH70" s="1436">
        <v>6</v>
      </c>
      <c r="BI70" s="1495" t="b">
        <f t="shared" si="53"/>
        <v>0</v>
      </c>
      <c r="BJ70" s="1450" t="b">
        <f t="shared" si="65"/>
        <v>1</v>
      </c>
      <c r="BK70" s="1572">
        <f t="shared" si="66"/>
        <v>7.5</v>
      </c>
      <c r="BL70" s="1581">
        <f>IF(SUM(BL$51:BL69,BK70)&gt;$BK$4,0,BK70)</f>
        <v>7.5</v>
      </c>
      <c r="BM70" s="1436">
        <f t="shared" si="14"/>
        <v>0</v>
      </c>
      <c r="BN70" s="1495">
        <f t="shared" si="15"/>
        <v>0</v>
      </c>
      <c r="BO70" s="1437">
        <f t="shared" si="59"/>
        <v>0</v>
      </c>
      <c r="BP70" s="1574">
        <f t="shared" si="67"/>
        <v>0</v>
      </c>
      <c r="BQ70" s="1577">
        <f t="shared" si="68"/>
        <v>0</v>
      </c>
      <c r="BR70" s="1576">
        <f t="shared" si="18"/>
        <v>0</v>
      </c>
      <c r="BS70" s="1574">
        <f t="shared" si="69"/>
        <v>0</v>
      </c>
      <c r="BT70" s="1577">
        <f t="shared" si="70"/>
        <v>0</v>
      </c>
      <c r="BU70" s="1576">
        <f t="shared" si="21"/>
        <v>0</v>
      </c>
      <c r="BV70" s="1574">
        <f t="shared" si="71"/>
        <v>0</v>
      </c>
      <c r="BW70" s="1577">
        <f t="shared" si="72"/>
        <v>0</v>
      </c>
      <c r="BX70" s="1576">
        <f t="shared" si="24"/>
        <v>0</v>
      </c>
      <c r="BY70" s="1574">
        <f t="shared" si="73"/>
        <v>0</v>
      </c>
      <c r="BZ70" s="1577">
        <f t="shared" si="74"/>
        <v>0</v>
      </c>
      <c r="CA70" s="1576">
        <f t="shared" si="27"/>
        <v>0</v>
      </c>
      <c r="CB70" s="1495">
        <f t="shared" si="75"/>
        <v>0</v>
      </c>
      <c r="CC70" s="1577">
        <f t="shared" si="76"/>
        <v>0</v>
      </c>
      <c r="CD70" s="1576">
        <f t="shared" si="30"/>
        <v>0</v>
      </c>
      <c r="CE70" s="1495">
        <f t="shared" si="77"/>
        <v>0</v>
      </c>
      <c r="CF70" s="1577">
        <f t="shared" si="78"/>
        <v>0</v>
      </c>
      <c r="CG70" s="1576">
        <f t="shared" si="33"/>
        <v>0</v>
      </c>
      <c r="CH70" s="1495">
        <f t="shared" si="79"/>
        <v>0</v>
      </c>
      <c r="CI70" s="1577">
        <f t="shared" si="80"/>
        <v>0</v>
      </c>
      <c r="CJ70" s="1576">
        <f t="shared" si="36"/>
        <v>0</v>
      </c>
      <c r="CK70" s="1495">
        <f t="shared" si="81"/>
        <v>0</v>
      </c>
      <c r="CL70" s="1577">
        <f t="shared" si="82"/>
        <v>0</v>
      </c>
      <c r="CM70" s="1576">
        <f t="shared" si="39"/>
        <v>0</v>
      </c>
      <c r="CN70" s="1495">
        <f t="shared" si="83"/>
        <v>0</v>
      </c>
      <c r="CO70" s="1577">
        <f t="shared" si="84"/>
        <v>0</v>
      </c>
      <c r="CP70" s="1576">
        <f t="shared" si="42"/>
        <v>0</v>
      </c>
      <c r="CQ70" s="1495">
        <f t="shared" si="85"/>
        <v>0</v>
      </c>
      <c r="CR70" s="1577">
        <f t="shared" si="86"/>
        <v>0</v>
      </c>
      <c r="CS70" s="1576">
        <f t="shared" si="45"/>
        <v>0</v>
      </c>
      <c r="CT70" s="1495">
        <f t="shared" si="87"/>
        <v>0</v>
      </c>
      <c r="CU70" s="1577">
        <f t="shared" si="88"/>
        <v>0</v>
      </c>
      <c r="CV70" s="1576">
        <f t="shared" si="48"/>
        <v>0</v>
      </c>
      <c r="CW70" s="1495">
        <f t="shared" si="89"/>
        <v>0</v>
      </c>
      <c r="CX70" s="1577">
        <f t="shared" si="90"/>
        <v>0</v>
      </c>
      <c r="CY70" s="1576">
        <f t="shared" si="51"/>
        <v>0</v>
      </c>
      <c r="CZ70" s="1574">
        <f t="shared" si="52"/>
        <v>0</v>
      </c>
      <c r="DA70" s="1578">
        <f t="shared" si="54"/>
        <v>0</v>
      </c>
      <c r="DB70" s="1579">
        <f t="shared" si="55"/>
        <v>0</v>
      </c>
      <c r="DC70" s="1578">
        <f t="shared" si="56"/>
        <v>0</v>
      </c>
      <c r="DD70" s="1578">
        <f t="shared" si="56"/>
        <v>0</v>
      </c>
      <c r="DE70" s="1578">
        <f t="shared" si="56"/>
        <v>0</v>
      </c>
      <c r="DF70" s="1578">
        <f t="shared" si="57"/>
        <v>0</v>
      </c>
      <c r="DG70" s="1420"/>
      <c r="DH70" s="1420"/>
    </row>
    <row r="71" spans="1:137" ht="15" customHeight="1">
      <c r="A71" s="1528"/>
      <c r="B71" s="2537" t="s">
        <v>1647</v>
      </c>
      <c r="C71" s="2538"/>
      <c r="D71" s="2539"/>
      <c r="E71" s="1507"/>
      <c r="F71" s="1662"/>
      <c r="H71" s="1475"/>
      <c r="I71" s="1475"/>
      <c r="J71" s="1475"/>
      <c r="K71" s="1475"/>
      <c r="L71" s="1475"/>
      <c r="M71" s="1475"/>
      <c r="BD71" s="1449"/>
      <c r="BE71" s="1571" t="s">
        <v>1209</v>
      </c>
      <c r="BF71" s="1436">
        <v>20</v>
      </c>
      <c r="BG71" s="1436">
        <v>21</v>
      </c>
      <c r="BH71" s="1436">
        <v>7</v>
      </c>
      <c r="BI71" s="1495" t="b">
        <f t="shared" si="53"/>
        <v>0</v>
      </c>
      <c r="BJ71" s="1450" t="b">
        <f t="shared" si="65"/>
        <v>0</v>
      </c>
      <c r="BK71" s="1572">
        <f t="shared" si="66"/>
        <v>0</v>
      </c>
      <c r="BL71" s="1581">
        <f>IF(SUM(BL$51:BL70,BK71)&gt;$BK$4,0,BK71)</f>
        <v>0</v>
      </c>
      <c r="BM71" s="1436">
        <f t="shared" si="14"/>
        <v>0</v>
      </c>
      <c r="BN71" s="1495">
        <f t="shared" si="15"/>
        <v>0</v>
      </c>
      <c r="BO71" s="1437">
        <f t="shared" si="59"/>
        <v>0</v>
      </c>
      <c r="BP71" s="1574">
        <f t="shared" si="67"/>
        <v>0</v>
      </c>
      <c r="BQ71" s="1577">
        <f t="shared" si="68"/>
        <v>0</v>
      </c>
      <c r="BR71" s="1576">
        <f t="shared" si="18"/>
        <v>0</v>
      </c>
      <c r="BS71" s="1574">
        <f t="shared" si="69"/>
        <v>0</v>
      </c>
      <c r="BT71" s="1577">
        <f t="shared" si="70"/>
        <v>0</v>
      </c>
      <c r="BU71" s="1576">
        <f t="shared" si="21"/>
        <v>0</v>
      </c>
      <c r="BV71" s="1574">
        <f t="shared" si="71"/>
        <v>0</v>
      </c>
      <c r="BW71" s="1577">
        <f t="shared" si="72"/>
        <v>0</v>
      </c>
      <c r="BX71" s="1576">
        <f t="shared" si="24"/>
        <v>0</v>
      </c>
      <c r="BY71" s="1574">
        <f t="shared" si="73"/>
        <v>0</v>
      </c>
      <c r="BZ71" s="1577">
        <f t="shared" si="74"/>
        <v>0</v>
      </c>
      <c r="CA71" s="1576">
        <f t="shared" si="27"/>
        <v>0</v>
      </c>
      <c r="CB71" s="1495">
        <f t="shared" si="75"/>
        <v>0</v>
      </c>
      <c r="CC71" s="1577">
        <f t="shared" si="76"/>
        <v>0</v>
      </c>
      <c r="CD71" s="1576">
        <f t="shared" si="30"/>
        <v>0</v>
      </c>
      <c r="CE71" s="1495">
        <f t="shared" si="77"/>
        <v>0</v>
      </c>
      <c r="CF71" s="1577">
        <f t="shared" si="78"/>
        <v>0</v>
      </c>
      <c r="CG71" s="1576">
        <f t="shared" si="33"/>
        <v>0</v>
      </c>
      <c r="CH71" s="1495">
        <f t="shared" si="79"/>
        <v>0</v>
      </c>
      <c r="CI71" s="1577">
        <f t="shared" si="80"/>
        <v>0</v>
      </c>
      <c r="CJ71" s="1576">
        <f t="shared" si="36"/>
        <v>0</v>
      </c>
      <c r="CK71" s="1495">
        <f t="shared" si="81"/>
        <v>0</v>
      </c>
      <c r="CL71" s="1577">
        <f t="shared" si="82"/>
        <v>0</v>
      </c>
      <c r="CM71" s="1576">
        <f t="shared" si="39"/>
        <v>0</v>
      </c>
      <c r="CN71" s="1495">
        <f t="shared" si="83"/>
        <v>0</v>
      </c>
      <c r="CO71" s="1577">
        <f t="shared" si="84"/>
        <v>0</v>
      </c>
      <c r="CP71" s="1576">
        <f t="shared" si="42"/>
        <v>0</v>
      </c>
      <c r="CQ71" s="1495">
        <f t="shared" si="85"/>
        <v>0</v>
      </c>
      <c r="CR71" s="1577">
        <f t="shared" si="86"/>
        <v>0</v>
      </c>
      <c r="CS71" s="1576">
        <f t="shared" si="45"/>
        <v>0</v>
      </c>
      <c r="CT71" s="1495">
        <f t="shared" si="87"/>
        <v>0</v>
      </c>
      <c r="CU71" s="1577">
        <f t="shared" si="88"/>
        <v>0</v>
      </c>
      <c r="CV71" s="1576">
        <f t="shared" si="48"/>
        <v>0</v>
      </c>
      <c r="CW71" s="1495">
        <f t="shared" si="89"/>
        <v>0</v>
      </c>
      <c r="CX71" s="1577">
        <f t="shared" si="90"/>
        <v>0</v>
      </c>
      <c r="CY71" s="1576">
        <f t="shared" si="51"/>
        <v>0</v>
      </c>
      <c r="CZ71" s="1574">
        <f t="shared" si="52"/>
        <v>0</v>
      </c>
      <c r="DA71" s="1578">
        <f t="shared" si="54"/>
        <v>0</v>
      </c>
      <c r="DB71" s="1579">
        <f t="shared" si="55"/>
        <v>0</v>
      </c>
      <c r="DC71" s="1578">
        <f t="shared" si="56"/>
        <v>0</v>
      </c>
      <c r="DD71" s="1578">
        <f t="shared" si="56"/>
        <v>0</v>
      </c>
      <c r="DE71" s="1578">
        <f t="shared" si="56"/>
        <v>0</v>
      </c>
      <c r="DF71" s="1578">
        <f t="shared" si="57"/>
        <v>0</v>
      </c>
      <c r="DG71" s="1420"/>
      <c r="DH71" s="1420"/>
      <c r="DJ71" s="1664" t="s">
        <v>1607</v>
      </c>
      <c r="DK71" s="1664"/>
    </row>
    <row r="72" spans="1:137" ht="15" customHeight="1">
      <c r="A72" s="1528"/>
      <c r="B72" s="2537" t="s">
        <v>1648</v>
      </c>
      <c r="C72" s="2538"/>
      <c r="D72" s="2539"/>
      <c r="E72" s="1507"/>
      <c r="F72" s="1662"/>
      <c r="H72" s="1475"/>
      <c r="I72" s="1475"/>
      <c r="J72" s="1475"/>
      <c r="K72" s="1475"/>
      <c r="L72" s="1475"/>
      <c r="M72" s="1475"/>
      <c r="BD72" s="1449"/>
      <c r="BE72" s="1571" t="s">
        <v>1209</v>
      </c>
      <c r="BF72" s="1436">
        <v>20</v>
      </c>
      <c r="BG72" s="1436">
        <v>22</v>
      </c>
      <c r="BH72" s="1436">
        <v>1</v>
      </c>
      <c r="BI72" s="1495" t="b">
        <f t="shared" si="53"/>
        <v>1</v>
      </c>
      <c r="BJ72" s="1450" t="b">
        <f t="shared" si="65"/>
        <v>0</v>
      </c>
      <c r="BK72" s="1572">
        <f t="shared" si="66"/>
        <v>0</v>
      </c>
      <c r="BL72" s="1581">
        <f>IF(SUM(BL$51:BL71,BK72)&gt;$BK$4,0,BK72)</f>
        <v>0</v>
      </c>
      <c r="BM72" s="1436">
        <f t="shared" si="14"/>
        <v>0</v>
      </c>
      <c r="BN72" s="1495">
        <f t="shared" si="15"/>
        <v>0</v>
      </c>
      <c r="BO72" s="1437">
        <f t="shared" si="59"/>
        <v>0</v>
      </c>
      <c r="BP72" s="1574">
        <f t="shared" si="67"/>
        <v>0</v>
      </c>
      <c r="BQ72" s="1577">
        <f t="shared" si="68"/>
        <v>0</v>
      </c>
      <c r="BR72" s="1576">
        <f t="shared" si="18"/>
        <v>0</v>
      </c>
      <c r="BS72" s="1574">
        <f t="shared" si="69"/>
        <v>0</v>
      </c>
      <c r="BT72" s="1577">
        <f t="shared" si="70"/>
        <v>0</v>
      </c>
      <c r="BU72" s="1576">
        <f t="shared" si="21"/>
        <v>0</v>
      </c>
      <c r="BV72" s="1574">
        <f t="shared" si="71"/>
        <v>0</v>
      </c>
      <c r="BW72" s="1577">
        <f t="shared" si="72"/>
        <v>0</v>
      </c>
      <c r="BX72" s="1576">
        <f t="shared" si="24"/>
        <v>0</v>
      </c>
      <c r="BY72" s="1574">
        <f t="shared" si="73"/>
        <v>0</v>
      </c>
      <c r="BZ72" s="1577">
        <f t="shared" si="74"/>
        <v>0</v>
      </c>
      <c r="CA72" s="1576">
        <f t="shared" si="27"/>
        <v>0</v>
      </c>
      <c r="CB72" s="1495">
        <f t="shared" si="75"/>
        <v>0</v>
      </c>
      <c r="CC72" s="1577">
        <f t="shared" si="76"/>
        <v>0</v>
      </c>
      <c r="CD72" s="1576">
        <f t="shared" si="30"/>
        <v>0</v>
      </c>
      <c r="CE72" s="1495">
        <f t="shared" si="77"/>
        <v>0</v>
      </c>
      <c r="CF72" s="1577">
        <f t="shared" si="78"/>
        <v>0</v>
      </c>
      <c r="CG72" s="1576">
        <f t="shared" si="33"/>
        <v>0</v>
      </c>
      <c r="CH72" s="1495">
        <f t="shared" si="79"/>
        <v>0</v>
      </c>
      <c r="CI72" s="1577">
        <f t="shared" si="80"/>
        <v>0</v>
      </c>
      <c r="CJ72" s="1576">
        <f t="shared" si="36"/>
        <v>0</v>
      </c>
      <c r="CK72" s="1495">
        <f t="shared" si="81"/>
        <v>0</v>
      </c>
      <c r="CL72" s="1577">
        <f t="shared" si="82"/>
        <v>0</v>
      </c>
      <c r="CM72" s="1576">
        <f t="shared" si="39"/>
        <v>0</v>
      </c>
      <c r="CN72" s="1495">
        <f t="shared" si="83"/>
        <v>0</v>
      </c>
      <c r="CO72" s="1577">
        <f t="shared" si="84"/>
        <v>0</v>
      </c>
      <c r="CP72" s="1576">
        <f t="shared" si="42"/>
        <v>0</v>
      </c>
      <c r="CQ72" s="1495">
        <f t="shared" si="85"/>
        <v>0</v>
      </c>
      <c r="CR72" s="1577">
        <f t="shared" si="86"/>
        <v>0</v>
      </c>
      <c r="CS72" s="1576">
        <f t="shared" si="45"/>
        <v>0</v>
      </c>
      <c r="CT72" s="1495">
        <f t="shared" si="87"/>
        <v>0</v>
      </c>
      <c r="CU72" s="1577">
        <f t="shared" si="88"/>
        <v>0</v>
      </c>
      <c r="CV72" s="1576">
        <f t="shared" si="48"/>
        <v>0</v>
      </c>
      <c r="CW72" s="1495">
        <f t="shared" si="89"/>
        <v>0</v>
      </c>
      <c r="CX72" s="1577">
        <f t="shared" si="90"/>
        <v>0</v>
      </c>
      <c r="CY72" s="1576">
        <f t="shared" si="51"/>
        <v>0</v>
      </c>
      <c r="CZ72" s="1574">
        <f t="shared" si="52"/>
        <v>0</v>
      </c>
      <c r="DA72" s="1578">
        <f t="shared" si="54"/>
        <v>0</v>
      </c>
      <c r="DB72" s="1579">
        <f t="shared" si="55"/>
        <v>0</v>
      </c>
      <c r="DC72" s="1578">
        <f t="shared" si="56"/>
        <v>0</v>
      </c>
      <c r="DD72" s="1578">
        <f t="shared" si="56"/>
        <v>0</v>
      </c>
      <c r="DE72" s="1578">
        <f t="shared" si="56"/>
        <v>0</v>
      </c>
      <c r="DF72" s="1578">
        <f t="shared" si="57"/>
        <v>0</v>
      </c>
      <c r="DG72" s="1420"/>
      <c r="DH72" s="1420"/>
      <c r="DJ72" s="1665" t="s">
        <v>1499</v>
      </c>
      <c r="DK72" s="1666">
        <v>0</v>
      </c>
    </row>
    <row r="73" spans="1:137" ht="24">
      <c r="A73" s="1528"/>
      <c r="B73" s="1667" t="s">
        <v>1649</v>
      </c>
      <c r="C73" s="1596" t="s">
        <v>456</v>
      </c>
      <c r="D73" s="1596" t="s">
        <v>1650</v>
      </c>
      <c r="E73" s="1596" t="s">
        <v>1609</v>
      </c>
      <c r="F73" s="1596" t="s">
        <v>1608</v>
      </c>
      <c r="H73" s="1475"/>
      <c r="I73" s="1475"/>
      <c r="J73" s="1475"/>
      <c r="K73" s="1475"/>
      <c r="L73" s="1475"/>
      <c r="M73" s="1475"/>
      <c r="BD73" s="1449"/>
      <c r="BE73" s="1571" t="s">
        <v>1209</v>
      </c>
      <c r="BF73" s="1436">
        <v>20</v>
      </c>
      <c r="BG73" s="1436">
        <v>23</v>
      </c>
      <c r="BH73" s="1436">
        <v>2</v>
      </c>
      <c r="BI73" s="1495" t="b">
        <f t="shared" si="53"/>
        <v>1</v>
      </c>
      <c r="BJ73" s="1450" t="b">
        <f t="shared" si="65"/>
        <v>0</v>
      </c>
      <c r="BK73" s="1572">
        <f t="shared" si="66"/>
        <v>0</v>
      </c>
      <c r="BL73" s="1581">
        <f>IF(SUM(BL$51:BL72,BK73)&gt;$BK$4,0,BK73)</f>
        <v>0</v>
      </c>
      <c r="BM73" s="1436">
        <f t="shared" si="14"/>
        <v>0</v>
      </c>
      <c r="BN73" s="1495">
        <f t="shared" si="15"/>
        <v>0</v>
      </c>
      <c r="BO73" s="1437">
        <f t="shared" si="59"/>
        <v>0</v>
      </c>
      <c r="BP73" s="1574">
        <f t="shared" si="67"/>
        <v>0</v>
      </c>
      <c r="BQ73" s="1577">
        <f t="shared" si="68"/>
        <v>0</v>
      </c>
      <c r="BR73" s="1576">
        <f t="shared" si="18"/>
        <v>0</v>
      </c>
      <c r="BS73" s="1574">
        <f t="shared" si="69"/>
        <v>0</v>
      </c>
      <c r="BT73" s="1577">
        <f t="shared" si="70"/>
        <v>0</v>
      </c>
      <c r="BU73" s="1576">
        <f t="shared" si="21"/>
        <v>0</v>
      </c>
      <c r="BV73" s="1574">
        <f t="shared" si="71"/>
        <v>0</v>
      </c>
      <c r="BW73" s="1577">
        <f t="shared" si="72"/>
        <v>0</v>
      </c>
      <c r="BX73" s="1576">
        <f t="shared" si="24"/>
        <v>0</v>
      </c>
      <c r="BY73" s="1574">
        <f t="shared" si="73"/>
        <v>0</v>
      </c>
      <c r="BZ73" s="1577">
        <f t="shared" si="74"/>
        <v>0</v>
      </c>
      <c r="CA73" s="1576">
        <f t="shared" si="27"/>
        <v>0</v>
      </c>
      <c r="CB73" s="1495">
        <f t="shared" si="75"/>
        <v>0</v>
      </c>
      <c r="CC73" s="1577">
        <f t="shared" si="76"/>
        <v>0</v>
      </c>
      <c r="CD73" s="1576">
        <f t="shared" si="30"/>
        <v>0</v>
      </c>
      <c r="CE73" s="1495">
        <f t="shared" si="77"/>
        <v>0</v>
      </c>
      <c r="CF73" s="1577">
        <f t="shared" si="78"/>
        <v>0</v>
      </c>
      <c r="CG73" s="1576">
        <f t="shared" si="33"/>
        <v>0</v>
      </c>
      <c r="CH73" s="1495">
        <f t="shared" si="79"/>
        <v>0</v>
      </c>
      <c r="CI73" s="1577">
        <f t="shared" si="80"/>
        <v>0</v>
      </c>
      <c r="CJ73" s="1576">
        <f t="shared" si="36"/>
        <v>0</v>
      </c>
      <c r="CK73" s="1495">
        <f t="shared" si="81"/>
        <v>0</v>
      </c>
      <c r="CL73" s="1577">
        <f t="shared" si="82"/>
        <v>0</v>
      </c>
      <c r="CM73" s="1576">
        <f t="shared" si="39"/>
        <v>0</v>
      </c>
      <c r="CN73" s="1495">
        <f t="shared" si="83"/>
        <v>0</v>
      </c>
      <c r="CO73" s="1577">
        <f t="shared" si="84"/>
        <v>0</v>
      </c>
      <c r="CP73" s="1576">
        <f t="shared" si="42"/>
        <v>0</v>
      </c>
      <c r="CQ73" s="1495">
        <f t="shared" si="85"/>
        <v>0</v>
      </c>
      <c r="CR73" s="1577">
        <f t="shared" si="86"/>
        <v>0</v>
      </c>
      <c r="CS73" s="1576">
        <f t="shared" si="45"/>
        <v>0</v>
      </c>
      <c r="CT73" s="1495">
        <f t="shared" si="87"/>
        <v>0</v>
      </c>
      <c r="CU73" s="1577">
        <f t="shared" si="88"/>
        <v>0</v>
      </c>
      <c r="CV73" s="1576">
        <f t="shared" si="48"/>
        <v>0</v>
      </c>
      <c r="CW73" s="1495">
        <f t="shared" si="89"/>
        <v>0</v>
      </c>
      <c r="CX73" s="1577">
        <f t="shared" si="90"/>
        <v>0</v>
      </c>
      <c r="CY73" s="1576">
        <f t="shared" si="51"/>
        <v>0</v>
      </c>
      <c r="CZ73" s="1574">
        <f t="shared" si="52"/>
        <v>0</v>
      </c>
      <c r="DA73" s="1578">
        <f t="shared" si="54"/>
        <v>0</v>
      </c>
      <c r="DB73" s="1579">
        <f t="shared" si="55"/>
        <v>0</v>
      </c>
      <c r="DC73" s="1578">
        <f t="shared" si="56"/>
        <v>0</v>
      </c>
      <c r="DD73" s="1578">
        <f t="shared" si="56"/>
        <v>0</v>
      </c>
      <c r="DE73" s="1578">
        <f t="shared" si="56"/>
        <v>0</v>
      </c>
      <c r="DF73" s="1578">
        <f t="shared" si="57"/>
        <v>0</v>
      </c>
      <c r="DG73" s="1420"/>
      <c r="DH73" s="1420"/>
      <c r="DJ73" s="1665" t="s">
        <v>370</v>
      </c>
      <c r="DK73" s="1666">
        <v>0</v>
      </c>
    </row>
    <row r="74" spans="1:137" ht="12.75">
      <c r="A74" s="1528"/>
      <c r="B74" s="1505" t="s">
        <v>1937</v>
      </c>
      <c r="C74" s="1637"/>
      <c r="D74" s="1637"/>
      <c r="E74" s="1637"/>
      <c r="F74" s="1662"/>
      <c r="H74" s="1475"/>
      <c r="I74" s="1475"/>
      <c r="J74" s="1663"/>
      <c r="K74" s="1475"/>
      <c r="L74" s="1475"/>
      <c r="M74" s="1475"/>
      <c r="BD74" s="1449"/>
      <c r="BE74" s="1571" t="s">
        <v>1209</v>
      </c>
      <c r="BF74" s="1436">
        <v>20</v>
      </c>
      <c r="BG74" s="1436">
        <v>24</v>
      </c>
      <c r="BH74" s="1436">
        <v>3</v>
      </c>
      <c r="BI74" s="1495" t="b">
        <f t="shared" si="53"/>
        <v>1</v>
      </c>
      <c r="BJ74" s="1450" t="b">
        <f t="shared" si="65"/>
        <v>1</v>
      </c>
      <c r="BK74" s="1572">
        <f t="shared" si="66"/>
        <v>7.5</v>
      </c>
      <c r="BL74" s="1581">
        <f>IF(SUM(BL$51:BL73,BK74)&gt;$BK$4,0,BK74)</f>
        <v>7.5</v>
      </c>
      <c r="BM74" s="1436">
        <f t="shared" si="14"/>
        <v>0</v>
      </c>
      <c r="BN74" s="1495">
        <f t="shared" si="15"/>
        <v>0</v>
      </c>
      <c r="BO74" s="1437">
        <f t="shared" si="59"/>
        <v>0</v>
      </c>
      <c r="BP74" s="1574">
        <f t="shared" si="67"/>
        <v>0</v>
      </c>
      <c r="BQ74" s="1577">
        <f t="shared" si="68"/>
        <v>0</v>
      </c>
      <c r="BR74" s="1576">
        <f t="shared" si="18"/>
        <v>0</v>
      </c>
      <c r="BS74" s="1574">
        <f t="shared" si="69"/>
        <v>0</v>
      </c>
      <c r="BT74" s="1577">
        <f t="shared" si="70"/>
        <v>0</v>
      </c>
      <c r="BU74" s="1576">
        <f t="shared" si="21"/>
        <v>0</v>
      </c>
      <c r="BV74" s="1574">
        <f t="shared" si="71"/>
        <v>0</v>
      </c>
      <c r="BW74" s="1577">
        <f t="shared" si="72"/>
        <v>0</v>
      </c>
      <c r="BX74" s="1576">
        <f t="shared" si="24"/>
        <v>0</v>
      </c>
      <c r="BY74" s="1574">
        <f t="shared" si="73"/>
        <v>0</v>
      </c>
      <c r="BZ74" s="1577">
        <f t="shared" si="74"/>
        <v>0</v>
      </c>
      <c r="CA74" s="1576">
        <f t="shared" si="27"/>
        <v>0</v>
      </c>
      <c r="CB74" s="1495">
        <f t="shared" si="75"/>
        <v>0</v>
      </c>
      <c r="CC74" s="1577">
        <f t="shared" si="76"/>
        <v>0</v>
      </c>
      <c r="CD74" s="1576">
        <f t="shared" si="30"/>
        <v>0</v>
      </c>
      <c r="CE74" s="1495">
        <f t="shared" si="77"/>
        <v>0</v>
      </c>
      <c r="CF74" s="1577">
        <f t="shared" si="78"/>
        <v>0</v>
      </c>
      <c r="CG74" s="1576">
        <f t="shared" si="33"/>
        <v>0</v>
      </c>
      <c r="CH74" s="1495">
        <f t="shared" si="79"/>
        <v>0</v>
      </c>
      <c r="CI74" s="1577">
        <f t="shared" si="80"/>
        <v>0</v>
      </c>
      <c r="CJ74" s="1576">
        <f t="shared" si="36"/>
        <v>0</v>
      </c>
      <c r="CK74" s="1495">
        <f t="shared" si="81"/>
        <v>0</v>
      </c>
      <c r="CL74" s="1577">
        <f t="shared" si="82"/>
        <v>0</v>
      </c>
      <c r="CM74" s="1576">
        <f t="shared" si="39"/>
        <v>0</v>
      </c>
      <c r="CN74" s="1495">
        <f t="shared" si="83"/>
        <v>0</v>
      </c>
      <c r="CO74" s="1577">
        <f t="shared" si="84"/>
        <v>0</v>
      </c>
      <c r="CP74" s="1576">
        <f t="shared" si="42"/>
        <v>0</v>
      </c>
      <c r="CQ74" s="1495">
        <f t="shared" si="85"/>
        <v>0</v>
      </c>
      <c r="CR74" s="1577">
        <f t="shared" si="86"/>
        <v>0</v>
      </c>
      <c r="CS74" s="1576">
        <f t="shared" si="45"/>
        <v>0</v>
      </c>
      <c r="CT74" s="1495">
        <f t="shared" si="87"/>
        <v>0</v>
      </c>
      <c r="CU74" s="1577">
        <f t="shared" si="88"/>
        <v>0</v>
      </c>
      <c r="CV74" s="1576">
        <f t="shared" si="48"/>
        <v>0</v>
      </c>
      <c r="CW74" s="1495">
        <f t="shared" si="89"/>
        <v>0</v>
      </c>
      <c r="CX74" s="1577">
        <f t="shared" si="90"/>
        <v>0</v>
      </c>
      <c r="CY74" s="1576">
        <f t="shared" si="51"/>
        <v>0</v>
      </c>
      <c r="CZ74" s="1574">
        <f t="shared" si="52"/>
        <v>0</v>
      </c>
      <c r="DA74" s="1578">
        <f t="shared" si="54"/>
        <v>0</v>
      </c>
      <c r="DB74" s="1579">
        <f t="shared" si="55"/>
        <v>0</v>
      </c>
      <c r="DC74" s="1578">
        <f t="shared" si="56"/>
        <v>0</v>
      </c>
      <c r="DD74" s="1578">
        <f t="shared" si="56"/>
        <v>0</v>
      </c>
      <c r="DE74" s="1578">
        <f t="shared" si="56"/>
        <v>0</v>
      </c>
      <c r="DF74" s="1578">
        <f t="shared" si="57"/>
        <v>0</v>
      </c>
      <c r="DG74" s="1420"/>
      <c r="DH74" s="1420"/>
      <c r="DJ74" s="1665" t="s">
        <v>1626</v>
      </c>
      <c r="DK74" s="1666">
        <v>0.03</v>
      </c>
    </row>
    <row r="75" spans="1:137" ht="12.75">
      <c r="A75" s="1587"/>
      <c r="B75" s="1505" t="s">
        <v>1938</v>
      </c>
      <c r="C75" s="1637"/>
      <c r="D75" s="1637"/>
      <c r="E75" s="1637"/>
      <c r="F75" s="1662"/>
      <c r="H75" s="1475"/>
      <c r="I75" s="1475"/>
      <c r="J75" s="1475"/>
      <c r="K75" s="1475"/>
      <c r="L75" s="1475"/>
      <c r="M75" s="1475"/>
      <c r="BD75" s="1449"/>
      <c r="BE75" s="1571" t="s">
        <v>1209</v>
      </c>
      <c r="BF75" s="1436">
        <v>20</v>
      </c>
      <c r="BG75" s="1436">
        <v>25</v>
      </c>
      <c r="BH75" s="1436">
        <v>4</v>
      </c>
      <c r="BI75" s="1495" t="b">
        <f t="shared" si="53"/>
        <v>1</v>
      </c>
      <c r="BJ75" s="1450" t="b">
        <f t="shared" si="65"/>
        <v>0</v>
      </c>
      <c r="BK75" s="1572">
        <f t="shared" si="66"/>
        <v>0</v>
      </c>
      <c r="BL75" s="1581">
        <f>IF(SUM(BL$51:BL74,BK75)&gt;$BK$4,0,BK75)</f>
        <v>0</v>
      </c>
      <c r="BM75" s="1436">
        <f t="shared" si="14"/>
        <v>0</v>
      </c>
      <c r="BN75" s="1495">
        <f t="shared" si="15"/>
        <v>0</v>
      </c>
      <c r="BO75" s="1437">
        <f t="shared" si="59"/>
        <v>0</v>
      </c>
      <c r="BP75" s="1574">
        <f t="shared" si="67"/>
        <v>0</v>
      </c>
      <c r="BQ75" s="1577">
        <f t="shared" si="68"/>
        <v>0</v>
      </c>
      <c r="BR75" s="1576">
        <f t="shared" si="18"/>
        <v>0</v>
      </c>
      <c r="BS75" s="1574">
        <f t="shared" si="69"/>
        <v>0</v>
      </c>
      <c r="BT75" s="1577">
        <f t="shared" si="70"/>
        <v>0</v>
      </c>
      <c r="BU75" s="1576">
        <f t="shared" si="21"/>
        <v>0</v>
      </c>
      <c r="BV75" s="1574">
        <f t="shared" si="71"/>
        <v>0</v>
      </c>
      <c r="BW75" s="1577">
        <f t="shared" si="72"/>
        <v>0</v>
      </c>
      <c r="BX75" s="1576">
        <f t="shared" si="24"/>
        <v>0</v>
      </c>
      <c r="BY75" s="1574">
        <f t="shared" si="73"/>
        <v>0</v>
      </c>
      <c r="BZ75" s="1577">
        <f t="shared" si="74"/>
        <v>0</v>
      </c>
      <c r="CA75" s="1576">
        <f t="shared" si="27"/>
        <v>0</v>
      </c>
      <c r="CB75" s="1495">
        <f t="shared" si="75"/>
        <v>0</v>
      </c>
      <c r="CC75" s="1577">
        <f t="shared" si="76"/>
        <v>0</v>
      </c>
      <c r="CD75" s="1576">
        <f t="shared" si="30"/>
        <v>0</v>
      </c>
      <c r="CE75" s="1495">
        <f t="shared" si="77"/>
        <v>0</v>
      </c>
      <c r="CF75" s="1577">
        <f t="shared" si="78"/>
        <v>0</v>
      </c>
      <c r="CG75" s="1576">
        <f t="shared" si="33"/>
        <v>0</v>
      </c>
      <c r="CH75" s="1495">
        <f t="shared" si="79"/>
        <v>0</v>
      </c>
      <c r="CI75" s="1577">
        <f t="shared" si="80"/>
        <v>0</v>
      </c>
      <c r="CJ75" s="1576">
        <f t="shared" si="36"/>
        <v>0</v>
      </c>
      <c r="CK75" s="1495">
        <f t="shared" si="81"/>
        <v>0</v>
      </c>
      <c r="CL75" s="1577">
        <f t="shared" si="82"/>
        <v>0</v>
      </c>
      <c r="CM75" s="1576">
        <f t="shared" si="39"/>
        <v>0</v>
      </c>
      <c r="CN75" s="1495">
        <f t="shared" si="83"/>
        <v>0</v>
      </c>
      <c r="CO75" s="1577">
        <f t="shared" si="84"/>
        <v>0</v>
      </c>
      <c r="CP75" s="1576">
        <f t="shared" si="42"/>
        <v>0</v>
      </c>
      <c r="CQ75" s="1495">
        <f t="shared" si="85"/>
        <v>0</v>
      </c>
      <c r="CR75" s="1577">
        <f t="shared" si="86"/>
        <v>0</v>
      </c>
      <c r="CS75" s="1576">
        <f t="shared" si="45"/>
        <v>0</v>
      </c>
      <c r="CT75" s="1495">
        <f t="shared" si="87"/>
        <v>0</v>
      </c>
      <c r="CU75" s="1577">
        <f t="shared" si="88"/>
        <v>0</v>
      </c>
      <c r="CV75" s="1576">
        <f t="shared" si="48"/>
        <v>0</v>
      </c>
      <c r="CW75" s="1495">
        <f t="shared" si="89"/>
        <v>0</v>
      </c>
      <c r="CX75" s="1577">
        <f t="shared" si="90"/>
        <v>0</v>
      </c>
      <c r="CY75" s="1576">
        <f t="shared" si="51"/>
        <v>0</v>
      </c>
      <c r="CZ75" s="1574">
        <f t="shared" si="52"/>
        <v>0</v>
      </c>
      <c r="DA75" s="1578">
        <f t="shared" si="54"/>
        <v>0</v>
      </c>
      <c r="DB75" s="1579">
        <f t="shared" si="55"/>
        <v>0</v>
      </c>
      <c r="DC75" s="1578">
        <f t="shared" si="56"/>
        <v>0</v>
      </c>
      <c r="DD75" s="1578">
        <f t="shared" si="56"/>
        <v>0</v>
      </c>
      <c r="DE75" s="1578">
        <f t="shared" si="56"/>
        <v>0</v>
      </c>
      <c r="DF75" s="1578">
        <f t="shared" si="57"/>
        <v>0</v>
      </c>
      <c r="DG75" s="1420"/>
      <c r="DH75" s="1420"/>
      <c r="DJ75" s="1665" t="s">
        <v>1630</v>
      </c>
      <c r="DK75" s="1666">
        <v>0.03</v>
      </c>
    </row>
    <row r="76" spans="1:137" ht="12" customHeight="1">
      <c r="A76" s="1587"/>
      <c r="B76" s="2544" t="str">
        <f>IF(F76&lt;&gt;1,$N$61,"")</f>
        <v>Please complete for 100% of fittings</v>
      </c>
      <c r="C76" s="2544"/>
      <c r="D76" s="2544"/>
      <c r="E76" s="2544"/>
      <c r="F76" s="1668">
        <f>SUM(F69:F72)+SUM(F74:F75)</f>
        <v>0</v>
      </c>
      <c r="H76" s="1475"/>
      <c r="I76" s="1475"/>
      <c r="J76" s="1475"/>
      <c r="K76" s="1475"/>
      <c r="L76" s="1475"/>
      <c r="M76" s="1475"/>
      <c r="BD76" s="1449"/>
      <c r="BE76" s="1571" t="s">
        <v>1209</v>
      </c>
      <c r="BF76" s="1436">
        <v>20</v>
      </c>
      <c r="BG76" s="1436">
        <v>26</v>
      </c>
      <c r="BH76" s="1436">
        <v>5</v>
      </c>
      <c r="BI76" s="1495" t="b">
        <f t="shared" si="53"/>
        <v>1</v>
      </c>
      <c r="BJ76" s="1450" t="b">
        <f t="shared" si="65"/>
        <v>0</v>
      </c>
      <c r="BK76" s="1572">
        <f t="shared" si="66"/>
        <v>0</v>
      </c>
      <c r="BL76" s="1581">
        <f>IF(SUM(BL$51:BL75,BK76)&gt;$BK$4,0,BK76)</f>
        <v>0</v>
      </c>
      <c r="BM76" s="1436">
        <f t="shared" si="14"/>
        <v>0</v>
      </c>
      <c r="BN76" s="1495">
        <f t="shared" si="15"/>
        <v>0</v>
      </c>
      <c r="BO76" s="1437">
        <f t="shared" si="59"/>
        <v>0</v>
      </c>
      <c r="BP76" s="1574">
        <f t="shared" si="67"/>
        <v>0</v>
      </c>
      <c r="BQ76" s="1577">
        <f t="shared" si="68"/>
        <v>0</v>
      </c>
      <c r="BR76" s="1576">
        <f t="shared" si="18"/>
        <v>0</v>
      </c>
      <c r="BS76" s="1574">
        <f t="shared" si="69"/>
        <v>0</v>
      </c>
      <c r="BT76" s="1577">
        <f t="shared" si="70"/>
        <v>0</v>
      </c>
      <c r="BU76" s="1576">
        <f t="shared" si="21"/>
        <v>0</v>
      </c>
      <c r="BV76" s="1574">
        <f t="shared" si="71"/>
        <v>0</v>
      </c>
      <c r="BW76" s="1577">
        <f t="shared" si="72"/>
        <v>0</v>
      </c>
      <c r="BX76" s="1576">
        <f t="shared" si="24"/>
        <v>0</v>
      </c>
      <c r="BY76" s="1574">
        <f t="shared" si="73"/>
        <v>0</v>
      </c>
      <c r="BZ76" s="1577">
        <f t="shared" si="74"/>
        <v>0</v>
      </c>
      <c r="CA76" s="1576">
        <f t="shared" si="27"/>
        <v>0</v>
      </c>
      <c r="CB76" s="1495">
        <f t="shared" si="75"/>
        <v>0</v>
      </c>
      <c r="CC76" s="1577">
        <f t="shared" si="76"/>
        <v>0</v>
      </c>
      <c r="CD76" s="1576">
        <f t="shared" si="30"/>
        <v>0</v>
      </c>
      <c r="CE76" s="1495">
        <f t="shared" si="77"/>
        <v>0</v>
      </c>
      <c r="CF76" s="1577">
        <f t="shared" si="78"/>
        <v>0</v>
      </c>
      <c r="CG76" s="1576">
        <f t="shared" si="33"/>
        <v>0</v>
      </c>
      <c r="CH76" s="1495">
        <f t="shared" si="79"/>
        <v>0</v>
      </c>
      <c r="CI76" s="1577">
        <f t="shared" si="80"/>
        <v>0</v>
      </c>
      <c r="CJ76" s="1576">
        <f t="shared" si="36"/>
        <v>0</v>
      </c>
      <c r="CK76" s="1495">
        <f t="shared" si="81"/>
        <v>0</v>
      </c>
      <c r="CL76" s="1577">
        <f t="shared" si="82"/>
        <v>0</v>
      </c>
      <c r="CM76" s="1576">
        <f t="shared" si="39"/>
        <v>0</v>
      </c>
      <c r="CN76" s="1495">
        <f t="shared" si="83"/>
        <v>0</v>
      </c>
      <c r="CO76" s="1577">
        <f t="shared" si="84"/>
        <v>0</v>
      </c>
      <c r="CP76" s="1576">
        <f t="shared" si="42"/>
        <v>0</v>
      </c>
      <c r="CQ76" s="1495">
        <f t="shared" si="85"/>
        <v>0</v>
      </c>
      <c r="CR76" s="1577">
        <f t="shared" si="86"/>
        <v>0</v>
      </c>
      <c r="CS76" s="1576">
        <f t="shared" si="45"/>
        <v>0</v>
      </c>
      <c r="CT76" s="1495">
        <f t="shared" si="87"/>
        <v>0</v>
      </c>
      <c r="CU76" s="1577">
        <f t="shared" si="88"/>
        <v>0</v>
      </c>
      <c r="CV76" s="1576">
        <f t="shared" si="48"/>
        <v>0</v>
      </c>
      <c r="CW76" s="1495">
        <f t="shared" si="89"/>
        <v>0</v>
      </c>
      <c r="CX76" s="1577">
        <f t="shared" si="90"/>
        <v>0</v>
      </c>
      <c r="CY76" s="1576">
        <f t="shared" si="51"/>
        <v>0</v>
      </c>
      <c r="CZ76" s="1574">
        <f t="shared" si="52"/>
        <v>0</v>
      </c>
      <c r="DA76" s="1578">
        <f t="shared" si="54"/>
        <v>0</v>
      </c>
      <c r="DB76" s="1579">
        <f t="shared" si="55"/>
        <v>0</v>
      </c>
      <c r="DC76" s="1578">
        <f t="shared" si="56"/>
        <v>0</v>
      </c>
      <c r="DD76" s="1578">
        <f t="shared" si="56"/>
        <v>0</v>
      </c>
      <c r="DE76" s="1578">
        <f t="shared" si="56"/>
        <v>0</v>
      </c>
      <c r="DF76" s="1578">
        <f t="shared" si="57"/>
        <v>0</v>
      </c>
      <c r="DG76" s="1420"/>
      <c r="DH76" s="1420"/>
      <c r="DJ76" s="1665" t="s">
        <v>1634</v>
      </c>
      <c r="DK76" s="1666">
        <v>0.06</v>
      </c>
    </row>
    <row r="77" spans="1:137" ht="12.75">
      <c r="A77" s="1587"/>
      <c r="B77" s="2525" t="s">
        <v>1965</v>
      </c>
      <c r="C77" s="2525"/>
      <c r="D77" s="2525"/>
      <c r="E77" s="2525"/>
      <c r="F77" s="1654">
        <f>W60+W61</f>
        <v>0</v>
      </c>
      <c r="H77" s="1475"/>
      <c r="I77" s="1475"/>
      <c r="J77" s="1475"/>
      <c r="K77" s="1475"/>
      <c r="L77" s="1475"/>
      <c r="M77" s="1475"/>
      <c r="BD77" s="1449"/>
      <c r="BE77" s="1571" t="s">
        <v>1209</v>
      </c>
      <c r="BF77" s="1436">
        <v>20</v>
      </c>
      <c r="BG77" s="1436">
        <v>27</v>
      </c>
      <c r="BH77" s="1436">
        <v>6</v>
      </c>
      <c r="BI77" s="1495" t="b">
        <f t="shared" si="53"/>
        <v>0</v>
      </c>
      <c r="BJ77" s="1450" t="b">
        <f t="shared" si="65"/>
        <v>0</v>
      </c>
      <c r="BK77" s="1572">
        <f t="shared" si="66"/>
        <v>0</v>
      </c>
      <c r="BL77" s="1581">
        <f>IF(SUM(BL$51:BL76,BK77)&gt;$BK$4,0,BK77)</f>
        <v>0</v>
      </c>
      <c r="BM77" s="1436">
        <f t="shared" si="14"/>
        <v>0</v>
      </c>
      <c r="BN77" s="1495">
        <f t="shared" si="15"/>
        <v>0</v>
      </c>
      <c r="BO77" s="1437">
        <f t="shared" si="59"/>
        <v>0</v>
      </c>
      <c r="BP77" s="1574">
        <f t="shared" si="67"/>
        <v>0</v>
      </c>
      <c r="BQ77" s="1577">
        <f t="shared" si="68"/>
        <v>0</v>
      </c>
      <c r="BR77" s="1576">
        <f t="shared" si="18"/>
        <v>0</v>
      </c>
      <c r="BS77" s="1574">
        <f t="shared" si="69"/>
        <v>0</v>
      </c>
      <c r="BT77" s="1577">
        <f t="shared" si="70"/>
        <v>0</v>
      </c>
      <c r="BU77" s="1576">
        <f t="shared" si="21"/>
        <v>0</v>
      </c>
      <c r="BV77" s="1574">
        <f t="shared" si="71"/>
        <v>0</v>
      </c>
      <c r="BW77" s="1577">
        <f t="shared" si="72"/>
        <v>0</v>
      </c>
      <c r="BX77" s="1576">
        <f t="shared" si="24"/>
        <v>0</v>
      </c>
      <c r="BY77" s="1574">
        <f t="shared" si="73"/>
        <v>0</v>
      </c>
      <c r="BZ77" s="1577">
        <f t="shared" si="74"/>
        <v>0</v>
      </c>
      <c r="CA77" s="1576">
        <f t="shared" si="27"/>
        <v>0</v>
      </c>
      <c r="CB77" s="1495">
        <f t="shared" si="75"/>
        <v>0</v>
      </c>
      <c r="CC77" s="1577">
        <f t="shared" si="76"/>
        <v>0</v>
      </c>
      <c r="CD77" s="1576">
        <f t="shared" si="30"/>
        <v>0</v>
      </c>
      <c r="CE77" s="1495">
        <f t="shared" si="77"/>
        <v>0</v>
      </c>
      <c r="CF77" s="1577">
        <f t="shared" si="78"/>
        <v>0</v>
      </c>
      <c r="CG77" s="1576">
        <f t="shared" si="33"/>
        <v>0</v>
      </c>
      <c r="CH77" s="1495">
        <f t="shared" si="79"/>
        <v>0</v>
      </c>
      <c r="CI77" s="1577">
        <f t="shared" si="80"/>
        <v>0</v>
      </c>
      <c r="CJ77" s="1576">
        <f t="shared" si="36"/>
        <v>0</v>
      </c>
      <c r="CK77" s="1495">
        <f t="shared" si="81"/>
        <v>0</v>
      </c>
      <c r="CL77" s="1577">
        <f t="shared" si="82"/>
        <v>0</v>
      </c>
      <c r="CM77" s="1576">
        <f t="shared" si="39"/>
        <v>0</v>
      </c>
      <c r="CN77" s="1495">
        <f t="shared" si="83"/>
        <v>0</v>
      </c>
      <c r="CO77" s="1577">
        <f t="shared" si="84"/>
        <v>0</v>
      </c>
      <c r="CP77" s="1576">
        <f t="shared" si="42"/>
        <v>0</v>
      </c>
      <c r="CQ77" s="1495">
        <f t="shared" si="85"/>
        <v>0</v>
      </c>
      <c r="CR77" s="1577">
        <f t="shared" si="86"/>
        <v>0</v>
      </c>
      <c r="CS77" s="1576">
        <f t="shared" si="45"/>
        <v>0</v>
      </c>
      <c r="CT77" s="1495">
        <f t="shared" si="87"/>
        <v>0</v>
      </c>
      <c r="CU77" s="1577">
        <f t="shared" si="88"/>
        <v>0</v>
      </c>
      <c r="CV77" s="1576">
        <f t="shared" si="48"/>
        <v>0</v>
      </c>
      <c r="CW77" s="1495">
        <f t="shared" si="89"/>
        <v>0</v>
      </c>
      <c r="CX77" s="1577">
        <f t="shared" si="90"/>
        <v>0</v>
      </c>
      <c r="CY77" s="1576">
        <f t="shared" si="51"/>
        <v>0</v>
      </c>
      <c r="CZ77" s="1574">
        <f t="shared" si="52"/>
        <v>0</v>
      </c>
      <c r="DA77" s="1578">
        <f t="shared" si="54"/>
        <v>0</v>
      </c>
      <c r="DB77" s="1579">
        <f t="shared" si="55"/>
        <v>0</v>
      </c>
      <c r="DC77" s="1578">
        <f t="shared" si="56"/>
        <v>0</v>
      </c>
      <c r="DD77" s="1578">
        <f t="shared" si="56"/>
        <v>0</v>
      </c>
      <c r="DE77" s="1578">
        <f t="shared" si="56"/>
        <v>0</v>
      </c>
      <c r="DF77" s="1578">
        <f t="shared" si="57"/>
        <v>0</v>
      </c>
      <c r="DG77" s="1420"/>
      <c r="DH77" s="1420"/>
      <c r="DJ77" s="1665" t="s">
        <v>1636</v>
      </c>
      <c r="DK77" s="1666">
        <v>0.8</v>
      </c>
    </row>
    <row r="78" spans="1:137">
      <c r="A78" s="1587"/>
      <c r="B78" s="2526" t="s">
        <v>1966</v>
      </c>
      <c r="C78" s="2526"/>
      <c r="D78" s="2526"/>
      <c r="E78" s="2526"/>
      <c r="F78" s="1656">
        <f>AA60</f>
        <v>0</v>
      </c>
      <c r="BD78" s="1449"/>
      <c r="BE78" s="1571" t="s">
        <v>1209</v>
      </c>
      <c r="BF78" s="1436">
        <v>20</v>
      </c>
      <c r="BG78" s="1436">
        <v>28</v>
      </c>
      <c r="BH78" s="1436">
        <v>7</v>
      </c>
      <c r="BI78" s="1495" t="b">
        <f t="shared" si="53"/>
        <v>0</v>
      </c>
      <c r="BJ78" s="1450" t="b">
        <f t="shared" si="65"/>
        <v>1</v>
      </c>
      <c r="BK78" s="1572">
        <f t="shared" si="66"/>
        <v>7.5</v>
      </c>
      <c r="BL78" s="1573">
        <f>$BK$4-SUM(BL51:BL77)</f>
        <v>15</v>
      </c>
      <c r="BM78" s="1436">
        <f t="shared" si="14"/>
        <v>0</v>
      </c>
      <c r="BN78" s="1495">
        <f t="shared" si="15"/>
        <v>0</v>
      </c>
      <c r="BO78" s="1437">
        <f t="shared" si="59"/>
        <v>0</v>
      </c>
      <c r="BP78" s="1574">
        <f t="shared" si="67"/>
        <v>0</v>
      </c>
      <c r="BQ78" s="1577">
        <f t="shared" si="68"/>
        <v>0</v>
      </c>
      <c r="BR78" s="1576">
        <f t="shared" si="18"/>
        <v>0</v>
      </c>
      <c r="BS78" s="1574">
        <f t="shared" si="69"/>
        <v>0</v>
      </c>
      <c r="BT78" s="1577">
        <f t="shared" si="70"/>
        <v>0</v>
      </c>
      <c r="BU78" s="1576">
        <f t="shared" si="21"/>
        <v>0</v>
      </c>
      <c r="BV78" s="1574">
        <f t="shared" si="71"/>
        <v>0</v>
      </c>
      <c r="BW78" s="1577">
        <f t="shared" si="72"/>
        <v>0</v>
      </c>
      <c r="BX78" s="1576">
        <f t="shared" si="24"/>
        <v>0</v>
      </c>
      <c r="BY78" s="1574">
        <f t="shared" si="73"/>
        <v>0</v>
      </c>
      <c r="BZ78" s="1577">
        <f t="shared" si="74"/>
        <v>0</v>
      </c>
      <c r="CA78" s="1576">
        <f t="shared" si="27"/>
        <v>0</v>
      </c>
      <c r="CB78" s="1495">
        <f t="shared" si="75"/>
        <v>0</v>
      </c>
      <c r="CC78" s="1577">
        <f t="shared" si="76"/>
        <v>0</v>
      </c>
      <c r="CD78" s="1576">
        <f t="shared" si="30"/>
        <v>0</v>
      </c>
      <c r="CE78" s="1495">
        <f t="shared" si="77"/>
        <v>0</v>
      </c>
      <c r="CF78" s="1577">
        <f t="shared" si="78"/>
        <v>0</v>
      </c>
      <c r="CG78" s="1576">
        <f t="shared" si="33"/>
        <v>0</v>
      </c>
      <c r="CH78" s="1495">
        <f t="shared" si="79"/>
        <v>0</v>
      </c>
      <c r="CI78" s="1577">
        <f t="shared" si="80"/>
        <v>0</v>
      </c>
      <c r="CJ78" s="1576">
        <f t="shared" si="36"/>
        <v>0</v>
      </c>
      <c r="CK78" s="1495">
        <f t="shared" si="81"/>
        <v>0</v>
      </c>
      <c r="CL78" s="1577">
        <f t="shared" si="82"/>
        <v>0</v>
      </c>
      <c r="CM78" s="1576">
        <f t="shared" si="39"/>
        <v>0</v>
      </c>
      <c r="CN78" s="1495">
        <f t="shared" si="83"/>
        <v>0</v>
      </c>
      <c r="CO78" s="1577">
        <f t="shared" si="84"/>
        <v>0</v>
      </c>
      <c r="CP78" s="1576">
        <f t="shared" si="42"/>
        <v>0</v>
      </c>
      <c r="CQ78" s="1495">
        <f t="shared" si="85"/>
        <v>0</v>
      </c>
      <c r="CR78" s="1577">
        <f t="shared" si="86"/>
        <v>0</v>
      </c>
      <c r="CS78" s="1576">
        <f t="shared" si="45"/>
        <v>0</v>
      </c>
      <c r="CT78" s="1495">
        <f t="shared" si="87"/>
        <v>0</v>
      </c>
      <c r="CU78" s="1577">
        <f t="shared" si="88"/>
        <v>0</v>
      </c>
      <c r="CV78" s="1576">
        <f t="shared" si="48"/>
        <v>0</v>
      </c>
      <c r="CW78" s="1495">
        <f t="shared" si="89"/>
        <v>0</v>
      </c>
      <c r="CX78" s="1577">
        <f t="shared" si="90"/>
        <v>0</v>
      </c>
      <c r="CY78" s="1576">
        <f t="shared" si="51"/>
        <v>0</v>
      </c>
      <c r="CZ78" s="1574">
        <f t="shared" si="52"/>
        <v>0</v>
      </c>
      <c r="DA78" s="1578">
        <f t="shared" si="54"/>
        <v>0</v>
      </c>
      <c r="DB78" s="1579">
        <f t="shared" si="55"/>
        <v>0</v>
      </c>
      <c r="DC78" s="1578">
        <f t="shared" si="56"/>
        <v>0</v>
      </c>
      <c r="DD78" s="1578">
        <f t="shared" si="56"/>
        <v>0</v>
      </c>
      <c r="DE78" s="1578">
        <f t="shared" si="56"/>
        <v>0</v>
      </c>
      <c r="DF78" s="1578">
        <f t="shared" si="57"/>
        <v>0</v>
      </c>
      <c r="DG78" s="1420"/>
      <c r="DH78" s="1420"/>
    </row>
    <row r="79" spans="1:137" ht="12">
      <c r="A79" s="1587"/>
      <c r="I79" s="1475"/>
      <c r="J79" s="1475"/>
      <c r="K79" s="1475"/>
      <c r="L79" s="1475"/>
      <c r="M79" s="1475"/>
      <c r="BD79" s="1449"/>
      <c r="BE79" s="1571" t="s">
        <v>1210</v>
      </c>
      <c r="BF79" s="1436">
        <v>23</v>
      </c>
      <c r="BG79" s="1436">
        <v>1</v>
      </c>
      <c r="BH79" s="1436">
        <v>1</v>
      </c>
      <c r="BI79" s="1495" t="b">
        <f t="shared" si="53"/>
        <v>1</v>
      </c>
      <c r="BJ79" s="1450" t="b">
        <f t="shared" ref="BJ79:BJ109" si="91">MOD(BG79,$BL$7)=0</f>
        <v>0</v>
      </c>
      <c r="BK79" s="1572">
        <f t="shared" ref="BK79:BK109" si="92">IF(BJ79,BL$8,0)</f>
        <v>0</v>
      </c>
      <c r="BL79" s="1573">
        <f>BK79</f>
        <v>0</v>
      </c>
      <c r="BM79" s="1436">
        <f t="shared" si="14"/>
        <v>0</v>
      </c>
      <c r="BN79" s="1495">
        <f t="shared" si="15"/>
        <v>0</v>
      </c>
      <c r="BO79" s="1437">
        <f t="shared" si="59"/>
        <v>0</v>
      </c>
      <c r="BP79" s="1574">
        <f t="shared" ref="BP79:BP109" si="93">$Q$336/$BF$79*BR$16*$BI79</f>
        <v>0</v>
      </c>
      <c r="BQ79" s="1577">
        <f t="shared" ref="BQ79:BQ109" si="94">AQ$371/$BF79*$BI79</f>
        <v>0</v>
      </c>
      <c r="BR79" s="1576">
        <f t="shared" si="18"/>
        <v>0</v>
      </c>
      <c r="BS79" s="1574">
        <f t="shared" ref="BS79:BS109" si="95">$R$336/$BF79*BU$16*$BI79</f>
        <v>0</v>
      </c>
      <c r="BT79" s="1577">
        <f t="shared" ref="BT79:BT109" si="96">AR$371/$BF79*$BI79</f>
        <v>0</v>
      </c>
      <c r="BU79" s="1576">
        <f t="shared" si="21"/>
        <v>0</v>
      </c>
      <c r="BV79" s="1574">
        <f t="shared" ref="BV79:BV109" si="97">$S$336/$BF79*BX$16*$BI79</f>
        <v>0</v>
      </c>
      <c r="BW79" s="1577">
        <f t="shared" ref="BW79:BW109" si="98">AS$371/$BF79*$BI79</f>
        <v>0</v>
      </c>
      <c r="BX79" s="1576">
        <f t="shared" si="24"/>
        <v>0</v>
      </c>
      <c r="BY79" s="1574">
        <f t="shared" ref="BY79:BY109" si="99">$T$336/$BF79*CA$16*$BI79</f>
        <v>0</v>
      </c>
      <c r="BZ79" s="1577">
        <f t="shared" ref="BZ79:BZ109" si="100">AT$371/$BF79*$BI79</f>
        <v>0</v>
      </c>
      <c r="CA79" s="1576">
        <f t="shared" si="27"/>
        <v>0</v>
      </c>
      <c r="CB79" s="1495">
        <f t="shared" ref="CB79:CB109" si="101">$W$336/BF79*BI79*$C$419</f>
        <v>0</v>
      </c>
      <c r="CC79" s="1577">
        <f t="shared" ref="CC79:CC109" si="102">AU$371/$BF79*$BI79</f>
        <v>0</v>
      </c>
      <c r="CD79" s="1576">
        <f t="shared" si="30"/>
        <v>0</v>
      </c>
      <c r="CE79" s="1495">
        <f t="shared" ref="CE79:CE109" si="103">$X$336/BF79*BI79*$C$420</f>
        <v>0</v>
      </c>
      <c r="CF79" s="1577">
        <f t="shared" ref="CF79:CF109" si="104">AV$371/$BF79*$BI79</f>
        <v>0</v>
      </c>
      <c r="CG79" s="1576">
        <f t="shared" si="33"/>
        <v>0</v>
      </c>
      <c r="CH79" s="1495">
        <f t="shared" ref="CH79:CH109" si="105">$Y$336/BF79*BI79*$C$421</f>
        <v>0</v>
      </c>
      <c r="CI79" s="1577">
        <f t="shared" ref="CI79:CI109" si="106">AW$371/$BF79*$BI79</f>
        <v>0</v>
      </c>
      <c r="CJ79" s="1576">
        <f t="shared" si="36"/>
        <v>0</v>
      </c>
      <c r="CK79" s="1495">
        <f t="shared" ref="CK79:CK109" si="107">$Z$336/BF79*BI79*$CM$16</f>
        <v>0</v>
      </c>
      <c r="CL79" s="1577">
        <f t="shared" ref="CL79:CL109" si="108">AX$371/$BF79*$BI79</f>
        <v>0</v>
      </c>
      <c r="CM79" s="1576">
        <f t="shared" si="39"/>
        <v>0</v>
      </c>
      <c r="CN79" s="1495">
        <f t="shared" ref="CN79:CN109" si="109">$AA$336/BF79*BI79*$CP$16</f>
        <v>0</v>
      </c>
      <c r="CO79" s="1577">
        <f t="shared" ref="CO79:CO109" si="110">$AY$371/$BF79*$BI79</f>
        <v>0</v>
      </c>
      <c r="CP79" s="1576">
        <f t="shared" si="42"/>
        <v>0</v>
      </c>
      <c r="CQ79" s="1495">
        <f t="shared" ref="CQ79:CQ109" si="111">$AB$336/BF79*BI79*$CS$16</f>
        <v>0</v>
      </c>
      <c r="CR79" s="1577">
        <f t="shared" ref="CR79:CR109" si="112">AZ$371/$BF79*$BI79</f>
        <v>0</v>
      </c>
      <c r="CS79" s="1576">
        <f t="shared" si="45"/>
        <v>0</v>
      </c>
      <c r="CT79" s="1495">
        <f t="shared" ref="CT79:CT109" si="113">$AC$336/BF79*BI79*$CV$16</f>
        <v>0</v>
      </c>
      <c r="CU79" s="1577">
        <f t="shared" ref="CU79:CU109" si="114">BA$371/$BF79*$BI79</f>
        <v>0</v>
      </c>
      <c r="CV79" s="1576">
        <f t="shared" si="48"/>
        <v>0</v>
      </c>
      <c r="CW79" s="1495">
        <f t="shared" ref="CW79:CW109" si="115">$AD$336/BF79*BI79*$CY$16</f>
        <v>0</v>
      </c>
      <c r="CX79" s="1577">
        <f t="shared" ref="CX79:CX109" si="116">BB$371/$BF79*$BI79</f>
        <v>0</v>
      </c>
      <c r="CY79" s="1576">
        <f t="shared" si="51"/>
        <v>0</v>
      </c>
      <c r="CZ79" s="1574">
        <f t="shared" si="52"/>
        <v>0</v>
      </c>
      <c r="DA79" s="1578">
        <f t="shared" si="54"/>
        <v>0</v>
      </c>
      <c r="DB79" s="1579">
        <f t="shared" si="55"/>
        <v>0</v>
      </c>
      <c r="DC79" s="1578">
        <f t="shared" si="56"/>
        <v>0</v>
      </c>
      <c r="DD79" s="1578">
        <f t="shared" si="56"/>
        <v>0</v>
      </c>
      <c r="DE79" s="1578">
        <f t="shared" si="56"/>
        <v>0</v>
      </c>
      <c r="DF79" s="1578">
        <f>IF(DA79-(DE78+CZ79)&lt;0,0,DA79-(DE78+CZ79))</f>
        <v>0</v>
      </c>
      <c r="DG79" s="1420"/>
      <c r="DH79" s="1420"/>
    </row>
    <row r="80" spans="1:137" ht="27.75" customHeight="1">
      <c r="A80" s="1587"/>
      <c r="B80" s="1628" t="s">
        <v>1541</v>
      </c>
      <c r="C80" s="1657"/>
      <c r="D80" s="1657"/>
      <c r="E80" s="1657"/>
      <c r="F80" s="1658"/>
      <c r="I80" s="1475"/>
      <c r="J80" s="1475"/>
      <c r="K80" s="1475"/>
      <c r="L80" s="1475"/>
      <c r="M80" s="1475"/>
      <c r="N80" s="1430" t="s">
        <v>1651</v>
      </c>
      <c r="BD80" s="1449"/>
      <c r="BE80" s="1571" t="s">
        <v>1210</v>
      </c>
      <c r="BF80" s="1436">
        <v>23</v>
      </c>
      <c r="BG80" s="1436">
        <v>2</v>
      </c>
      <c r="BH80" s="1436">
        <v>2</v>
      </c>
      <c r="BI80" s="1495" t="b">
        <f t="shared" si="53"/>
        <v>1</v>
      </c>
      <c r="BJ80" s="1450" t="b">
        <f t="shared" si="91"/>
        <v>0</v>
      </c>
      <c r="BK80" s="1572">
        <f t="shared" si="92"/>
        <v>0</v>
      </c>
      <c r="BL80" s="1581">
        <f>IF(SUM(BL$79:BL79,BK80)&gt;$BL$4,0,BK80)</f>
        <v>0</v>
      </c>
      <c r="BM80" s="1436">
        <f t="shared" si="14"/>
        <v>0</v>
      </c>
      <c r="BN80" s="1495">
        <f t="shared" si="15"/>
        <v>0</v>
      </c>
      <c r="BO80" s="1437">
        <f t="shared" si="59"/>
        <v>0</v>
      </c>
      <c r="BP80" s="1574">
        <f t="shared" si="93"/>
        <v>0</v>
      </c>
      <c r="BQ80" s="1577">
        <f t="shared" si="94"/>
        <v>0</v>
      </c>
      <c r="BR80" s="1576">
        <f t="shared" si="18"/>
        <v>0</v>
      </c>
      <c r="BS80" s="1574">
        <f t="shared" si="95"/>
        <v>0</v>
      </c>
      <c r="BT80" s="1577">
        <f t="shared" si="96"/>
        <v>0</v>
      </c>
      <c r="BU80" s="1576">
        <f t="shared" si="21"/>
        <v>0</v>
      </c>
      <c r="BV80" s="1574">
        <f t="shared" si="97"/>
        <v>0</v>
      </c>
      <c r="BW80" s="1577">
        <f t="shared" si="98"/>
        <v>0</v>
      </c>
      <c r="BX80" s="1576">
        <f t="shared" si="24"/>
        <v>0</v>
      </c>
      <c r="BY80" s="1574">
        <f t="shared" si="99"/>
        <v>0</v>
      </c>
      <c r="BZ80" s="1577">
        <f t="shared" si="100"/>
        <v>0</v>
      </c>
      <c r="CA80" s="1576">
        <f t="shared" si="27"/>
        <v>0</v>
      </c>
      <c r="CB80" s="1495">
        <f t="shared" si="101"/>
        <v>0</v>
      </c>
      <c r="CC80" s="1577">
        <f t="shared" si="102"/>
        <v>0</v>
      </c>
      <c r="CD80" s="1576">
        <f t="shared" si="30"/>
        <v>0</v>
      </c>
      <c r="CE80" s="1495">
        <f t="shared" si="103"/>
        <v>0</v>
      </c>
      <c r="CF80" s="1577">
        <f t="shared" si="104"/>
        <v>0</v>
      </c>
      <c r="CG80" s="1576">
        <f t="shared" si="33"/>
        <v>0</v>
      </c>
      <c r="CH80" s="1495">
        <f t="shared" si="105"/>
        <v>0</v>
      </c>
      <c r="CI80" s="1577">
        <f t="shared" si="106"/>
        <v>0</v>
      </c>
      <c r="CJ80" s="1576">
        <f t="shared" si="36"/>
        <v>0</v>
      </c>
      <c r="CK80" s="1495">
        <f t="shared" si="107"/>
        <v>0</v>
      </c>
      <c r="CL80" s="1577">
        <f t="shared" si="108"/>
        <v>0</v>
      </c>
      <c r="CM80" s="1576">
        <f t="shared" si="39"/>
        <v>0</v>
      </c>
      <c r="CN80" s="1495">
        <f t="shared" si="109"/>
        <v>0</v>
      </c>
      <c r="CO80" s="1577">
        <f t="shared" si="110"/>
        <v>0</v>
      </c>
      <c r="CP80" s="1576">
        <f t="shared" si="42"/>
        <v>0</v>
      </c>
      <c r="CQ80" s="1495">
        <f t="shared" si="111"/>
        <v>0</v>
      </c>
      <c r="CR80" s="1577">
        <f t="shared" si="112"/>
        <v>0</v>
      </c>
      <c r="CS80" s="1576">
        <f t="shared" si="45"/>
        <v>0</v>
      </c>
      <c r="CT80" s="1495">
        <f t="shared" si="113"/>
        <v>0</v>
      </c>
      <c r="CU80" s="1577">
        <f t="shared" si="114"/>
        <v>0</v>
      </c>
      <c r="CV80" s="1576">
        <f t="shared" si="48"/>
        <v>0</v>
      </c>
      <c r="CW80" s="1495">
        <f t="shared" si="115"/>
        <v>0</v>
      </c>
      <c r="CX80" s="1577">
        <f t="shared" si="116"/>
        <v>0</v>
      </c>
      <c r="CY80" s="1576">
        <f t="shared" si="51"/>
        <v>0</v>
      </c>
      <c r="CZ80" s="1574">
        <f t="shared" si="52"/>
        <v>0</v>
      </c>
      <c r="DA80" s="1578">
        <f t="shared" si="54"/>
        <v>0</v>
      </c>
      <c r="DB80" s="1579">
        <f t="shared" si="55"/>
        <v>0</v>
      </c>
      <c r="DC80" s="1578">
        <f t="shared" si="56"/>
        <v>0</v>
      </c>
      <c r="DD80" s="1578">
        <f t="shared" si="56"/>
        <v>0</v>
      </c>
      <c r="DE80" s="1578">
        <f t="shared" si="56"/>
        <v>0</v>
      </c>
      <c r="DF80" s="1578">
        <f t="shared" si="57"/>
        <v>0</v>
      </c>
      <c r="DG80" s="1420"/>
      <c r="DH80" s="1420"/>
    </row>
    <row r="81" spans="1:112" ht="12" customHeight="1">
      <c r="A81" s="1636"/>
      <c r="B81" s="2532" t="s">
        <v>515</v>
      </c>
      <c r="C81" s="2532"/>
      <c r="D81" s="1596" t="s">
        <v>1653</v>
      </c>
      <c r="E81" s="1596" t="s">
        <v>1652</v>
      </c>
      <c r="F81" s="1596" t="s">
        <v>1608</v>
      </c>
      <c r="I81" s="1475"/>
      <c r="J81" s="1475"/>
      <c r="K81" s="1475"/>
      <c r="L81" s="1475"/>
      <c r="M81" s="1475"/>
      <c r="N81" s="1476" t="s">
        <v>1654</v>
      </c>
      <c r="O81" s="1476" t="s">
        <v>1655</v>
      </c>
      <c r="P81" s="1476" t="s">
        <v>1656</v>
      </c>
      <c r="U81" s="1669" t="s">
        <v>1612</v>
      </c>
      <c r="BD81" s="1449"/>
      <c r="BE81" s="1571" t="s">
        <v>1210</v>
      </c>
      <c r="BF81" s="1436">
        <v>23</v>
      </c>
      <c r="BG81" s="1436">
        <v>3</v>
      </c>
      <c r="BH81" s="1436">
        <v>3</v>
      </c>
      <c r="BI81" s="1495" t="b">
        <f t="shared" si="53"/>
        <v>1</v>
      </c>
      <c r="BJ81" s="1450" t="b">
        <f t="shared" si="91"/>
        <v>0</v>
      </c>
      <c r="BK81" s="1572">
        <f t="shared" si="92"/>
        <v>0</v>
      </c>
      <c r="BL81" s="1581">
        <f>IF(SUM(BL$79:BL80,BK81)&gt;$BL$4,0,BK81)</f>
        <v>0</v>
      </c>
      <c r="BM81" s="1436">
        <f t="shared" si="14"/>
        <v>0</v>
      </c>
      <c r="BN81" s="1495">
        <f t="shared" si="15"/>
        <v>0</v>
      </c>
      <c r="BO81" s="1437">
        <f t="shared" si="59"/>
        <v>0</v>
      </c>
      <c r="BP81" s="1574">
        <f t="shared" si="93"/>
        <v>0</v>
      </c>
      <c r="BQ81" s="1577">
        <f t="shared" si="94"/>
        <v>0</v>
      </c>
      <c r="BR81" s="1576">
        <f t="shared" si="18"/>
        <v>0</v>
      </c>
      <c r="BS81" s="1574">
        <f t="shared" si="95"/>
        <v>0</v>
      </c>
      <c r="BT81" s="1577">
        <f t="shared" si="96"/>
        <v>0</v>
      </c>
      <c r="BU81" s="1576">
        <f t="shared" si="21"/>
        <v>0</v>
      </c>
      <c r="BV81" s="1574">
        <f t="shared" si="97"/>
        <v>0</v>
      </c>
      <c r="BW81" s="1577">
        <f t="shared" si="98"/>
        <v>0</v>
      </c>
      <c r="BX81" s="1576">
        <f t="shared" si="24"/>
        <v>0</v>
      </c>
      <c r="BY81" s="1574">
        <f t="shared" si="99"/>
        <v>0</v>
      </c>
      <c r="BZ81" s="1577">
        <f t="shared" si="100"/>
        <v>0</v>
      </c>
      <c r="CA81" s="1576">
        <f t="shared" si="27"/>
        <v>0</v>
      </c>
      <c r="CB81" s="1495">
        <f t="shared" si="101"/>
        <v>0</v>
      </c>
      <c r="CC81" s="1577">
        <f t="shared" si="102"/>
        <v>0</v>
      </c>
      <c r="CD81" s="1576">
        <f t="shared" si="30"/>
        <v>0</v>
      </c>
      <c r="CE81" s="1495">
        <f t="shared" si="103"/>
        <v>0</v>
      </c>
      <c r="CF81" s="1577">
        <f t="shared" si="104"/>
        <v>0</v>
      </c>
      <c r="CG81" s="1576">
        <f t="shared" si="33"/>
        <v>0</v>
      </c>
      <c r="CH81" s="1495">
        <f t="shared" si="105"/>
        <v>0</v>
      </c>
      <c r="CI81" s="1577">
        <f t="shared" si="106"/>
        <v>0</v>
      </c>
      <c r="CJ81" s="1576">
        <f t="shared" si="36"/>
        <v>0</v>
      </c>
      <c r="CK81" s="1495">
        <f t="shared" si="107"/>
        <v>0</v>
      </c>
      <c r="CL81" s="1577">
        <f t="shared" si="108"/>
        <v>0</v>
      </c>
      <c r="CM81" s="1576">
        <f t="shared" si="39"/>
        <v>0</v>
      </c>
      <c r="CN81" s="1495">
        <f t="shared" si="109"/>
        <v>0</v>
      </c>
      <c r="CO81" s="1577">
        <f t="shared" si="110"/>
        <v>0</v>
      </c>
      <c r="CP81" s="1576">
        <f t="shared" si="42"/>
        <v>0</v>
      </c>
      <c r="CQ81" s="1495">
        <f t="shared" si="111"/>
        <v>0</v>
      </c>
      <c r="CR81" s="1577">
        <f t="shared" si="112"/>
        <v>0</v>
      </c>
      <c r="CS81" s="1576">
        <f t="shared" si="45"/>
        <v>0</v>
      </c>
      <c r="CT81" s="1495">
        <f t="shared" si="113"/>
        <v>0</v>
      </c>
      <c r="CU81" s="1577">
        <f t="shared" si="114"/>
        <v>0</v>
      </c>
      <c r="CV81" s="1576">
        <f t="shared" si="48"/>
        <v>0</v>
      </c>
      <c r="CW81" s="1495">
        <f t="shared" si="115"/>
        <v>0</v>
      </c>
      <c r="CX81" s="1577">
        <f t="shared" si="116"/>
        <v>0</v>
      </c>
      <c r="CY81" s="1576">
        <f t="shared" si="51"/>
        <v>0</v>
      </c>
      <c r="CZ81" s="1574">
        <f t="shared" si="52"/>
        <v>0</v>
      </c>
      <c r="DA81" s="1578">
        <f t="shared" si="54"/>
        <v>0</v>
      </c>
      <c r="DB81" s="1579">
        <f t="shared" si="55"/>
        <v>0</v>
      </c>
      <c r="DC81" s="1578">
        <f t="shared" si="56"/>
        <v>0</v>
      </c>
      <c r="DD81" s="1578">
        <f t="shared" si="56"/>
        <v>0</v>
      </c>
      <c r="DE81" s="1578">
        <f t="shared" si="56"/>
        <v>0</v>
      </c>
      <c r="DF81" s="1578">
        <f t="shared" si="57"/>
        <v>0</v>
      </c>
      <c r="DG81" s="1420"/>
      <c r="DH81" s="1420"/>
    </row>
    <row r="82" spans="1:112" ht="12">
      <c r="A82" s="1587"/>
      <c r="B82" s="2533" t="s">
        <v>1657</v>
      </c>
      <c r="C82" s="2535"/>
      <c r="D82" s="1670" t="s">
        <v>1637</v>
      </c>
      <c r="E82" s="1671"/>
      <c r="F82" s="1672"/>
      <c r="I82" s="1475"/>
      <c r="J82" s="1475"/>
      <c r="K82" s="1475"/>
      <c r="L82" s="1475"/>
      <c r="M82" s="1475"/>
      <c r="N82" s="1476">
        <f>1-ISBLANK(E82)</f>
        <v>0</v>
      </c>
      <c r="O82" s="1476">
        <f>1-(OR(ISBLANK(D82),D82=$DJ$62))</f>
        <v>1</v>
      </c>
      <c r="P82" s="1476">
        <f>IF(N82+O82=1,1,0)</f>
        <v>1</v>
      </c>
      <c r="U82" s="1673">
        <f>IFERROR(VLOOKUP(D82,$DJ$62:$DN$65,5,FALSE)/60,0)</f>
        <v>0.15</v>
      </c>
      <c r="BD82" s="1449"/>
      <c r="BE82" s="1571" t="s">
        <v>1210</v>
      </c>
      <c r="BF82" s="1436">
        <v>23</v>
      </c>
      <c r="BG82" s="1436">
        <v>4</v>
      </c>
      <c r="BH82" s="1436">
        <v>4</v>
      </c>
      <c r="BI82" s="1495" t="b">
        <f t="shared" si="53"/>
        <v>1</v>
      </c>
      <c r="BJ82" s="1450" t="b">
        <f t="shared" si="91"/>
        <v>1</v>
      </c>
      <c r="BK82" s="1572">
        <f t="shared" si="92"/>
        <v>7.4285714285714288</v>
      </c>
      <c r="BL82" s="1581">
        <f>IF(SUM(BL$79:BL81,BK82)&gt;$BL$4,0,BK82)</f>
        <v>7.4285714285714288</v>
      </c>
      <c r="BM82" s="1436">
        <f t="shared" si="14"/>
        <v>0</v>
      </c>
      <c r="BN82" s="1495">
        <f t="shared" si="15"/>
        <v>0</v>
      </c>
      <c r="BO82" s="1437">
        <f t="shared" si="59"/>
        <v>0</v>
      </c>
      <c r="BP82" s="1574">
        <f t="shared" si="93"/>
        <v>0</v>
      </c>
      <c r="BQ82" s="1577">
        <f t="shared" si="94"/>
        <v>0</v>
      </c>
      <c r="BR82" s="1576">
        <f t="shared" si="18"/>
        <v>0</v>
      </c>
      <c r="BS82" s="1574">
        <f t="shared" si="95"/>
        <v>0</v>
      </c>
      <c r="BT82" s="1577">
        <f t="shared" si="96"/>
        <v>0</v>
      </c>
      <c r="BU82" s="1576">
        <f t="shared" si="21"/>
        <v>0</v>
      </c>
      <c r="BV82" s="1574">
        <f t="shared" si="97"/>
        <v>0</v>
      </c>
      <c r="BW82" s="1577">
        <f t="shared" si="98"/>
        <v>0</v>
      </c>
      <c r="BX82" s="1576">
        <f t="shared" si="24"/>
        <v>0</v>
      </c>
      <c r="BY82" s="1574">
        <f t="shared" si="99"/>
        <v>0</v>
      </c>
      <c r="BZ82" s="1577">
        <f t="shared" si="100"/>
        <v>0</v>
      </c>
      <c r="CA82" s="1576">
        <f t="shared" si="27"/>
        <v>0</v>
      </c>
      <c r="CB82" s="1495">
        <f t="shared" si="101"/>
        <v>0</v>
      </c>
      <c r="CC82" s="1577">
        <f t="shared" si="102"/>
        <v>0</v>
      </c>
      <c r="CD82" s="1576">
        <f t="shared" si="30"/>
        <v>0</v>
      </c>
      <c r="CE82" s="1495">
        <f t="shared" si="103"/>
        <v>0</v>
      </c>
      <c r="CF82" s="1577">
        <f t="shared" si="104"/>
        <v>0</v>
      </c>
      <c r="CG82" s="1576">
        <f t="shared" si="33"/>
        <v>0</v>
      </c>
      <c r="CH82" s="1495">
        <f t="shared" si="105"/>
        <v>0</v>
      </c>
      <c r="CI82" s="1577">
        <f t="shared" si="106"/>
        <v>0</v>
      </c>
      <c r="CJ82" s="1576">
        <f t="shared" si="36"/>
        <v>0</v>
      </c>
      <c r="CK82" s="1495">
        <f t="shared" si="107"/>
        <v>0</v>
      </c>
      <c r="CL82" s="1577">
        <f t="shared" si="108"/>
        <v>0</v>
      </c>
      <c r="CM82" s="1576">
        <f t="shared" si="39"/>
        <v>0</v>
      </c>
      <c r="CN82" s="1495">
        <f t="shared" si="109"/>
        <v>0</v>
      </c>
      <c r="CO82" s="1577">
        <f t="shared" si="110"/>
        <v>0</v>
      </c>
      <c r="CP82" s="1576">
        <f t="shared" si="42"/>
        <v>0</v>
      </c>
      <c r="CQ82" s="1495">
        <f t="shared" si="111"/>
        <v>0</v>
      </c>
      <c r="CR82" s="1577">
        <f t="shared" si="112"/>
        <v>0</v>
      </c>
      <c r="CS82" s="1576">
        <f t="shared" si="45"/>
        <v>0</v>
      </c>
      <c r="CT82" s="1495">
        <f t="shared" si="113"/>
        <v>0</v>
      </c>
      <c r="CU82" s="1577">
        <f t="shared" si="114"/>
        <v>0</v>
      </c>
      <c r="CV82" s="1576">
        <f t="shared" si="48"/>
        <v>0</v>
      </c>
      <c r="CW82" s="1495">
        <f t="shared" si="115"/>
        <v>0</v>
      </c>
      <c r="CX82" s="1577">
        <f t="shared" si="116"/>
        <v>0</v>
      </c>
      <c r="CY82" s="1576">
        <f t="shared" si="51"/>
        <v>0</v>
      </c>
      <c r="CZ82" s="1574">
        <f t="shared" si="52"/>
        <v>0</v>
      </c>
      <c r="DA82" s="1578">
        <f t="shared" si="54"/>
        <v>0</v>
      </c>
      <c r="DB82" s="1579">
        <f t="shared" si="55"/>
        <v>0</v>
      </c>
      <c r="DC82" s="1578">
        <f t="shared" si="56"/>
        <v>0</v>
      </c>
      <c r="DD82" s="1578">
        <f t="shared" si="56"/>
        <v>0</v>
      </c>
      <c r="DE82" s="1578">
        <f t="shared" si="56"/>
        <v>0</v>
      </c>
      <c r="DF82" s="1578">
        <f t="shared" si="57"/>
        <v>0</v>
      </c>
      <c r="DG82" s="1420"/>
      <c r="DH82" s="1420"/>
    </row>
    <row r="83" spans="1:112" ht="12">
      <c r="A83" s="1528"/>
      <c r="B83" s="2537" t="s">
        <v>1658</v>
      </c>
      <c r="C83" s="2539"/>
      <c r="D83" s="1670"/>
      <c r="E83" s="1637"/>
      <c r="F83" s="1662"/>
      <c r="G83" s="1475"/>
      <c r="H83" s="1475"/>
      <c r="I83" s="1475"/>
      <c r="J83" s="1475"/>
      <c r="K83" s="1475"/>
      <c r="L83" s="1475"/>
      <c r="M83" s="1475"/>
      <c r="N83" s="1476">
        <f>1-ISBLANK(E83)</f>
        <v>0</v>
      </c>
      <c r="O83" s="1476">
        <f>1-(OR(ISBLANK(D83),D83=$DJ$62))</f>
        <v>0</v>
      </c>
      <c r="P83" s="1476">
        <f>IF(N83+O83=1,1,0)</f>
        <v>0</v>
      </c>
      <c r="U83" s="1673">
        <f>IFERROR(VLOOKUP(D83,$DJ$62:$DN$65,5,FALSE)/60,0)</f>
        <v>0</v>
      </c>
      <c r="BD83" s="1449"/>
      <c r="BE83" s="1571" t="s">
        <v>1210</v>
      </c>
      <c r="BF83" s="1436">
        <v>23</v>
      </c>
      <c r="BG83" s="1436">
        <v>5</v>
      </c>
      <c r="BH83" s="1436">
        <v>5</v>
      </c>
      <c r="BI83" s="1495" t="b">
        <f t="shared" si="53"/>
        <v>1</v>
      </c>
      <c r="BJ83" s="1450" t="b">
        <f t="shared" si="91"/>
        <v>0</v>
      </c>
      <c r="BK83" s="1572">
        <f t="shared" si="92"/>
        <v>0</v>
      </c>
      <c r="BL83" s="1581">
        <f>IF(SUM(BL$79:BL82,BK83)&gt;$BL$4,0,BK83)</f>
        <v>0</v>
      </c>
      <c r="BM83" s="1436">
        <f t="shared" si="14"/>
        <v>0</v>
      </c>
      <c r="BN83" s="1495">
        <f t="shared" si="15"/>
        <v>0</v>
      </c>
      <c r="BO83" s="1437">
        <f t="shared" si="59"/>
        <v>0</v>
      </c>
      <c r="BP83" s="1574">
        <f t="shared" si="93"/>
        <v>0</v>
      </c>
      <c r="BQ83" s="1577">
        <f t="shared" si="94"/>
        <v>0</v>
      </c>
      <c r="BR83" s="1576">
        <f t="shared" si="18"/>
        <v>0</v>
      </c>
      <c r="BS83" s="1574">
        <f t="shared" si="95"/>
        <v>0</v>
      </c>
      <c r="BT83" s="1577">
        <f t="shared" si="96"/>
        <v>0</v>
      </c>
      <c r="BU83" s="1576">
        <f t="shared" si="21"/>
        <v>0</v>
      </c>
      <c r="BV83" s="1574">
        <f t="shared" si="97"/>
        <v>0</v>
      </c>
      <c r="BW83" s="1577">
        <f t="shared" si="98"/>
        <v>0</v>
      </c>
      <c r="BX83" s="1576">
        <f t="shared" si="24"/>
        <v>0</v>
      </c>
      <c r="BY83" s="1574">
        <f t="shared" si="99"/>
        <v>0</v>
      </c>
      <c r="BZ83" s="1577">
        <f t="shared" si="100"/>
        <v>0</v>
      </c>
      <c r="CA83" s="1576">
        <f t="shared" si="27"/>
        <v>0</v>
      </c>
      <c r="CB83" s="1495">
        <f t="shared" si="101"/>
        <v>0</v>
      </c>
      <c r="CC83" s="1577">
        <f t="shared" si="102"/>
        <v>0</v>
      </c>
      <c r="CD83" s="1576">
        <f t="shared" si="30"/>
        <v>0</v>
      </c>
      <c r="CE83" s="1495">
        <f t="shared" si="103"/>
        <v>0</v>
      </c>
      <c r="CF83" s="1577">
        <f t="shared" si="104"/>
        <v>0</v>
      </c>
      <c r="CG83" s="1576">
        <f t="shared" si="33"/>
        <v>0</v>
      </c>
      <c r="CH83" s="1495">
        <f t="shared" si="105"/>
        <v>0</v>
      </c>
      <c r="CI83" s="1577">
        <f t="shared" si="106"/>
        <v>0</v>
      </c>
      <c r="CJ83" s="1576">
        <f t="shared" si="36"/>
        <v>0</v>
      </c>
      <c r="CK83" s="1495">
        <f t="shared" si="107"/>
        <v>0</v>
      </c>
      <c r="CL83" s="1577">
        <f t="shared" si="108"/>
        <v>0</v>
      </c>
      <c r="CM83" s="1576">
        <f t="shared" si="39"/>
        <v>0</v>
      </c>
      <c r="CN83" s="1495">
        <f t="shared" si="109"/>
        <v>0</v>
      </c>
      <c r="CO83" s="1577">
        <f t="shared" si="110"/>
        <v>0</v>
      </c>
      <c r="CP83" s="1576">
        <f t="shared" si="42"/>
        <v>0</v>
      </c>
      <c r="CQ83" s="1495">
        <f t="shared" si="111"/>
        <v>0</v>
      </c>
      <c r="CR83" s="1577">
        <f t="shared" si="112"/>
        <v>0</v>
      </c>
      <c r="CS83" s="1576">
        <f t="shared" si="45"/>
        <v>0</v>
      </c>
      <c r="CT83" s="1495">
        <f t="shared" si="113"/>
        <v>0</v>
      </c>
      <c r="CU83" s="1577">
        <f t="shared" si="114"/>
        <v>0</v>
      </c>
      <c r="CV83" s="1576">
        <f t="shared" si="48"/>
        <v>0</v>
      </c>
      <c r="CW83" s="1495">
        <f t="shared" si="115"/>
        <v>0</v>
      </c>
      <c r="CX83" s="1577">
        <f t="shared" si="116"/>
        <v>0</v>
      </c>
      <c r="CY83" s="1576">
        <f t="shared" si="51"/>
        <v>0</v>
      </c>
      <c r="CZ83" s="1574">
        <f t="shared" si="52"/>
        <v>0</v>
      </c>
      <c r="DA83" s="1578">
        <f t="shared" si="54"/>
        <v>0</v>
      </c>
      <c r="DB83" s="1579">
        <f t="shared" si="55"/>
        <v>0</v>
      </c>
      <c r="DC83" s="1578">
        <f t="shared" si="56"/>
        <v>0</v>
      </c>
      <c r="DD83" s="1578">
        <f t="shared" si="56"/>
        <v>0</v>
      </c>
      <c r="DE83" s="1578">
        <f t="shared" si="56"/>
        <v>0</v>
      </c>
      <c r="DF83" s="1578">
        <f t="shared" si="57"/>
        <v>0</v>
      </c>
      <c r="DG83" s="1420"/>
      <c r="DH83" s="1420"/>
    </row>
    <row r="84" spans="1:112">
      <c r="A84" s="1528"/>
      <c r="B84" s="2537" t="s">
        <v>1659</v>
      </c>
      <c r="C84" s="2539"/>
      <c r="D84" s="1670"/>
      <c r="E84" s="1637"/>
      <c r="F84" s="1662"/>
      <c r="G84" s="1475"/>
      <c r="K84" s="1475"/>
      <c r="L84" s="1475"/>
      <c r="M84" s="1475"/>
      <c r="N84" s="1476">
        <f>1-ISBLANK(E84)</f>
        <v>0</v>
      </c>
      <c r="O84" s="1476">
        <f>1-(OR(ISBLANK(D84),D84=$DJ$62))</f>
        <v>0</v>
      </c>
      <c r="P84" s="1476">
        <f>IF(N84+O84=1,1,0)</f>
        <v>0</v>
      </c>
      <c r="U84" s="1673">
        <f>IFERROR(VLOOKUP(D84,$DJ$62:$DN$65,5,FALSE)/60,0)</f>
        <v>0</v>
      </c>
      <c r="BD84" s="1449"/>
      <c r="BE84" s="1571" t="s">
        <v>1210</v>
      </c>
      <c r="BF84" s="1436">
        <v>23</v>
      </c>
      <c r="BG84" s="1436">
        <v>6</v>
      </c>
      <c r="BH84" s="1436">
        <v>6</v>
      </c>
      <c r="BI84" s="1495" t="b">
        <f t="shared" si="53"/>
        <v>0</v>
      </c>
      <c r="BJ84" s="1450" t="b">
        <f t="shared" si="91"/>
        <v>0</v>
      </c>
      <c r="BK84" s="1572">
        <f t="shared" si="92"/>
        <v>0</v>
      </c>
      <c r="BL84" s="1581">
        <f>IF(SUM(BL$79:BL83,BK84)&gt;$BL$4,0,BK84)</f>
        <v>0</v>
      </c>
      <c r="BM84" s="1436">
        <f t="shared" ref="BM84:BM147" si="117">BL84*$BJ$13</f>
        <v>0</v>
      </c>
      <c r="BN84" s="1495">
        <f t="shared" ref="BN84:BN147" si="118">$BJ$14*(BL84&gt;0)</f>
        <v>0</v>
      </c>
      <c r="BO84" s="1437">
        <f t="shared" si="59"/>
        <v>0</v>
      </c>
      <c r="BP84" s="1574">
        <f t="shared" si="93"/>
        <v>0</v>
      </c>
      <c r="BQ84" s="1577">
        <f t="shared" si="94"/>
        <v>0</v>
      </c>
      <c r="BR84" s="1576">
        <f t="shared" ref="BR84:BR147" si="119">IF(BP84-(BQ84*$BR$17)&gt;0,BP84-(BQ84*$BR$17),0)</f>
        <v>0</v>
      </c>
      <c r="BS84" s="1574">
        <f t="shared" si="95"/>
        <v>0</v>
      </c>
      <c r="BT84" s="1577">
        <f t="shared" si="96"/>
        <v>0</v>
      </c>
      <c r="BU84" s="1576">
        <f t="shared" ref="BU84:BU147" si="120">IF(BS84-(BT84*BU$17)&gt;0,BS84-(BT84*BU$17),0)</f>
        <v>0</v>
      </c>
      <c r="BV84" s="1574">
        <f t="shared" si="97"/>
        <v>0</v>
      </c>
      <c r="BW84" s="1577">
        <f t="shared" si="98"/>
        <v>0</v>
      </c>
      <c r="BX84" s="1576">
        <f t="shared" ref="BX84:BX147" si="121">IF(BV84-(BW84*BX$17)&gt;0,BV84-(BW84*BX$17),0)</f>
        <v>0</v>
      </c>
      <c r="BY84" s="1574">
        <f t="shared" si="99"/>
        <v>0</v>
      </c>
      <c r="BZ84" s="1577">
        <f t="shared" si="100"/>
        <v>0</v>
      </c>
      <c r="CA84" s="1576">
        <f t="shared" ref="CA84:CA147" si="122">IF(BY84-(BZ84*CA$17)&gt;0,BY84-(BZ84*CA$17),0)</f>
        <v>0</v>
      </c>
      <c r="CB84" s="1495">
        <f t="shared" si="101"/>
        <v>0</v>
      </c>
      <c r="CC84" s="1577">
        <f t="shared" si="102"/>
        <v>0</v>
      </c>
      <c r="CD84" s="1576">
        <f t="shared" ref="CD84:CD147" si="123">IF(CB84-(CC84*CD$17)&gt;0,CB84-(CC84*CD$17),0)</f>
        <v>0</v>
      </c>
      <c r="CE84" s="1495">
        <f t="shared" si="103"/>
        <v>0</v>
      </c>
      <c r="CF84" s="1577">
        <f t="shared" si="104"/>
        <v>0</v>
      </c>
      <c r="CG84" s="1576">
        <f t="shared" ref="CG84:CG147" si="124">IF(CE84-(CF84*CG$17)&gt;0,CE84-(CF84*CG$17),0)</f>
        <v>0</v>
      </c>
      <c r="CH84" s="1495">
        <f t="shared" si="105"/>
        <v>0</v>
      </c>
      <c r="CI84" s="1577">
        <f t="shared" si="106"/>
        <v>0</v>
      </c>
      <c r="CJ84" s="1576">
        <f t="shared" ref="CJ84:CJ147" si="125">IF(CH84-(CI84*CJ$17)&gt;0,CH84-(CI84*CJ$17),0)</f>
        <v>0</v>
      </c>
      <c r="CK84" s="1495">
        <f t="shared" si="107"/>
        <v>0</v>
      </c>
      <c r="CL84" s="1577">
        <f t="shared" si="108"/>
        <v>0</v>
      </c>
      <c r="CM84" s="1576">
        <f t="shared" ref="CM84:CM147" si="126">IF(CK84-(CL84*CM$17)&gt;0,CK84-(CL84*CM$17),0)</f>
        <v>0</v>
      </c>
      <c r="CN84" s="1495">
        <f t="shared" si="109"/>
        <v>0</v>
      </c>
      <c r="CO84" s="1577">
        <f t="shared" si="110"/>
        <v>0</v>
      </c>
      <c r="CP84" s="1576">
        <f t="shared" ref="CP84:CP147" si="127">IF(CN84-(CO84*CP$17)&gt;0,CN84-(CO84*CP$17),0)</f>
        <v>0</v>
      </c>
      <c r="CQ84" s="1495">
        <f t="shared" si="111"/>
        <v>0</v>
      </c>
      <c r="CR84" s="1577">
        <f t="shared" si="112"/>
        <v>0</v>
      </c>
      <c r="CS84" s="1576">
        <f t="shared" ref="CS84:CS147" si="128">IF(CQ84-(CR84*CS$17)&gt;0,CQ84-(CR84*CS$17),0)</f>
        <v>0</v>
      </c>
      <c r="CT84" s="1495">
        <f t="shared" si="113"/>
        <v>0</v>
      </c>
      <c r="CU84" s="1577">
        <f t="shared" si="114"/>
        <v>0</v>
      </c>
      <c r="CV84" s="1576">
        <f t="shared" ref="CV84:CV147" si="129">IF(CT84-(CU84*CV$17)&gt;0,CT84-(CU84*CV$17),0)</f>
        <v>0</v>
      </c>
      <c r="CW84" s="1495">
        <f t="shared" si="115"/>
        <v>0</v>
      </c>
      <c r="CX84" s="1577">
        <f t="shared" si="116"/>
        <v>0</v>
      </c>
      <c r="CY84" s="1576">
        <f t="shared" ref="CY84:CY147" si="130">IF(CW84-(CX84*CY$17)&gt;0,CW84-(CX84*CY$17),0)</f>
        <v>0</v>
      </c>
      <c r="CZ84" s="1574">
        <f t="shared" ref="CZ84:CZ147" si="131">BO84</f>
        <v>0</v>
      </c>
      <c r="DA84" s="1578">
        <f t="shared" si="54"/>
        <v>0</v>
      </c>
      <c r="DB84" s="1579">
        <f t="shared" si="55"/>
        <v>0</v>
      </c>
      <c r="DC84" s="1578">
        <f t="shared" si="56"/>
        <v>0</v>
      </c>
      <c r="DD84" s="1578">
        <f t="shared" si="56"/>
        <v>0</v>
      </c>
      <c r="DE84" s="1578">
        <f t="shared" si="56"/>
        <v>0</v>
      </c>
      <c r="DF84" s="1578">
        <f t="shared" si="57"/>
        <v>0</v>
      </c>
      <c r="DG84" s="1420"/>
      <c r="DH84" s="1420"/>
    </row>
    <row r="85" spans="1:112" ht="12">
      <c r="A85" s="1528"/>
      <c r="B85" s="2537" t="s">
        <v>1660</v>
      </c>
      <c r="C85" s="2539"/>
      <c r="D85" s="1670"/>
      <c r="E85" s="1637"/>
      <c r="F85" s="1662"/>
      <c r="H85" s="1475"/>
      <c r="I85" s="1475"/>
      <c r="J85" s="1475"/>
      <c r="K85" s="1475"/>
      <c r="L85" s="1475"/>
      <c r="M85" s="1475"/>
      <c r="N85" s="1476">
        <f>1-ISBLANK(E85)</f>
        <v>0</v>
      </c>
      <c r="O85" s="1476">
        <f>1-(OR(ISBLANK(D85),D85=$DJ$62))</f>
        <v>0</v>
      </c>
      <c r="P85" s="1476">
        <f>IF(N85+O85=1,1,0)</f>
        <v>0</v>
      </c>
      <c r="U85" s="1673">
        <f>IFERROR(VLOOKUP(D85,$DJ$62:$DN$65,5,FALSE)/60,0)</f>
        <v>0</v>
      </c>
      <c r="BD85" s="1449"/>
      <c r="BE85" s="1571" t="s">
        <v>1210</v>
      </c>
      <c r="BF85" s="1436">
        <v>23</v>
      </c>
      <c r="BG85" s="1436">
        <v>7</v>
      </c>
      <c r="BH85" s="1436">
        <v>7</v>
      </c>
      <c r="BI85" s="1495" t="b">
        <f t="shared" ref="BI85:BI148" si="132">BH85&lt;=5</f>
        <v>0</v>
      </c>
      <c r="BJ85" s="1450" t="b">
        <f t="shared" si="91"/>
        <v>0</v>
      </c>
      <c r="BK85" s="1572">
        <f t="shared" si="92"/>
        <v>0</v>
      </c>
      <c r="BL85" s="1581">
        <f>IF(SUM(BL$79:BL84,BK85)&gt;$BL$4,0,BK85)</f>
        <v>0</v>
      </c>
      <c r="BM85" s="1436">
        <f t="shared" si="117"/>
        <v>0</v>
      </c>
      <c r="BN85" s="1495">
        <f t="shared" si="118"/>
        <v>0</v>
      </c>
      <c r="BO85" s="1437">
        <f t="shared" si="59"/>
        <v>0</v>
      </c>
      <c r="BP85" s="1574">
        <f t="shared" si="93"/>
        <v>0</v>
      </c>
      <c r="BQ85" s="1577">
        <f t="shared" si="94"/>
        <v>0</v>
      </c>
      <c r="BR85" s="1576">
        <f t="shared" si="119"/>
        <v>0</v>
      </c>
      <c r="BS85" s="1574">
        <f t="shared" si="95"/>
        <v>0</v>
      </c>
      <c r="BT85" s="1577">
        <f t="shared" si="96"/>
        <v>0</v>
      </c>
      <c r="BU85" s="1576">
        <f t="shared" si="120"/>
        <v>0</v>
      </c>
      <c r="BV85" s="1574">
        <f t="shared" si="97"/>
        <v>0</v>
      </c>
      <c r="BW85" s="1577">
        <f t="shared" si="98"/>
        <v>0</v>
      </c>
      <c r="BX85" s="1576">
        <f t="shared" si="121"/>
        <v>0</v>
      </c>
      <c r="BY85" s="1574">
        <f t="shared" si="99"/>
        <v>0</v>
      </c>
      <c r="BZ85" s="1577">
        <f t="shared" si="100"/>
        <v>0</v>
      </c>
      <c r="CA85" s="1576">
        <f t="shared" si="122"/>
        <v>0</v>
      </c>
      <c r="CB85" s="1495">
        <f t="shared" si="101"/>
        <v>0</v>
      </c>
      <c r="CC85" s="1577">
        <f t="shared" si="102"/>
        <v>0</v>
      </c>
      <c r="CD85" s="1576">
        <f t="shared" si="123"/>
        <v>0</v>
      </c>
      <c r="CE85" s="1495">
        <f t="shared" si="103"/>
        <v>0</v>
      </c>
      <c r="CF85" s="1577">
        <f t="shared" si="104"/>
        <v>0</v>
      </c>
      <c r="CG85" s="1576">
        <f t="shared" si="124"/>
        <v>0</v>
      </c>
      <c r="CH85" s="1495">
        <f t="shared" si="105"/>
        <v>0</v>
      </c>
      <c r="CI85" s="1577">
        <f t="shared" si="106"/>
        <v>0</v>
      </c>
      <c r="CJ85" s="1576">
        <f t="shared" si="125"/>
        <v>0</v>
      </c>
      <c r="CK85" s="1495">
        <f t="shared" si="107"/>
        <v>0</v>
      </c>
      <c r="CL85" s="1577">
        <f t="shared" si="108"/>
        <v>0</v>
      </c>
      <c r="CM85" s="1576">
        <f t="shared" si="126"/>
        <v>0</v>
      </c>
      <c r="CN85" s="1495">
        <f t="shared" si="109"/>
        <v>0</v>
      </c>
      <c r="CO85" s="1577">
        <f t="shared" si="110"/>
        <v>0</v>
      </c>
      <c r="CP85" s="1576">
        <f t="shared" si="127"/>
        <v>0</v>
      </c>
      <c r="CQ85" s="1495">
        <f t="shared" si="111"/>
        <v>0</v>
      </c>
      <c r="CR85" s="1577">
        <f t="shared" si="112"/>
        <v>0</v>
      </c>
      <c r="CS85" s="1576">
        <f t="shared" si="128"/>
        <v>0</v>
      </c>
      <c r="CT85" s="1495">
        <f t="shared" si="113"/>
        <v>0</v>
      </c>
      <c r="CU85" s="1577">
        <f t="shared" si="114"/>
        <v>0</v>
      </c>
      <c r="CV85" s="1576">
        <f t="shared" si="129"/>
        <v>0</v>
      </c>
      <c r="CW85" s="1495">
        <f t="shared" si="115"/>
        <v>0</v>
      </c>
      <c r="CX85" s="1577">
        <f t="shared" si="116"/>
        <v>0</v>
      </c>
      <c r="CY85" s="1576">
        <f t="shared" si="130"/>
        <v>0</v>
      </c>
      <c r="CZ85" s="1574">
        <f t="shared" si="131"/>
        <v>0</v>
      </c>
      <c r="DA85" s="1578">
        <f t="shared" ref="DA85:DA148" si="133">BR85+BU85+BX85+CA85+CD85+CG85+CJ85+CM85+CP85+CS85+CV85+CY85</f>
        <v>0</v>
      </c>
      <c r="DB85" s="1579">
        <f t="shared" ref="DB85:DB148" si="134">CZ85-DA85</f>
        <v>0</v>
      </c>
      <c r="DC85" s="1578">
        <f t="shared" ref="DC85:DE148" si="135">IF(DC84+$DB85&lt;0,0,IF(DC84+$DB85&gt;$F$405,$F$405,DC84+$DB85))</f>
        <v>0</v>
      </c>
      <c r="DD85" s="1578">
        <f t="shared" si="135"/>
        <v>0</v>
      </c>
      <c r="DE85" s="1578">
        <f t="shared" si="135"/>
        <v>0</v>
      </c>
      <c r="DF85" s="1578">
        <f t="shared" si="57"/>
        <v>0</v>
      </c>
      <c r="DG85" s="1420"/>
      <c r="DH85" s="1420"/>
    </row>
    <row r="86" spans="1:112" ht="12" customHeight="1">
      <c r="A86" s="1528"/>
      <c r="B86" s="2540" t="str">
        <f>IF(F86&lt;&gt;1,$N$61,"")</f>
        <v>Please complete for 100% of fittings</v>
      </c>
      <c r="C86" s="2540"/>
      <c r="D86" s="2540"/>
      <c r="E86" s="2540"/>
      <c r="F86" s="1674">
        <f>SUM(F82:F85)</f>
        <v>0</v>
      </c>
      <c r="G86" s="1675" t="str">
        <f>IF(SUM(P82:P85)&gt;0,N87,"")</f>
        <v>Please specify flow rate and controls for each different indoor tap type</v>
      </c>
      <c r="H86" s="1475"/>
      <c r="I86" s="1475"/>
      <c r="J86" s="1475"/>
      <c r="K86" s="1475"/>
      <c r="L86" s="1475"/>
      <c r="M86" s="1475"/>
      <c r="BD86" s="1449"/>
      <c r="BE86" s="1571" t="s">
        <v>1210</v>
      </c>
      <c r="BF86" s="1436">
        <v>23</v>
      </c>
      <c r="BG86" s="1436">
        <v>8</v>
      </c>
      <c r="BH86" s="1436">
        <v>1</v>
      </c>
      <c r="BI86" s="1495" t="b">
        <f t="shared" si="132"/>
        <v>1</v>
      </c>
      <c r="BJ86" s="1450" t="b">
        <f t="shared" si="91"/>
        <v>1</v>
      </c>
      <c r="BK86" s="1572">
        <f t="shared" si="92"/>
        <v>7.4285714285714288</v>
      </c>
      <c r="BL86" s="1581">
        <f>IF(SUM(BL$79:BL85,BK86)&gt;$BL$4,0,BK86)</f>
        <v>7.4285714285714288</v>
      </c>
      <c r="BM86" s="1436">
        <f t="shared" si="117"/>
        <v>0</v>
      </c>
      <c r="BN86" s="1495">
        <f t="shared" si="118"/>
        <v>0</v>
      </c>
      <c r="BO86" s="1437">
        <f t="shared" si="59"/>
        <v>0</v>
      </c>
      <c r="BP86" s="1574">
        <f t="shared" si="93"/>
        <v>0</v>
      </c>
      <c r="BQ86" s="1577">
        <f t="shared" si="94"/>
        <v>0</v>
      </c>
      <c r="BR86" s="1576">
        <f t="shared" si="119"/>
        <v>0</v>
      </c>
      <c r="BS86" s="1574">
        <f t="shared" si="95"/>
        <v>0</v>
      </c>
      <c r="BT86" s="1577">
        <f t="shared" si="96"/>
        <v>0</v>
      </c>
      <c r="BU86" s="1576">
        <f t="shared" si="120"/>
        <v>0</v>
      </c>
      <c r="BV86" s="1574">
        <f t="shared" si="97"/>
        <v>0</v>
      </c>
      <c r="BW86" s="1577">
        <f t="shared" si="98"/>
        <v>0</v>
      </c>
      <c r="BX86" s="1576">
        <f t="shared" si="121"/>
        <v>0</v>
      </c>
      <c r="BY86" s="1574">
        <f t="shared" si="99"/>
        <v>0</v>
      </c>
      <c r="BZ86" s="1577">
        <f t="shared" si="100"/>
        <v>0</v>
      </c>
      <c r="CA86" s="1576">
        <f t="shared" si="122"/>
        <v>0</v>
      </c>
      <c r="CB86" s="1495">
        <f t="shared" si="101"/>
        <v>0</v>
      </c>
      <c r="CC86" s="1577">
        <f t="shared" si="102"/>
        <v>0</v>
      </c>
      <c r="CD86" s="1576">
        <f t="shared" si="123"/>
        <v>0</v>
      </c>
      <c r="CE86" s="1495">
        <f t="shared" si="103"/>
        <v>0</v>
      </c>
      <c r="CF86" s="1577">
        <f t="shared" si="104"/>
        <v>0</v>
      </c>
      <c r="CG86" s="1576">
        <f t="shared" si="124"/>
        <v>0</v>
      </c>
      <c r="CH86" s="1495">
        <f t="shared" si="105"/>
        <v>0</v>
      </c>
      <c r="CI86" s="1577">
        <f t="shared" si="106"/>
        <v>0</v>
      </c>
      <c r="CJ86" s="1576">
        <f t="shared" si="125"/>
        <v>0</v>
      </c>
      <c r="CK86" s="1495">
        <f t="shared" si="107"/>
        <v>0</v>
      </c>
      <c r="CL86" s="1577">
        <f t="shared" si="108"/>
        <v>0</v>
      </c>
      <c r="CM86" s="1576">
        <f t="shared" si="126"/>
        <v>0</v>
      </c>
      <c r="CN86" s="1495">
        <f t="shared" si="109"/>
        <v>0</v>
      </c>
      <c r="CO86" s="1577">
        <f t="shared" si="110"/>
        <v>0</v>
      </c>
      <c r="CP86" s="1576">
        <f t="shared" si="127"/>
        <v>0</v>
      </c>
      <c r="CQ86" s="1495">
        <f t="shared" si="111"/>
        <v>0</v>
      </c>
      <c r="CR86" s="1577">
        <f t="shared" si="112"/>
        <v>0</v>
      </c>
      <c r="CS86" s="1576">
        <f t="shared" si="128"/>
        <v>0</v>
      </c>
      <c r="CT86" s="1495">
        <f t="shared" si="113"/>
        <v>0</v>
      </c>
      <c r="CU86" s="1577">
        <f t="shared" si="114"/>
        <v>0</v>
      </c>
      <c r="CV86" s="1576">
        <f t="shared" si="129"/>
        <v>0</v>
      </c>
      <c r="CW86" s="1495">
        <f t="shared" si="115"/>
        <v>0</v>
      </c>
      <c r="CX86" s="1577">
        <f t="shared" si="116"/>
        <v>0</v>
      </c>
      <c r="CY86" s="1576">
        <f t="shared" si="130"/>
        <v>0</v>
      </c>
      <c r="CZ86" s="1574">
        <f t="shared" si="131"/>
        <v>0</v>
      </c>
      <c r="DA86" s="1578">
        <f t="shared" si="133"/>
        <v>0</v>
      </c>
      <c r="DB86" s="1579">
        <f t="shared" si="134"/>
        <v>0</v>
      </c>
      <c r="DC86" s="1578">
        <f t="shared" si="135"/>
        <v>0</v>
      </c>
      <c r="DD86" s="1578">
        <f t="shared" si="135"/>
        <v>0</v>
      </c>
      <c r="DE86" s="1578">
        <f t="shared" si="135"/>
        <v>0</v>
      </c>
      <c r="DF86" s="1578">
        <f t="shared" ref="DF86:DF149" si="136">IF(DA86-(DE85+CZ86)&lt;0,0,DA86-(DE85+CZ86))</f>
        <v>0</v>
      </c>
      <c r="DG86" s="1420"/>
      <c r="DH86" s="1420"/>
    </row>
    <row r="87" spans="1:112" ht="12">
      <c r="A87" s="1528"/>
      <c r="B87" s="2525" t="s">
        <v>1965</v>
      </c>
      <c r="C87" s="2525"/>
      <c r="D87" s="2525"/>
      <c r="E87" s="2525"/>
      <c r="F87" s="1654">
        <f>W62</f>
        <v>0</v>
      </c>
      <c r="G87" s="1475"/>
      <c r="H87" s="1475"/>
      <c r="I87" s="1475"/>
      <c r="J87" s="1475"/>
      <c r="K87" s="1475"/>
      <c r="L87" s="1475"/>
      <c r="M87" s="1475"/>
      <c r="N87" s="1430" t="s">
        <v>1661</v>
      </c>
      <c r="BD87" s="1449"/>
      <c r="BE87" s="1571" t="s">
        <v>1210</v>
      </c>
      <c r="BF87" s="1436">
        <v>23</v>
      </c>
      <c r="BG87" s="1436">
        <v>9</v>
      </c>
      <c r="BH87" s="1436">
        <v>2</v>
      </c>
      <c r="BI87" s="1495" t="b">
        <f t="shared" si="132"/>
        <v>1</v>
      </c>
      <c r="BJ87" s="1450" t="b">
        <f t="shared" si="91"/>
        <v>0</v>
      </c>
      <c r="BK87" s="1572">
        <f t="shared" si="92"/>
        <v>0</v>
      </c>
      <c r="BL87" s="1581">
        <f>IF(SUM(BL$79:BL86,BK87)&gt;$BL$4,0,BK87)</f>
        <v>0</v>
      </c>
      <c r="BM87" s="1436">
        <f t="shared" si="117"/>
        <v>0</v>
      </c>
      <c r="BN87" s="1495">
        <f t="shared" si="118"/>
        <v>0</v>
      </c>
      <c r="BO87" s="1437">
        <f t="shared" si="59"/>
        <v>0</v>
      </c>
      <c r="BP87" s="1574">
        <f t="shared" si="93"/>
        <v>0</v>
      </c>
      <c r="BQ87" s="1577">
        <f t="shared" si="94"/>
        <v>0</v>
      </c>
      <c r="BR87" s="1576">
        <f t="shared" si="119"/>
        <v>0</v>
      </c>
      <c r="BS87" s="1574">
        <f t="shared" si="95"/>
        <v>0</v>
      </c>
      <c r="BT87" s="1577">
        <f t="shared" si="96"/>
        <v>0</v>
      </c>
      <c r="BU87" s="1576">
        <f t="shared" si="120"/>
        <v>0</v>
      </c>
      <c r="BV87" s="1574">
        <f t="shared" si="97"/>
        <v>0</v>
      </c>
      <c r="BW87" s="1577">
        <f t="shared" si="98"/>
        <v>0</v>
      </c>
      <c r="BX87" s="1576">
        <f t="shared" si="121"/>
        <v>0</v>
      </c>
      <c r="BY87" s="1574">
        <f t="shared" si="99"/>
        <v>0</v>
      </c>
      <c r="BZ87" s="1577">
        <f t="shared" si="100"/>
        <v>0</v>
      </c>
      <c r="CA87" s="1576">
        <f t="shared" si="122"/>
        <v>0</v>
      </c>
      <c r="CB87" s="1495">
        <f t="shared" si="101"/>
        <v>0</v>
      </c>
      <c r="CC87" s="1577">
        <f t="shared" si="102"/>
        <v>0</v>
      </c>
      <c r="CD87" s="1576">
        <f t="shared" si="123"/>
        <v>0</v>
      </c>
      <c r="CE87" s="1495">
        <f t="shared" si="103"/>
        <v>0</v>
      </c>
      <c r="CF87" s="1577">
        <f t="shared" si="104"/>
        <v>0</v>
      </c>
      <c r="CG87" s="1576">
        <f t="shared" si="124"/>
        <v>0</v>
      </c>
      <c r="CH87" s="1495">
        <f t="shared" si="105"/>
        <v>0</v>
      </c>
      <c r="CI87" s="1577">
        <f t="shared" si="106"/>
        <v>0</v>
      </c>
      <c r="CJ87" s="1576">
        <f t="shared" si="125"/>
        <v>0</v>
      </c>
      <c r="CK87" s="1495">
        <f t="shared" si="107"/>
        <v>0</v>
      </c>
      <c r="CL87" s="1577">
        <f t="shared" si="108"/>
        <v>0</v>
      </c>
      <c r="CM87" s="1576">
        <f t="shared" si="126"/>
        <v>0</v>
      </c>
      <c r="CN87" s="1495">
        <f t="shared" si="109"/>
        <v>0</v>
      </c>
      <c r="CO87" s="1577">
        <f t="shared" si="110"/>
        <v>0</v>
      </c>
      <c r="CP87" s="1576">
        <f t="shared" si="127"/>
        <v>0</v>
      </c>
      <c r="CQ87" s="1495">
        <f t="shared" si="111"/>
        <v>0</v>
      </c>
      <c r="CR87" s="1577">
        <f t="shared" si="112"/>
        <v>0</v>
      </c>
      <c r="CS87" s="1576">
        <f t="shared" si="128"/>
        <v>0</v>
      </c>
      <c r="CT87" s="1495">
        <f t="shared" si="113"/>
        <v>0</v>
      </c>
      <c r="CU87" s="1577">
        <f t="shared" si="114"/>
        <v>0</v>
      </c>
      <c r="CV87" s="1576">
        <f t="shared" si="129"/>
        <v>0</v>
      </c>
      <c r="CW87" s="1495">
        <f t="shared" si="115"/>
        <v>0</v>
      </c>
      <c r="CX87" s="1577">
        <f t="shared" si="116"/>
        <v>0</v>
      </c>
      <c r="CY87" s="1576">
        <f t="shared" si="130"/>
        <v>0</v>
      </c>
      <c r="CZ87" s="1574">
        <f t="shared" si="131"/>
        <v>0</v>
      </c>
      <c r="DA87" s="1578">
        <f t="shared" si="133"/>
        <v>0</v>
      </c>
      <c r="DB87" s="1579">
        <f t="shared" si="134"/>
        <v>0</v>
      </c>
      <c r="DC87" s="1578">
        <f t="shared" si="135"/>
        <v>0</v>
      </c>
      <c r="DD87" s="1578">
        <f t="shared" si="135"/>
        <v>0</v>
      </c>
      <c r="DE87" s="1578">
        <f t="shared" si="135"/>
        <v>0</v>
      </c>
      <c r="DF87" s="1578">
        <f t="shared" si="136"/>
        <v>0</v>
      </c>
      <c r="DG87" s="1420"/>
      <c r="DH87" s="1420"/>
    </row>
    <row r="88" spans="1:112" ht="12">
      <c r="A88" s="1587"/>
      <c r="B88" s="2526" t="s">
        <v>1966</v>
      </c>
      <c r="C88" s="2526"/>
      <c r="D88" s="2526"/>
      <c r="E88" s="2526"/>
      <c r="F88" s="1656">
        <f>AA62</f>
        <v>0</v>
      </c>
      <c r="G88" s="1475"/>
      <c r="H88" s="1475"/>
      <c r="I88" s="1475"/>
      <c r="J88" s="1475"/>
      <c r="K88" s="1475"/>
      <c r="L88" s="1475"/>
      <c r="M88" s="1475"/>
      <c r="BD88" s="1449"/>
      <c r="BE88" s="1571" t="s">
        <v>1210</v>
      </c>
      <c r="BF88" s="1436">
        <v>23</v>
      </c>
      <c r="BG88" s="1436">
        <v>10</v>
      </c>
      <c r="BH88" s="1436">
        <v>3</v>
      </c>
      <c r="BI88" s="1495" t="b">
        <f t="shared" si="132"/>
        <v>1</v>
      </c>
      <c r="BJ88" s="1450" t="b">
        <f t="shared" si="91"/>
        <v>0</v>
      </c>
      <c r="BK88" s="1572">
        <f t="shared" si="92"/>
        <v>0</v>
      </c>
      <c r="BL88" s="1581">
        <f>IF(SUM(BL$79:BL87,BK88)&gt;$BL$4,0,BK88)</f>
        <v>0</v>
      </c>
      <c r="BM88" s="1436">
        <f t="shared" si="117"/>
        <v>0</v>
      </c>
      <c r="BN88" s="1495">
        <f t="shared" si="118"/>
        <v>0</v>
      </c>
      <c r="BO88" s="1437">
        <f t="shared" si="59"/>
        <v>0</v>
      </c>
      <c r="BP88" s="1574">
        <f t="shared" si="93"/>
        <v>0</v>
      </c>
      <c r="BQ88" s="1577">
        <f t="shared" si="94"/>
        <v>0</v>
      </c>
      <c r="BR88" s="1576">
        <f t="shared" si="119"/>
        <v>0</v>
      </c>
      <c r="BS88" s="1574">
        <f t="shared" si="95"/>
        <v>0</v>
      </c>
      <c r="BT88" s="1577">
        <f t="shared" si="96"/>
        <v>0</v>
      </c>
      <c r="BU88" s="1576">
        <f t="shared" si="120"/>
        <v>0</v>
      </c>
      <c r="BV88" s="1574">
        <f t="shared" si="97"/>
        <v>0</v>
      </c>
      <c r="BW88" s="1577">
        <f t="shared" si="98"/>
        <v>0</v>
      </c>
      <c r="BX88" s="1576">
        <f t="shared" si="121"/>
        <v>0</v>
      </c>
      <c r="BY88" s="1574">
        <f t="shared" si="99"/>
        <v>0</v>
      </c>
      <c r="BZ88" s="1577">
        <f t="shared" si="100"/>
        <v>0</v>
      </c>
      <c r="CA88" s="1576">
        <f t="shared" si="122"/>
        <v>0</v>
      </c>
      <c r="CB88" s="1495">
        <f t="shared" si="101"/>
        <v>0</v>
      </c>
      <c r="CC88" s="1577">
        <f t="shared" si="102"/>
        <v>0</v>
      </c>
      <c r="CD88" s="1576">
        <f t="shared" si="123"/>
        <v>0</v>
      </c>
      <c r="CE88" s="1495">
        <f t="shared" si="103"/>
        <v>0</v>
      </c>
      <c r="CF88" s="1577">
        <f t="shared" si="104"/>
        <v>0</v>
      </c>
      <c r="CG88" s="1576">
        <f t="shared" si="124"/>
        <v>0</v>
      </c>
      <c r="CH88" s="1495">
        <f t="shared" si="105"/>
        <v>0</v>
      </c>
      <c r="CI88" s="1577">
        <f t="shared" si="106"/>
        <v>0</v>
      </c>
      <c r="CJ88" s="1576">
        <f t="shared" si="125"/>
        <v>0</v>
      </c>
      <c r="CK88" s="1495">
        <f t="shared" si="107"/>
        <v>0</v>
      </c>
      <c r="CL88" s="1577">
        <f t="shared" si="108"/>
        <v>0</v>
      </c>
      <c r="CM88" s="1576">
        <f t="shared" si="126"/>
        <v>0</v>
      </c>
      <c r="CN88" s="1495">
        <f t="shared" si="109"/>
        <v>0</v>
      </c>
      <c r="CO88" s="1577">
        <f t="shared" si="110"/>
        <v>0</v>
      </c>
      <c r="CP88" s="1576">
        <f t="shared" si="127"/>
        <v>0</v>
      </c>
      <c r="CQ88" s="1495">
        <f t="shared" si="111"/>
        <v>0</v>
      </c>
      <c r="CR88" s="1577">
        <f t="shared" si="112"/>
        <v>0</v>
      </c>
      <c r="CS88" s="1576">
        <f t="shared" si="128"/>
        <v>0</v>
      </c>
      <c r="CT88" s="1495">
        <f t="shared" si="113"/>
        <v>0</v>
      </c>
      <c r="CU88" s="1577">
        <f t="shared" si="114"/>
        <v>0</v>
      </c>
      <c r="CV88" s="1576">
        <f t="shared" si="129"/>
        <v>0</v>
      </c>
      <c r="CW88" s="1495">
        <f t="shared" si="115"/>
        <v>0</v>
      </c>
      <c r="CX88" s="1577">
        <f t="shared" si="116"/>
        <v>0</v>
      </c>
      <c r="CY88" s="1576">
        <f t="shared" si="130"/>
        <v>0</v>
      </c>
      <c r="CZ88" s="1574">
        <f t="shared" si="131"/>
        <v>0</v>
      </c>
      <c r="DA88" s="1578">
        <f t="shared" si="133"/>
        <v>0</v>
      </c>
      <c r="DB88" s="1579">
        <f t="shared" si="134"/>
        <v>0</v>
      </c>
      <c r="DC88" s="1578">
        <f t="shared" si="135"/>
        <v>0</v>
      </c>
      <c r="DD88" s="1578">
        <f t="shared" si="135"/>
        <v>0</v>
      </c>
      <c r="DE88" s="1578">
        <f t="shared" si="135"/>
        <v>0</v>
      </c>
      <c r="DF88" s="1578">
        <f t="shared" si="136"/>
        <v>0</v>
      </c>
      <c r="DG88" s="1420"/>
      <c r="DH88" s="1420"/>
    </row>
    <row r="89" spans="1:112" ht="12">
      <c r="A89" s="1587"/>
      <c r="G89" s="1475"/>
      <c r="H89" s="1475"/>
      <c r="I89" s="1422"/>
      <c r="J89" s="1422"/>
      <c r="K89" s="1422"/>
      <c r="BD89" s="1449"/>
      <c r="BE89" s="1571" t="s">
        <v>1210</v>
      </c>
      <c r="BF89" s="1436">
        <v>23</v>
      </c>
      <c r="BG89" s="1436">
        <v>11</v>
      </c>
      <c r="BH89" s="1436">
        <v>4</v>
      </c>
      <c r="BI89" s="1495" t="b">
        <f t="shared" si="132"/>
        <v>1</v>
      </c>
      <c r="BJ89" s="1450" t="b">
        <f t="shared" si="91"/>
        <v>0</v>
      </c>
      <c r="BK89" s="1572">
        <f t="shared" si="92"/>
        <v>0</v>
      </c>
      <c r="BL89" s="1581">
        <f>IF(SUM(BL$79:BL88,BK89)&gt;$BL$4,0,BK89)</f>
        <v>0</v>
      </c>
      <c r="BM89" s="1436">
        <f t="shared" si="117"/>
        <v>0</v>
      </c>
      <c r="BN89" s="1495">
        <f t="shared" si="118"/>
        <v>0</v>
      </c>
      <c r="BO89" s="1437">
        <f t="shared" ref="BO89:BO152" si="137">BM89-BN89</f>
        <v>0</v>
      </c>
      <c r="BP89" s="1574">
        <f t="shared" si="93"/>
        <v>0</v>
      </c>
      <c r="BQ89" s="1577">
        <f t="shared" si="94"/>
        <v>0</v>
      </c>
      <c r="BR89" s="1576">
        <f t="shared" si="119"/>
        <v>0</v>
      </c>
      <c r="BS89" s="1574">
        <f t="shared" si="95"/>
        <v>0</v>
      </c>
      <c r="BT89" s="1577">
        <f t="shared" si="96"/>
        <v>0</v>
      </c>
      <c r="BU89" s="1576">
        <f t="shared" si="120"/>
        <v>0</v>
      </c>
      <c r="BV89" s="1574">
        <f t="shared" si="97"/>
        <v>0</v>
      </c>
      <c r="BW89" s="1577">
        <f t="shared" si="98"/>
        <v>0</v>
      </c>
      <c r="BX89" s="1576">
        <f t="shared" si="121"/>
        <v>0</v>
      </c>
      <c r="BY89" s="1574">
        <f t="shared" si="99"/>
        <v>0</v>
      </c>
      <c r="BZ89" s="1577">
        <f t="shared" si="100"/>
        <v>0</v>
      </c>
      <c r="CA89" s="1576">
        <f t="shared" si="122"/>
        <v>0</v>
      </c>
      <c r="CB89" s="1495">
        <f t="shared" si="101"/>
        <v>0</v>
      </c>
      <c r="CC89" s="1577">
        <f t="shared" si="102"/>
        <v>0</v>
      </c>
      <c r="CD89" s="1576">
        <f t="shared" si="123"/>
        <v>0</v>
      </c>
      <c r="CE89" s="1495">
        <f t="shared" si="103"/>
        <v>0</v>
      </c>
      <c r="CF89" s="1577">
        <f t="shared" si="104"/>
        <v>0</v>
      </c>
      <c r="CG89" s="1576">
        <f t="shared" si="124"/>
        <v>0</v>
      </c>
      <c r="CH89" s="1495">
        <f t="shared" si="105"/>
        <v>0</v>
      </c>
      <c r="CI89" s="1577">
        <f t="shared" si="106"/>
        <v>0</v>
      </c>
      <c r="CJ89" s="1576">
        <f t="shared" si="125"/>
        <v>0</v>
      </c>
      <c r="CK89" s="1495">
        <f t="shared" si="107"/>
        <v>0</v>
      </c>
      <c r="CL89" s="1577">
        <f t="shared" si="108"/>
        <v>0</v>
      </c>
      <c r="CM89" s="1576">
        <f t="shared" si="126"/>
        <v>0</v>
      </c>
      <c r="CN89" s="1495">
        <f t="shared" si="109"/>
        <v>0</v>
      </c>
      <c r="CO89" s="1577">
        <f t="shared" si="110"/>
        <v>0</v>
      </c>
      <c r="CP89" s="1576">
        <f t="shared" si="127"/>
        <v>0</v>
      </c>
      <c r="CQ89" s="1495">
        <f t="shared" si="111"/>
        <v>0</v>
      </c>
      <c r="CR89" s="1577">
        <f t="shared" si="112"/>
        <v>0</v>
      </c>
      <c r="CS89" s="1576">
        <f t="shared" si="128"/>
        <v>0</v>
      </c>
      <c r="CT89" s="1495">
        <f t="shared" si="113"/>
        <v>0</v>
      </c>
      <c r="CU89" s="1577">
        <f t="shared" si="114"/>
        <v>0</v>
      </c>
      <c r="CV89" s="1576">
        <f t="shared" si="129"/>
        <v>0</v>
      </c>
      <c r="CW89" s="1495">
        <f t="shared" si="115"/>
        <v>0</v>
      </c>
      <c r="CX89" s="1577">
        <f t="shared" si="116"/>
        <v>0</v>
      </c>
      <c r="CY89" s="1576">
        <f t="shared" si="130"/>
        <v>0</v>
      </c>
      <c r="CZ89" s="1574">
        <f t="shared" si="131"/>
        <v>0</v>
      </c>
      <c r="DA89" s="1578">
        <f t="shared" si="133"/>
        <v>0</v>
      </c>
      <c r="DB89" s="1579">
        <f t="shared" si="134"/>
        <v>0</v>
      </c>
      <c r="DC89" s="1578">
        <f t="shared" si="135"/>
        <v>0</v>
      </c>
      <c r="DD89" s="1578">
        <f t="shared" si="135"/>
        <v>0</v>
      </c>
      <c r="DE89" s="1578">
        <f t="shared" si="135"/>
        <v>0</v>
      </c>
      <c r="DF89" s="1578">
        <f t="shared" si="136"/>
        <v>0</v>
      </c>
      <c r="DG89" s="1420"/>
      <c r="DH89" s="1420"/>
    </row>
    <row r="90" spans="1:112" ht="12.75">
      <c r="A90" s="1587"/>
      <c r="B90" s="1628" t="s">
        <v>1542</v>
      </c>
      <c r="C90" s="1628"/>
      <c r="D90" s="1628"/>
      <c r="E90" s="1628"/>
      <c r="F90" s="1628"/>
      <c r="G90" s="1475"/>
      <c r="H90" s="1475"/>
      <c r="I90" s="1475"/>
      <c r="J90" s="1475"/>
      <c r="K90" s="1475"/>
      <c r="L90" s="1475"/>
      <c r="M90" s="1475"/>
      <c r="BD90" s="1449"/>
      <c r="BE90" s="1571" t="s">
        <v>1210</v>
      </c>
      <c r="BF90" s="1436">
        <v>23</v>
      </c>
      <c r="BG90" s="1436">
        <v>12</v>
      </c>
      <c r="BH90" s="1436">
        <v>5</v>
      </c>
      <c r="BI90" s="1495" t="b">
        <f t="shared" si="132"/>
        <v>1</v>
      </c>
      <c r="BJ90" s="1450" t="b">
        <f t="shared" si="91"/>
        <v>1</v>
      </c>
      <c r="BK90" s="1572">
        <f t="shared" si="92"/>
        <v>7.4285714285714288</v>
      </c>
      <c r="BL90" s="1581">
        <f>IF(SUM(BL$79:BL89,BK90)&gt;$BL$4,0,BK90)</f>
        <v>7.4285714285714288</v>
      </c>
      <c r="BM90" s="1436">
        <f t="shared" si="117"/>
        <v>0</v>
      </c>
      <c r="BN90" s="1495">
        <f t="shared" si="118"/>
        <v>0</v>
      </c>
      <c r="BO90" s="1437">
        <f t="shared" si="137"/>
        <v>0</v>
      </c>
      <c r="BP90" s="1574">
        <f t="shared" si="93"/>
        <v>0</v>
      </c>
      <c r="BQ90" s="1577">
        <f t="shared" si="94"/>
        <v>0</v>
      </c>
      <c r="BR90" s="1576">
        <f t="shared" si="119"/>
        <v>0</v>
      </c>
      <c r="BS90" s="1574">
        <f t="shared" si="95"/>
        <v>0</v>
      </c>
      <c r="BT90" s="1577">
        <f t="shared" si="96"/>
        <v>0</v>
      </c>
      <c r="BU90" s="1576">
        <f t="shared" si="120"/>
        <v>0</v>
      </c>
      <c r="BV90" s="1574">
        <f t="shared" si="97"/>
        <v>0</v>
      </c>
      <c r="BW90" s="1577">
        <f t="shared" si="98"/>
        <v>0</v>
      </c>
      <c r="BX90" s="1576">
        <f t="shared" si="121"/>
        <v>0</v>
      </c>
      <c r="BY90" s="1574">
        <f t="shared" si="99"/>
        <v>0</v>
      </c>
      <c r="BZ90" s="1577">
        <f t="shared" si="100"/>
        <v>0</v>
      </c>
      <c r="CA90" s="1576">
        <f t="shared" si="122"/>
        <v>0</v>
      </c>
      <c r="CB90" s="1495">
        <f t="shared" si="101"/>
        <v>0</v>
      </c>
      <c r="CC90" s="1577">
        <f t="shared" si="102"/>
        <v>0</v>
      </c>
      <c r="CD90" s="1576">
        <f t="shared" si="123"/>
        <v>0</v>
      </c>
      <c r="CE90" s="1495">
        <f t="shared" si="103"/>
        <v>0</v>
      </c>
      <c r="CF90" s="1577">
        <f t="shared" si="104"/>
        <v>0</v>
      </c>
      <c r="CG90" s="1576">
        <f t="shared" si="124"/>
        <v>0</v>
      </c>
      <c r="CH90" s="1495">
        <f t="shared" si="105"/>
        <v>0</v>
      </c>
      <c r="CI90" s="1577">
        <f t="shared" si="106"/>
        <v>0</v>
      </c>
      <c r="CJ90" s="1576">
        <f t="shared" si="125"/>
        <v>0</v>
      </c>
      <c r="CK90" s="1495">
        <f t="shared" si="107"/>
        <v>0</v>
      </c>
      <c r="CL90" s="1577">
        <f t="shared" si="108"/>
        <v>0</v>
      </c>
      <c r="CM90" s="1576">
        <f t="shared" si="126"/>
        <v>0</v>
      </c>
      <c r="CN90" s="1495">
        <f t="shared" si="109"/>
        <v>0</v>
      </c>
      <c r="CO90" s="1577">
        <f t="shared" si="110"/>
        <v>0</v>
      </c>
      <c r="CP90" s="1576">
        <f t="shared" si="127"/>
        <v>0</v>
      </c>
      <c r="CQ90" s="1495">
        <f t="shared" si="111"/>
        <v>0</v>
      </c>
      <c r="CR90" s="1577">
        <f t="shared" si="112"/>
        <v>0</v>
      </c>
      <c r="CS90" s="1576">
        <f t="shared" si="128"/>
        <v>0</v>
      </c>
      <c r="CT90" s="1495">
        <f t="shared" si="113"/>
        <v>0</v>
      </c>
      <c r="CU90" s="1577">
        <f t="shared" si="114"/>
        <v>0</v>
      </c>
      <c r="CV90" s="1576">
        <f t="shared" si="129"/>
        <v>0</v>
      </c>
      <c r="CW90" s="1495">
        <f t="shared" si="115"/>
        <v>0</v>
      </c>
      <c r="CX90" s="1577">
        <f t="shared" si="116"/>
        <v>0</v>
      </c>
      <c r="CY90" s="1576">
        <f t="shared" si="130"/>
        <v>0</v>
      </c>
      <c r="CZ90" s="1574">
        <f t="shared" si="131"/>
        <v>0</v>
      </c>
      <c r="DA90" s="1578">
        <f t="shared" si="133"/>
        <v>0</v>
      </c>
      <c r="DB90" s="1579">
        <f t="shared" si="134"/>
        <v>0</v>
      </c>
      <c r="DC90" s="1578">
        <f t="shared" si="135"/>
        <v>0</v>
      </c>
      <c r="DD90" s="1578">
        <f t="shared" si="135"/>
        <v>0</v>
      </c>
      <c r="DE90" s="1578">
        <f t="shared" si="135"/>
        <v>0</v>
      </c>
      <c r="DF90" s="1578">
        <f t="shared" si="136"/>
        <v>0</v>
      </c>
      <c r="DG90" s="1420"/>
      <c r="DH90" s="1420"/>
    </row>
    <row r="91" spans="1:112" ht="18" customHeight="1">
      <c r="A91" s="1636"/>
      <c r="B91" s="2532" t="s">
        <v>1662</v>
      </c>
      <c r="C91" s="2532"/>
      <c r="D91" s="2541"/>
      <c r="E91" s="2542" t="s">
        <v>1499</v>
      </c>
      <c r="F91" s="2543"/>
      <c r="G91" s="1676" t="s">
        <v>2209</v>
      </c>
      <c r="H91" s="1677"/>
      <c r="I91" s="1475"/>
      <c r="J91" s="1475"/>
      <c r="K91" s="1475"/>
      <c r="L91" s="1475"/>
      <c r="M91" s="1475"/>
      <c r="N91" s="1430" t="s">
        <v>2210</v>
      </c>
      <c r="BD91" s="1449"/>
      <c r="BE91" s="1571" t="s">
        <v>1210</v>
      </c>
      <c r="BF91" s="1436">
        <v>23</v>
      </c>
      <c r="BG91" s="1436">
        <v>13</v>
      </c>
      <c r="BH91" s="1436">
        <v>6</v>
      </c>
      <c r="BI91" s="1495" t="b">
        <f t="shared" si="132"/>
        <v>0</v>
      </c>
      <c r="BJ91" s="1450" t="b">
        <f t="shared" si="91"/>
        <v>0</v>
      </c>
      <c r="BK91" s="1572">
        <f t="shared" si="92"/>
        <v>0</v>
      </c>
      <c r="BL91" s="1581">
        <f>IF(SUM(BL$79:BL90,BK91)&gt;$BL$4,0,BK91)</f>
        <v>0</v>
      </c>
      <c r="BM91" s="1436">
        <f t="shared" si="117"/>
        <v>0</v>
      </c>
      <c r="BN91" s="1495">
        <f t="shared" si="118"/>
        <v>0</v>
      </c>
      <c r="BO91" s="1437">
        <f t="shared" si="137"/>
        <v>0</v>
      </c>
      <c r="BP91" s="1574">
        <f t="shared" si="93"/>
        <v>0</v>
      </c>
      <c r="BQ91" s="1577">
        <f t="shared" si="94"/>
        <v>0</v>
      </c>
      <c r="BR91" s="1576">
        <f t="shared" si="119"/>
        <v>0</v>
      </c>
      <c r="BS91" s="1574">
        <f t="shared" si="95"/>
        <v>0</v>
      </c>
      <c r="BT91" s="1577">
        <f t="shared" si="96"/>
        <v>0</v>
      </c>
      <c r="BU91" s="1576">
        <f t="shared" si="120"/>
        <v>0</v>
      </c>
      <c r="BV91" s="1574">
        <f t="shared" si="97"/>
        <v>0</v>
      </c>
      <c r="BW91" s="1577">
        <f t="shared" si="98"/>
        <v>0</v>
      </c>
      <c r="BX91" s="1576">
        <f t="shared" si="121"/>
        <v>0</v>
      </c>
      <c r="BY91" s="1574">
        <f t="shared" si="99"/>
        <v>0</v>
      </c>
      <c r="BZ91" s="1577">
        <f t="shared" si="100"/>
        <v>0</v>
      </c>
      <c r="CA91" s="1576">
        <f t="shared" si="122"/>
        <v>0</v>
      </c>
      <c r="CB91" s="1495">
        <f t="shared" si="101"/>
        <v>0</v>
      </c>
      <c r="CC91" s="1577">
        <f t="shared" si="102"/>
        <v>0</v>
      </c>
      <c r="CD91" s="1576">
        <f t="shared" si="123"/>
        <v>0</v>
      </c>
      <c r="CE91" s="1495">
        <f t="shared" si="103"/>
        <v>0</v>
      </c>
      <c r="CF91" s="1577">
        <f t="shared" si="104"/>
        <v>0</v>
      </c>
      <c r="CG91" s="1576">
        <f t="shared" si="124"/>
        <v>0</v>
      </c>
      <c r="CH91" s="1495">
        <f t="shared" si="105"/>
        <v>0</v>
      </c>
      <c r="CI91" s="1577">
        <f t="shared" si="106"/>
        <v>0</v>
      </c>
      <c r="CJ91" s="1576">
        <f t="shared" si="125"/>
        <v>0</v>
      </c>
      <c r="CK91" s="1495">
        <f t="shared" si="107"/>
        <v>0</v>
      </c>
      <c r="CL91" s="1577">
        <f t="shared" si="108"/>
        <v>0</v>
      </c>
      <c r="CM91" s="1576">
        <f t="shared" si="126"/>
        <v>0</v>
      </c>
      <c r="CN91" s="1495">
        <f t="shared" si="109"/>
        <v>0</v>
      </c>
      <c r="CO91" s="1577">
        <f t="shared" si="110"/>
        <v>0</v>
      </c>
      <c r="CP91" s="1576">
        <f t="shared" si="127"/>
        <v>0</v>
      </c>
      <c r="CQ91" s="1495">
        <f t="shared" si="111"/>
        <v>0</v>
      </c>
      <c r="CR91" s="1577">
        <f t="shared" si="112"/>
        <v>0</v>
      </c>
      <c r="CS91" s="1576">
        <f t="shared" si="128"/>
        <v>0</v>
      </c>
      <c r="CT91" s="1495">
        <f t="shared" si="113"/>
        <v>0</v>
      </c>
      <c r="CU91" s="1577">
        <f t="shared" si="114"/>
        <v>0</v>
      </c>
      <c r="CV91" s="1576">
        <f t="shared" si="129"/>
        <v>0</v>
      </c>
      <c r="CW91" s="1495">
        <f t="shared" si="115"/>
        <v>0</v>
      </c>
      <c r="CX91" s="1577">
        <f t="shared" si="116"/>
        <v>0</v>
      </c>
      <c r="CY91" s="1576">
        <f t="shared" si="130"/>
        <v>0</v>
      </c>
      <c r="CZ91" s="1574">
        <f t="shared" si="131"/>
        <v>0</v>
      </c>
      <c r="DA91" s="1578">
        <f t="shared" si="133"/>
        <v>0</v>
      </c>
      <c r="DB91" s="1579">
        <f t="shared" si="134"/>
        <v>0</v>
      </c>
      <c r="DC91" s="1578">
        <f t="shared" si="135"/>
        <v>0</v>
      </c>
      <c r="DD91" s="1578">
        <f t="shared" si="135"/>
        <v>0</v>
      </c>
      <c r="DE91" s="1578">
        <f t="shared" si="135"/>
        <v>0</v>
      </c>
      <c r="DF91" s="1578">
        <f t="shared" si="136"/>
        <v>0</v>
      </c>
      <c r="DG91" s="1420"/>
      <c r="DH91" s="1420"/>
    </row>
    <row r="92" spans="1:112" ht="12" customHeight="1">
      <c r="B92" s="2532" t="s">
        <v>515</v>
      </c>
      <c r="C92" s="2532"/>
      <c r="D92" s="2532"/>
      <c r="E92" s="1596" t="s">
        <v>1652</v>
      </c>
      <c r="F92" s="1596" t="s">
        <v>1608</v>
      </c>
      <c r="G92" s="1676"/>
      <c r="I92" s="1475"/>
      <c r="J92" s="1475"/>
      <c r="K92" s="1475"/>
      <c r="L92" s="1475"/>
      <c r="M92" s="1475"/>
      <c r="N92" s="1430" t="b">
        <f>(AND(SUM(G13:G27)&gt;0,E91=DJ72,(SUM(E93:F95)&gt;0)))</f>
        <v>0</v>
      </c>
      <c r="BD92" s="1449"/>
      <c r="BE92" s="1571" t="s">
        <v>1210</v>
      </c>
      <c r="BF92" s="1436">
        <v>23</v>
      </c>
      <c r="BG92" s="1436">
        <v>14</v>
      </c>
      <c r="BH92" s="1436">
        <v>7</v>
      </c>
      <c r="BI92" s="1495" t="b">
        <f t="shared" si="132"/>
        <v>0</v>
      </c>
      <c r="BJ92" s="1450" t="b">
        <f t="shared" si="91"/>
        <v>0</v>
      </c>
      <c r="BK92" s="1572">
        <f t="shared" si="92"/>
        <v>0</v>
      </c>
      <c r="BL92" s="1581">
        <f>IF(SUM(BL$79:BL91,BK92)&gt;$BL$4,0,BK92)</f>
        <v>0</v>
      </c>
      <c r="BM92" s="1436">
        <f t="shared" si="117"/>
        <v>0</v>
      </c>
      <c r="BN92" s="1495">
        <f t="shared" si="118"/>
        <v>0</v>
      </c>
      <c r="BO92" s="1437">
        <f t="shared" si="137"/>
        <v>0</v>
      </c>
      <c r="BP92" s="1574">
        <f t="shared" si="93"/>
        <v>0</v>
      </c>
      <c r="BQ92" s="1577">
        <f t="shared" si="94"/>
        <v>0</v>
      </c>
      <c r="BR92" s="1576">
        <f t="shared" si="119"/>
        <v>0</v>
      </c>
      <c r="BS92" s="1574">
        <f t="shared" si="95"/>
        <v>0</v>
      </c>
      <c r="BT92" s="1577">
        <f t="shared" si="96"/>
        <v>0</v>
      </c>
      <c r="BU92" s="1576">
        <f t="shared" si="120"/>
        <v>0</v>
      </c>
      <c r="BV92" s="1574">
        <f t="shared" si="97"/>
        <v>0</v>
      </c>
      <c r="BW92" s="1577">
        <f t="shared" si="98"/>
        <v>0</v>
      </c>
      <c r="BX92" s="1576">
        <f t="shared" si="121"/>
        <v>0</v>
      </c>
      <c r="BY92" s="1574">
        <f t="shared" si="99"/>
        <v>0</v>
      </c>
      <c r="BZ92" s="1577">
        <f t="shared" si="100"/>
        <v>0</v>
      </c>
      <c r="CA92" s="1576">
        <f t="shared" si="122"/>
        <v>0</v>
      </c>
      <c r="CB92" s="1495">
        <f t="shared" si="101"/>
        <v>0</v>
      </c>
      <c r="CC92" s="1577">
        <f t="shared" si="102"/>
        <v>0</v>
      </c>
      <c r="CD92" s="1576">
        <f t="shared" si="123"/>
        <v>0</v>
      </c>
      <c r="CE92" s="1495">
        <f t="shared" si="103"/>
        <v>0</v>
      </c>
      <c r="CF92" s="1577">
        <f t="shared" si="104"/>
        <v>0</v>
      </c>
      <c r="CG92" s="1576">
        <f t="shared" si="124"/>
        <v>0</v>
      </c>
      <c r="CH92" s="1495">
        <f t="shared" si="105"/>
        <v>0</v>
      </c>
      <c r="CI92" s="1577">
        <f t="shared" si="106"/>
        <v>0</v>
      </c>
      <c r="CJ92" s="1576">
        <f t="shared" si="125"/>
        <v>0</v>
      </c>
      <c r="CK92" s="1495">
        <f t="shared" si="107"/>
        <v>0</v>
      </c>
      <c r="CL92" s="1577">
        <f t="shared" si="108"/>
        <v>0</v>
      </c>
      <c r="CM92" s="1576">
        <f t="shared" si="126"/>
        <v>0</v>
      </c>
      <c r="CN92" s="1495">
        <f t="shared" si="109"/>
        <v>0</v>
      </c>
      <c r="CO92" s="1577">
        <f t="shared" si="110"/>
        <v>0</v>
      </c>
      <c r="CP92" s="1576">
        <f t="shared" si="127"/>
        <v>0</v>
      </c>
      <c r="CQ92" s="1495">
        <f t="shared" si="111"/>
        <v>0</v>
      </c>
      <c r="CR92" s="1577">
        <f t="shared" si="112"/>
        <v>0</v>
      </c>
      <c r="CS92" s="1576">
        <f t="shared" si="128"/>
        <v>0</v>
      </c>
      <c r="CT92" s="1495">
        <f t="shared" si="113"/>
        <v>0</v>
      </c>
      <c r="CU92" s="1577">
        <f t="shared" si="114"/>
        <v>0</v>
      </c>
      <c r="CV92" s="1576">
        <f t="shared" si="129"/>
        <v>0</v>
      </c>
      <c r="CW92" s="1495">
        <f t="shared" si="115"/>
        <v>0</v>
      </c>
      <c r="CX92" s="1577">
        <f t="shared" si="116"/>
        <v>0</v>
      </c>
      <c r="CY92" s="1576">
        <f t="shared" si="130"/>
        <v>0</v>
      </c>
      <c r="CZ92" s="1574">
        <f t="shared" si="131"/>
        <v>0</v>
      </c>
      <c r="DA92" s="1578">
        <f t="shared" si="133"/>
        <v>0</v>
      </c>
      <c r="DB92" s="1579">
        <f t="shared" si="134"/>
        <v>0</v>
      </c>
      <c r="DC92" s="1578">
        <f t="shared" si="135"/>
        <v>0</v>
      </c>
      <c r="DD92" s="1578">
        <f t="shared" si="135"/>
        <v>0</v>
      </c>
      <c r="DE92" s="1578">
        <f t="shared" si="135"/>
        <v>0</v>
      </c>
      <c r="DF92" s="1578">
        <f t="shared" si="136"/>
        <v>0</v>
      </c>
      <c r="DG92" s="1420"/>
      <c r="DH92" s="1420"/>
    </row>
    <row r="93" spans="1:112" ht="15" customHeight="1">
      <c r="A93" s="1678"/>
      <c r="B93" s="2533" t="s">
        <v>1663</v>
      </c>
      <c r="C93" s="2534"/>
      <c r="D93" s="2535"/>
      <c r="E93" s="1679"/>
      <c r="F93" s="1672"/>
      <c r="G93" s="2536" t="s">
        <v>2211</v>
      </c>
      <c r="H93" s="2536"/>
      <c r="I93" s="2536"/>
      <c r="M93" s="1475"/>
      <c r="N93" s="1430" t="s">
        <v>2212</v>
      </c>
      <c r="BD93" s="1449"/>
      <c r="BE93" s="1571" t="s">
        <v>1210</v>
      </c>
      <c r="BF93" s="1436">
        <v>23</v>
      </c>
      <c r="BG93" s="1436">
        <v>15</v>
      </c>
      <c r="BH93" s="1436">
        <v>1</v>
      </c>
      <c r="BI93" s="1495" t="b">
        <f t="shared" si="132"/>
        <v>1</v>
      </c>
      <c r="BJ93" s="1450" t="b">
        <f t="shared" si="91"/>
        <v>0</v>
      </c>
      <c r="BK93" s="1572">
        <f t="shared" si="92"/>
        <v>0</v>
      </c>
      <c r="BL93" s="1581">
        <f>IF(SUM(BL$79:BL92,BK93)&gt;$BL$4,0,BK93)</f>
        <v>0</v>
      </c>
      <c r="BM93" s="1436">
        <f t="shared" si="117"/>
        <v>0</v>
      </c>
      <c r="BN93" s="1495">
        <f t="shared" si="118"/>
        <v>0</v>
      </c>
      <c r="BO93" s="1437">
        <f t="shared" si="137"/>
        <v>0</v>
      </c>
      <c r="BP93" s="1574">
        <f t="shared" si="93"/>
        <v>0</v>
      </c>
      <c r="BQ93" s="1577">
        <f t="shared" si="94"/>
        <v>0</v>
      </c>
      <c r="BR93" s="1576">
        <f t="shared" si="119"/>
        <v>0</v>
      </c>
      <c r="BS93" s="1574">
        <f t="shared" si="95"/>
        <v>0</v>
      </c>
      <c r="BT93" s="1577">
        <f t="shared" si="96"/>
        <v>0</v>
      </c>
      <c r="BU93" s="1576">
        <f t="shared" si="120"/>
        <v>0</v>
      </c>
      <c r="BV93" s="1574">
        <f t="shared" si="97"/>
        <v>0</v>
      </c>
      <c r="BW93" s="1577">
        <f t="shared" si="98"/>
        <v>0</v>
      </c>
      <c r="BX93" s="1576">
        <f t="shared" si="121"/>
        <v>0</v>
      </c>
      <c r="BY93" s="1574">
        <f t="shared" si="99"/>
        <v>0</v>
      </c>
      <c r="BZ93" s="1577">
        <f t="shared" si="100"/>
        <v>0</v>
      </c>
      <c r="CA93" s="1576">
        <f t="shared" si="122"/>
        <v>0</v>
      </c>
      <c r="CB93" s="1495">
        <f t="shared" si="101"/>
        <v>0</v>
      </c>
      <c r="CC93" s="1577">
        <f t="shared" si="102"/>
        <v>0</v>
      </c>
      <c r="CD93" s="1576">
        <f t="shared" si="123"/>
        <v>0</v>
      </c>
      <c r="CE93" s="1495">
        <f t="shared" si="103"/>
        <v>0</v>
      </c>
      <c r="CF93" s="1577">
        <f t="shared" si="104"/>
        <v>0</v>
      </c>
      <c r="CG93" s="1576">
        <f t="shared" si="124"/>
        <v>0</v>
      </c>
      <c r="CH93" s="1495">
        <f t="shared" si="105"/>
        <v>0</v>
      </c>
      <c r="CI93" s="1577">
        <f t="shared" si="106"/>
        <v>0</v>
      </c>
      <c r="CJ93" s="1576">
        <f t="shared" si="125"/>
        <v>0</v>
      </c>
      <c r="CK93" s="1495">
        <f t="shared" si="107"/>
        <v>0</v>
      </c>
      <c r="CL93" s="1577">
        <f t="shared" si="108"/>
        <v>0</v>
      </c>
      <c r="CM93" s="1576">
        <f t="shared" si="126"/>
        <v>0</v>
      </c>
      <c r="CN93" s="1495">
        <f t="shared" si="109"/>
        <v>0</v>
      </c>
      <c r="CO93" s="1577">
        <f t="shared" si="110"/>
        <v>0</v>
      </c>
      <c r="CP93" s="1576">
        <f t="shared" si="127"/>
        <v>0</v>
      </c>
      <c r="CQ93" s="1495">
        <f t="shared" si="111"/>
        <v>0</v>
      </c>
      <c r="CR93" s="1577">
        <f t="shared" si="112"/>
        <v>0</v>
      </c>
      <c r="CS93" s="1576">
        <f t="shared" si="128"/>
        <v>0</v>
      </c>
      <c r="CT93" s="1495">
        <f t="shared" si="113"/>
        <v>0</v>
      </c>
      <c r="CU93" s="1577">
        <f t="shared" si="114"/>
        <v>0</v>
      </c>
      <c r="CV93" s="1576">
        <f t="shared" si="129"/>
        <v>0</v>
      </c>
      <c r="CW93" s="1495">
        <f t="shared" si="115"/>
        <v>0</v>
      </c>
      <c r="CX93" s="1577">
        <f t="shared" si="116"/>
        <v>0</v>
      </c>
      <c r="CY93" s="1576">
        <f t="shared" si="130"/>
        <v>0</v>
      </c>
      <c r="CZ93" s="1574">
        <f t="shared" si="131"/>
        <v>0</v>
      </c>
      <c r="DA93" s="1578">
        <f t="shared" si="133"/>
        <v>0</v>
      </c>
      <c r="DB93" s="1579">
        <f t="shared" si="134"/>
        <v>0</v>
      </c>
      <c r="DC93" s="1578">
        <f t="shared" si="135"/>
        <v>0</v>
      </c>
      <c r="DD93" s="1578">
        <f t="shared" si="135"/>
        <v>0</v>
      </c>
      <c r="DE93" s="1578">
        <f t="shared" si="135"/>
        <v>0</v>
      </c>
      <c r="DF93" s="1578">
        <f t="shared" si="136"/>
        <v>0</v>
      </c>
      <c r="DG93" s="1420"/>
      <c r="DH93" s="1420"/>
    </row>
    <row r="94" spans="1:112">
      <c r="A94" s="1587"/>
      <c r="B94" s="2537" t="s">
        <v>1664</v>
      </c>
      <c r="C94" s="2538"/>
      <c r="D94" s="2539"/>
      <c r="E94" s="1507"/>
      <c r="F94" s="1662"/>
      <c r="G94" s="2536"/>
      <c r="H94" s="2536"/>
      <c r="I94" s="2536"/>
      <c r="M94" s="1475"/>
      <c r="N94" s="1430" t="b">
        <f>AND(SUM(E93:F95)&gt;0,SUM(G13:G27)=0)</f>
        <v>0</v>
      </c>
      <c r="BD94" s="1449"/>
      <c r="BE94" s="1571" t="s">
        <v>1210</v>
      </c>
      <c r="BF94" s="1436">
        <v>23</v>
      </c>
      <c r="BG94" s="1436">
        <v>16</v>
      </c>
      <c r="BH94" s="1436">
        <v>2</v>
      </c>
      <c r="BI94" s="1495" t="b">
        <f t="shared" si="132"/>
        <v>1</v>
      </c>
      <c r="BJ94" s="1450" t="b">
        <f t="shared" si="91"/>
        <v>1</v>
      </c>
      <c r="BK94" s="1572">
        <f t="shared" si="92"/>
        <v>7.4285714285714288</v>
      </c>
      <c r="BL94" s="1581">
        <f>IF(SUM(BL$79:BL93,BK94)&gt;$BL$4,0,BK94)</f>
        <v>7.4285714285714288</v>
      </c>
      <c r="BM94" s="1436">
        <f t="shared" si="117"/>
        <v>0</v>
      </c>
      <c r="BN94" s="1495">
        <f t="shared" si="118"/>
        <v>0</v>
      </c>
      <c r="BO94" s="1437">
        <f t="shared" si="137"/>
        <v>0</v>
      </c>
      <c r="BP94" s="1574">
        <f t="shared" si="93"/>
        <v>0</v>
      </c>
      <c r="BQ94" s="1577">
        <f t="shared" si="94"/>
        <v>0</v>
      </c>
      <c r="BR94" s="1576">
        <f t="shared" si="119"/>
        <v>0</v>
      </c>
      <c r="BS94" s="1574">
        <f t="shared" si="95"/>
        <v>0</v>
      </c>
      <c r="BT94" s="1577">
        <f t="shared" si="96"/>
        <v>0</v>
      </c>
      <c r="BU94" s="1576">
        <f t="shared" si="120"/>
        <v>0</v>
      </c>
      <c r="BV94" s="1574">
        <f t="shared" si="97"/>
        <v>0</v>
      </c>
      <c r="BW94" s="1577">
        <f t="shared" si="98"/>
        <v>0</v>
      </c>
      <c r="BX94" s="1576">
        <f t="shared" si="121"/>
        <v>0</v>
      </c>
      <c r="BY94" s="1574">
        <f t="shared" si="99"/>
        <v>0</v>
      </c>
      <c r="BZ94" s="1577">
        <f t="shared" si="100"/>
        <v>0</v>
      </c>
      <c r="CA94" s="1576">
        <f t="shared" si="122"/>
        <v>0</v>
      </c>
      <c r="CB94" s="1495">
        <f t="shared" si="101"/>
        <v>0</v>
      </c>
      <c r="CC94" s="1577">
        <f t="shared" si="102"/>
        <v>0</v>
      </c>
      <c r="CD94" s="1576">
        <f t="shared" si="123"/>
        <v>0</v>
      </c>
      <c r="CE94" s="1495">
        <f t="shared" si="103"/>
        <v>0</v>
      </c>
      <c r="CF94" s="1577">
        <f t="shared" si="104"/>
        <v>0</v>
      </c>
      <c r="CG94" s="1576">
        <f t="shared" si="124"/>
        <v>0</v>
      </c>
      <c r="CH94" s="1495">
        <f t="shared" si="105"/>
        <v>0</v>
      </c>
      <c r="CI94" s="1577">
        <f t="shared" si="106"/>
        <v>0</v>
      </c>
      <c r="CJ94" s="1576">
        <f t="shared" si="125"/>
        <v>0</v>
      </c>
      <c r="CK94" s="1495">
        <f t="shared" si="107"/>
        <v>0</v>
      </c>
      <c r="CL94" s="1577">
        <f t="shared" si="108"/>
        <v>0</v>
      </c>
      <c r="CM94" s="1576">
        <f t="shared" si="126"/>
        <v>0</v>
      </c>
      <c r="CN94" s="1495">
        <f t="shared" si="109"/>
        <v>0</v>
      </c>
      <c r="CO94" s="1577">
        <f t="shared" si="110"/>
        <v>0</v>
      </c>
      <c r="CP94" s="1576">
        <f t="shared" si="127"/>
        <v>0</v>
      </c>
      <c r="CQ94" s="1495">
        <f t="shared" si="111"/>
        <v>0</v>
      </c>
      <c r="CR94" s="1577">
        <f t="shared" si="112"/>
        <v>0</v>
      </c>
      <c r="CS94" s="1576">
        <f t="shared" si="128"/>
        <v>0</v>
      </c>
      <c r="CT94" s="1495">
        <f t="shared" si="113"/>
        <v>0</v>
      </c>
      <c r="CU94" s="1577">
        <f t="shared" si="114"/>
        <v>0</v>
      </c>
      <c r="CV94" s="1576">
        <f t="shared" si="129"/>
        <v>0</v>
      </c>
      <c r="CW94" s="1495">
        <f t="shared" si="115"/>
        <v>0</v>
      </c>
      <c r="CX94" s="1577">
        <f t="shared" si="116"/>
        <v>0</v>
      </c>
      <c r="CY94" s="1576">
        <f t="shared" si="130"/>
        <v>0</v>
      </c>
      <c r="CZ94" s="1574">
        <f t="shared" si="131"/>
        <v>0</v>
      </c>
      <c r="DA94" s="1578">
        <f t="shared" si="133"/>
        <v>0</v>
      </c>
      <c r="DB94" s="1579">
        <f t="shared" si="134"/>
        <v>0</v>
      </c>
      <c r="DC94" s="1578">
        <f t="shared" si="135"/>
        <v>0</v>
      </c>
      <c r="DD94" s="1578">
        <f t="shared" si="135"/>
        <v>0</v>
      </c>
      <c r="DE94" s="1578">
        <f t="shared" si="135"/>
        <v>0</v>
      </c>
      <c r="DF94" s="1578">
        <f t="shared" si="136"/>
        <v>0</v>
      </c>
      <c r="DG94" s="1420"/>
      <c r="DH94" s="1420"/>
    </row>
    <row r="95" spans="1:112">
      <c r="A95" s="1528"/>
      <c r="B95" s="2537" t="s">
        <v>1665</v>
      </c>
      <c r="C95" s="2538"/>
      <c r="D95" s="2539"/>
      <c r="E95" s="1507"/>
      <c r="F95" s="1662"/>
      <c r="G95" s="2536"/>
      <c r="H95" s="2536"/>
      <c r="I95" s="2536"/>
      <c r="M95" s="1475"/>
      <c r="BD95" s="1449"/>
      <c r="BE95" s="1571" t="s">
        <v>1210</v>
      </c>
      <c r="BF95" s="1436">
        <v>23</v>
      </c>
      <c r="BG95" s="1436">
        <v>17</v>
      </c>
      <c r="BH95" s="1436">
        <v>3</v>
      </c>
      <c r="BI95" s="1495" t="b">
        <f t="shared" si="132"/>
        <v>1</v>
      </c>
      <c r="BJ95" s="1450" t="b">
        <f t="shared" si="91"/>
        <v>0</v>
      </c>
      <c r="BK95" s="1572">
        <f t="shared" si="92"/>
        <v>0</v>
      </c>
      <c r="BL95" s="1581">
        <f>IF(SUM(BL$79:BL94,BK95)&gt;$BL$4,0,BK95)</f>
        <v>0</v>
      </c>
      <c r="BM95" s="1436">
        <f t="shared" si="117"/>
        <v>0</v>
      </c>
      <c r="BN95" s="1495">
        <f t="shared" si="118"/>
        <v>0</v>
      </c>
      <c r="BO95" s="1437">
        <f t="shared" si="137"/>
        <v>0</v>
      </c>
      <c r="BP95" s="1574">
        <f t="shared" si="93"/>
        <v>0</v>
      </c>
      <c r="BQ95" s="1577">
        <f t="shared" si="94"/>
        <v>0</v>
      </c>
      <c r="BR95" s="1576">
        <f t="shared" si="119"/>
        <v>0</v>
      </c>
      <c r="BS95" s="1574">
        <f t="shared" si="95"/>
        <v>0</v>
      </c>
      <c r="BT95" s="1577">
        <f t="shared" si="96"/>
        <v>0</v>
      </c>
      <c r="BU95" s="1576">
        <f t="shared" si="120"/>
        <v>0</v>
      </c>
      <c r="BV95" s="1574">
        <f t="shared" si="97"/>
        <v>0</v>
      </c>
      <c r="BW95" s="1577">
        <f t="shared" si="98"/>
        <v>0</v>
      </c>
      <c r="BX95" s="1576">
        <f t="shared" si="121"/>
        <v>0</v>
      </c>
      <c r="BY95" s="1574">
        <f t="shared" si="99"/>
        <v>0</v>
      </c>
      <c r="BZ95" s="1577">
        <f t="shared" si="100"/>
        <v>0</v>
      </c>
      <c r="CA95" s="1576">
        <f t="shared" si="122"/>
        <v>0</v>
      </c>
      <c r="CB95" s="1495">
        <f t="shared" si="101"/>
        <v>0</v>
      </c>
      <c r="CC95" s="1577">
        <f t="shared" si="102"/>
        <v>0</v>
      </c>
      <c r="CD95" s="1576">
        <f t="shared" si="123"/>
        <v>0</v>
      </c>
      <c r="CE95" s="1495">
        <f t="shared" si="103"/>
        <v>0</v>
      </c>
      <c r="CF95" s="1577">
        <f t="shared" si="104"/>
        <v>0</v>
      </c>
      <c r="CG95" s="1576">
        <f t="shared" si="124"/>
        <v>0</v>
      </c>
      <c r="CH95" s="1495">
        <f t="shared" si="105"/>
        <v>0</v>
      </c>
      <c r="CI95" s="1577">
        <f t="shared" si="106"/>
        <v>0</v>
      </c>
      <c r="CJ95" s="1576">
        <f t="shared" si="125"/>
        <v>0</v>
      </c>
      <c r="CK95" s="1495">
        <f t="shared" si="107"/>
        <v>0</v>
      </c>
      <c r="CL95" s="1577">
        <f t="shared" si="108"/>
        <v>0</v>
      </c>
      <c r="CM95" s="1576">
        <f t="shared" si="126"/>
        <v>0</v>
      </c>
      <c r="CN95" s="1495">
        <f t="shared" si="109"/>
        <v>0</v>
      </c>
      <c r="CO95" s="1577">
        <f t="shared" si="110"/>
        <v>0</v>
      </c>
      <c r="CP95" s="1576">
        <f t="shared" si="127"/>
        <v>0</v>
      </c>
      <c r="CQ95" s="1495">
        <f t="shared" si="111"/>
        <v>0</v>
      </c>
      <c r="CR95" s="1577">
        <f t="shared" si="112"/>
        <v>0</v>
      </c>
      <c r="CS95" s="1576">
        <f t="shared" si="128"/>
        <v>0</v>
      </c>
      <c r="CT95" s="1495">
        <f t="shared" si="113"/>
        <v>0</v>
      </c>
      <c r="CU95" s="1577">
        <f t="shared" si="114"/>
        <v>0</v>
      </c>
      <c r="CV95" s="1576">
        <f t="shared" si="129"/>
        <v>0</v>
      </c>
      <c r="CW95" s="1495">
        <f t="shared" si="115"/>
        <v>0</v>
      </c>
      <c r="CX95" s="1577">
        <f t="shared" si="116"/>
        <v>0</v>
      </c>
      <c r="CY95" s="1576">
        <f t="shared" si="130"/>
        <v>0</v>
      </c>
      <c r="CZ95" s="1574">
        <f t="shared" si="131"/>
        <v>0</v>
      </c>
      <c r="DA95" s="1578">
        <f t="shared" si="133"/>
        <v>0</v>
      </c>
      <c r="DB95" s="1579">
        <f t="shared" si="134"/>
        <v>0</v>
      </c>
      <c r="DC95" s="1578">
        <f t="shared" si="135"/>
        <v>0</v>
      </c>
      <c r="DD95" s="1578">
        <f t="shared" si="135"/>
        <v>0</v>
      </c>
      <c r="DE95" s="1578">
        <f t="shared" si="135"/>
        <v>0</v>
      </c>
      <c r="DF95" s="1578">
        <f t="shared" si="136"/>
        <v>0</v>
      </c>
      <c r="DG95" s="1420"/>
      <c r="DH95" s="1420"/>
    </row>
    <row r="96" spans="1:112" ht="12" customHeight="1">
      <c r="A96" s="1528"/>
      <c r="B96" s="2540" t="str">
        <f>IF(F96&lt;&gt;1,$N$61,"")</f>
        <v>Please complete for 100% of fittings</v>
      </c>
      <c r="C96" s="2540"/>
      <c r="D96" s="2540"/>
      <c r="E96" s="2540"/>
      <c r="F96" s="1674">
        <f>SUM(F93:F95)</f>
        <v>0</v>
      </c>
      <c r="G96" s="1475"/>
      <c r="H96" s="1475"/>
      <c r="I96" s="1475"/>
      <c r="J96" s="1475"/>
      <c r="K96" s="1475"/>
      <c r="L96" s="1475"/>
      <c r="M96" s="1475"/>
      <c r="BD96" s="1449"/>
      <c r="BE96" s="1571" t="s">
        <v>1210</v>
      </c>
      <c r="BF96" s="1436">
        <v>23</v>
      </c>
      <c r="BG96" s="1436">
        <v>18</v>
      </c>
      <c r="BH96" s="1436">
        <v>4</v>
      </c>
      <c r="BI96" s="1495" t="b">
        <f t="shared" si="132"/>
        <v>1</v>
      </c>
      <c r="BJ96" s="1450" t="b">
        <f t="shared" si="91"/>
        <v>0</v>
      </c>
      <c r="BK96" s="1572">
        <f t="shared" si="92"/>
        <v>0</v>
      </c>
      <c r="BL96" s="1581">
        <f>IF(SUM(BL$79:BL95,BK96)&gt;$BL$4,0,BK96)</f>
        <v>0</v>
      </c>
      <c r="BM96" s="1436">
        <f t="shared" si="117"/>
        <v>0</v>
      </c>
      <c r="BN96" s="1495">
        <f t="shared" si="118"/>
        <v>0</v>
      </c>
      <c r="BO96" s="1437">
        <f t="shared" si="137"/>
        <v>0</v>
      </c>
      <c r="BP96" s="1574">
        <f t="shared" si="93"/>
        <v>0</v>
      </c>
      <c r="BQ96" s="1577">
        <f t="shared" si="94"/>
        <v>0</v>
      </c>
      <c r="BR96" s="1576">
        <f t="shared" si="119"/>
        <v>0</v>
      </c>
      <c r="BS96" s="1574">
        <f t="shared" si="95"/>
        <v>0</v>
      </c>
      <c r="BT96" s="1577">
        <f t="shared" si="96"/>
        <v>0</v>
      </c>
      <c r="BU96" s="1576">
        <f t="shared" si="120"/>
        <v>0</v>
      </c>
      <c r="BV96" s="1574">
        <f t="shared" si="97"/>
        <v>0</v>
      </c>
      <c r="BW96" s="1577">
        <f t="shared" si="98"/>
        <v>0</v>
      </c>
      <c r="BX96" s="1576">
        <f t="shared" si="121"/>
        <v>0</v>
      </c>
      <c r="BY96" s="1574">
        <f t="shared" si="99"/>
        <v>0</v>
      </c>
      <c r="BZ96" s="1577">
        <f t="shared" si="100"/>
        <v>0</v>
      </c>
      <c r="CA96" s="1576">
        <f t="shared" si="122"/>
        <v>0</v>
      </c>
      <c r="CB96" s="1495">
        <f t="shared" si="101"/>
        <v>0</v>
      </c>
      <c r="CC96" s="1577">
        <f t="shared" si="102"/>
        <v>0</v>
      </c>
      <c r="CD96" s="1576">
        <f t="shared" si="123"/>
        <v>0</v>
      </c>
      <c r="CE96" s="1495">
        <f t="shared" si="103"/>
        <v>0</v>
      </c>
      <c r="CF96" s="1577">
        <f t="shared" si="104"/>
        <v>0</v>
      </c>
      <c r="CG96" s="1576">
        <f t="shared" si="124"/>
        <v>0</v>
      </c>
      <c r="CH96" s="1495">
        <f t="shared" si="105"/>
        <v>0</v>
      </c>
      <c r="CI96" s="1577">
        <f t="shared" si="106"/>
        <v>0</v>
      </c>
      <c r="CJ96" s="1576">
        <f t="shared" si="125"/>
        <v>0</v>
      </c>
      <c r="CK96" s="1495">
        <f t="shared" si="107"/>
        <v>0</v>
      </c>
      <c r="CL96" s="1577">
        <f t="shared" si="108"/>
        <v>0</v>
      </c>
      <c r="CM96" s="1576">
        <f t="shared" si="126"/>
        <v>0</v>
      </c>
      <c r="CN96" s="1495">
        <f t="shared" si="109"/>
        <v>0</v>
      </c>
      <c r="CO96" s="1577">
        <f t="shared" si="110"/>
        <v>0</v>
      </c>
      <c r="CP96" s="1576">
        <f t="shared" si="127"/>
        <v>0</v>
      </c>
      <c r="CQ96" s="1495">
        <f t="shared" si="111"/>
        <v>0</v>
      </c>
      <c r="CR96" s="1577">
        <f t="shared" si="112"/>
        <v>0</v>
      </c>
      <c r="CS96" s="1576">
        <f t="shared" si="128"/>
        <v>0</v>
      </c>
      <c r="CT96" s="1495">
        <f t="shared" si="113"/>
        <v>0</v>
      </c>
      <c r="CU96" s="1577">
        <f t="shared" si="114"/>
        <v>0</v>
      </c>
      <c r="CV96" s="1576">
        <f t="shared" si="129"/>
        <v>0</v>
      </c>
      <c r="CW96" s="1495">
        <f t="shared" si="115"/>
        <v>0</v>
      </c>
      <c r="CX96" s="1577">
        <f t="shared" si="116"/>
        <v>0</v>
      </c>
      <c r="CY96" s="1576">
        <f t="shared" si="130"/>
        <v>0</v>
      </c>
      <c r="CZ96" s="1574">
        <f t="shared" si="131"/>
        <v>0</v>
      </c>
      <c r="DA96" s="1578">
        <f t="shared" si="133"/>
        <v>0</v>
      </c>
      <c r="DB96" s="1579">
        <f t="shared" si="134"/>
        <v>0</v>
      </c>
      <c r="DC96" s="1578">
        <f t="shared" si="135"/>
        <v>0</v>
      </c>
      <c r="DD96" s="1578">
        <f t="shared" si="135"/>
        <v>0</v>
      </c>
      <c r="DE96" s="1578">
        <f t="shared" si="135"/>
        <v>0</v>
      </c>
      <c r="DF96" s="1578">
        <f t="shared" si="136"/>
        <v>0</v>
      </c>
      <c r="DG96" s="1420"/>
      <c r="DH96" s="1420"/>
    </row>
    <row r="97" spans="1:112" ht="12">
      <c r="A97" s="1528"/>
      <c r="B97" s="2525" t="s">
        <v>1965</v>
      </c>
      <c r="C97" s="2525"/>
      <c r="D97" s="2525"/>
      <c r="E97" s="2525"/>
      <c r="F97" s="1654">
        <f>W63</f>
        <v>0</v>
      </c>
      <c r="G97" s="1475"/>
      <c r="H97" s="1475"/>
      <c r="I97" s="1475"/>
      <c r="J97" s="1475"/>
      <c r="K97" s="1475"/>
      <c r="L97" s="1475"/>
      <c r="M97" s="1475"/>
      <c r="BD97" s="1449"/>
      <c r="BE97" s="1571" t="s">
        <v>1210</v>
      </c>
      <c r="BF97" s="1436">
        <v>23</v>
      </c>
      <c r="BG97" s="1436">
        <v>19</v>
      </c>
      <c r="BH97" s="1436">
        <v>5</v>
      </c>
      <c r="BI97" s="1495" t="b">
        <f t="shared" si="132"/>
        <v>1</v>
      </c>
      <c r="BJ97" s="1450" t="b">
        <f t="shared" si="91"/>
        <v>0</v>
      </c>
      <c r="BK97" s="1572">
        <f t="shared" si="92"/>
        <v>0</v>
      </c>
      <c r="BL97" s="1581">
        <f>IF(SUM(BL$79:BL96,BK97)&gt;$BL$4,0,BK97)</f>
        <v>0</v>
      </c>
      <c r="BM97" s="1436">
        <f t="shared" si="117"/>
        <v>0</v>
      </c>
      <c r="BN97" s="1495">
        <f t="shared" si="118"/>
        <v>0</v>
      </c>
      <c r="BO97" s="1437">
        <f t="shared" si="137"/>
        <v>0</v>
      </c>
      <c r="BP97" s="1574">
        <f t="shared" si="93"/>
        <v>0</v>
      </c>
      <c r="BQ97" s="1577">
        <f t="shared" si="94"/>
        <v>0</v>
      </c>
      <c r="BR97" s="1576">
        <f t="shared" si="119"/>
        <v>0</v>
      </c>
      <c r="BS97" s="1574">
        <f t="shared" si="95"/>
        <v>0</v>
      </c>
      <c r="BT97" s="1577">
        <f t="shared" si="96"/>
        <v>0</v>
      </c>
      <c r="BU97" s="1576">
        <f t="shared" si="120"/>
        <v>0</v>
      </c>
      <c r="BV97" s="1574">
        <f t="shared" si="97"/>
        <v>0</v>
      </c>
      <c r="BW97" s="1577">
        <f t="shared" si="98"/>
        <v>0</v>
      </c>
      <c r="BX97" s="1576">
        <f t="shared" si="121"/>
        <v>0</v>
      </c>
      <c r="BY97" s="1574">
        <f t="shared" si="99"/>
        <v>0</v>
      </c>
      <c r="BZ97" s="1577">
        <f t="shared" si="100"/>
        <v>0</v>
      </c>
      <c r="CA97" s="1576">
        <f t="shared" si="122"/>
        <v>0</v>
      </c>
      <c r="CB97" s="1495">
        <f t="shared" si="101"/>
        <v>0</v>
      </c>
      <c r="CC97" s="1577">
        <f t="shared" si="102"/>
        <v>0</v>
      </c>
      <c r="CD97" s="1576">
        <f t="shared" si="123"/>
        <v>0</v>
      </c>
      <c r="CE97" s="1495">
        <f t="shared" si="103"/>
        <v>0</v>
      </c>
      <c r="CF97" s="1577">
        <f t="shared" si="104"/>
        <v>0</v>
      </c>
      <c r="CG97" s="1576">
        <f t="shared" si="124"/>
        <v>0</v>
      </c>
      <c r="CH97" s="1495">
        <f t="shared" si="105"/>
        <v>0</v>
      </c>
      <c r="CI97" s="1577">
        <f t="shared" si="106"/>
        <v>0</v>
      </c>
      <c r="CJ97" s="1576">
        <f t="shared" si="125"/>
        <v>0</v>
      </c>
      <c r="CK97" s="1495">
        <f t="shared" si="107"/>
        <v>0</v>
      </c>
      <c r="CL97" s="1577">
        <f t="shared" si="108"/>
        <v>0</v>
      </c>
      <c r="CM97" s="1576">
        <f t="shared" si="126"/>
        <v>0</v>
      </c>
      <c r="CN97" s="1495">
        <f t="shared" si="109"/>
        <v>0</v>
      </c>
      <c r="CO97" s="1577">
        <f t="shared" si="110"/>
        <v>0</v>
      </c>
      <c r="CP97" s="1576">
        <f t="shared" si="127"/>
        <v>0</v>
      </c>
      <c r="CQ97" s="1495">
        <f t="shared" si="111"/>
        <v>0</v>
      </c>
      <c r="CR97" s="1577">
        <f t="shared" si="112"/>
        <v>0</v>
      </c>
      <c r="CS97" s="1576">
        <f t="shared" si="128"/>
        <v>0</v>
      </c>
      <c r="CT97" s="1495">
        <f t="shared" si="113"/>
        <v>0</v>
      </c>
      <c r="CU97" s="1577">
        <f t="shared" si="114"/>
        <v>0</v>
      </c>
      <c r="CV97" s="1576">
        <f t="shared" si="129"/>
        <v>0</v>
      </c>
      <c r="CW97" s="1495">
        <f t="shared" si="115"/>
        <v>0</v>
      </c>
      <c r="CX97" s="1577">
        <f t="shared" si="116"/>
        <v>0</v>
      </c>
      <c r="CY97" s="1576">
        <f t="shared" si="130"/>
        <v>0</v>
      </c>
      <c r="CZ97" s="1574">
        <f t="shared" si="131"/>
        <v>0</v>
      </c>
      <c r="DA97" s="1578">
        <f t="shared" si="133"/>
        <v>0</v>
      </c>
      <c r="DB97" s="1579">
        <f t="shared" si="134"/>
        <v>0</v>
      </c>
      <c r="DC97" s="1578">
        <f t="shared" si="135"/>
        <v>0</v>
      </c>
      <c r="DD97" s="1578">
        <f t="shared" si="135"/>
        <v>0</v>
      </c>
      <c r="DE97" s="1578">
        <f t="shared" si="135"/>
        <v>0</v>
      </c>
      <c r="DF97" s="1578">
        <f t="shared" si="136"/>
        <v>0</v>
      </c>
      <c r="DG97" s="1420"/>
      <c r="DH97" s="1420"/>
    </row>
    <row r="98" spans="1:112" ht="12">
      <c r="A98" s="1587"/>
      <c r="B98" s="2526" t="s">
        <v>1966</v>
      </c>
      <c r="C98" s="2526"/>
      <c r="D98" s="2526"/>
      <c r="E98" s="2526"/>
      <c r="F98" s="1656">
        <f>AA63</f>
        <v>0</v>
      </c>
      <c r="G98" s="1475"/>
      <c r="H98" s="1475"/>
      <c r="I98" s="1475"/>
      <c r="J98" s="1475"/>
      <c r="K98" s="1475"/>
      <c r="L98" s="1475"/>
      <c r="M98" s="1475"/>
      <c r="BD98" s="1475"/>
      <c r="BE98" s="1571" t="s">
        <v>1210</v>
      </c>
      <c r="BF98" s="1436">
        <v>23</v>
      </c>
      <c r="BG98" s="1436">
        <v>20</v>
      </c>
      <c r="BH98" s="1436">
        <v>6</v>
      </c>
      <c r="BI98" s="1495" t="b">
        <f t="shared" si="132"/>
        <v>0</v>
      </c>
      <c r="BJ98" s="1450" t="b">
        <f t="shared" si="91"/>
        <v>1</v>
      </c>
      <c r="BK98" s="1572">
        <f t="shared" si="92"/>
        <v>7.4285714285714288</v>
      </c>
      <c r="BL98" s="1581">
        <f>IF(SUM(BL$79:BL97,BK98)&gt;$BL$4,0,BK98)</f>
        <v>7.4285714285714288</v>
      </c>
      <c r="BM98" s="1436">
        <f t="shared" si="117"/>
        <v>0</v>
      </c>
      <c r="BN98" s="1495">
        <f t="shared" si="118"/>
        <v>0</v>
      </c>
      <c r="BO98" s="1437">
        <f t="shared" si="137"/>
        <v>0</v>
      </c>
      <c r="BP98" s="1574">
        <f t="shared" si="93"/>
        <v>0</v>
      </c>
      <c r="BQ98" s="1577">
        <f t="shared" si="94"/>
        <v>0</v>
      </c>
      <c r="BR98" s="1576">
        <f t="shared" si="119"/>
        <v>0</v>
      </c>
      <c r="BS98" s="1574">
        <f t="shared" si="95"/>
        <v>0</v>
      </c>
      <c r="BT98" s="1577">
        <f t="shared" si="96"/>
        <v>0</v>
      </c>
      <c r="BU98" s="1576">
        <f t="shared" si="120"/>
        <v>0</v>
      </c>
      <c r="BV98" s="1574">
        <f t="shared" si="97"/>
        <v>0</v>
      </c>
      <c r="BW98" s="1577">
        <f t="shared" si="98"/>
        <v>0</v>
      </c>
      <c r="BX98" s="1576">
        <f t="shared" si="121"/>
        <v>0</v>
      </c>
      <c r="BY98" s="1574">
        <f t="shared" si="99"/>
        <v>0</v>
      </c>
      <c r="BZ98" s="1577">
        <f t="shared" si="100"/>
        <v>0</v>
      </c>
      <c r="CA98" s="1576">
        <f t="shared" si="122"/>
        <v>0</v>
      </c>
      <c r="CB98" s="1495">
        <f t="shared" si="101"/>
        <v>0</v>
      </c>
      <c r="CC98" s="1577">
        <f t="shared" si="102"/>
        <v>0</v>
      </c>
      <c r="CD98" s="1576">
        <f t="shared" si="123"/>
        <v>0</v>
      </c>
      <c r="CE98" s="1495">
        <f t="shared" si="103"/>
        <v>0</v>
      </c>
      <c r="CF98" s="1577">
        <f t="shared" si="104"/>
        <v>0</v>
      </c>
      <c r="CG98" s="1576">
        <f t="shared" si="124"/>
        <v>0</v>
      </c>
      <c r="CH98" s="1495">
        <f t="shared" si="105"/>
        <v>0</v>
      </c>
      <c r="CI98" s="1577">
        <f t="shared" si="106"/>
        <v>0</v>
      </c>
      <c r="CJ98" s="1576">
        <f t="shared" si="125"/>
        <v>0</v>
      </c>
      <c r="CK98" s="1495">
        <f t="shared" si="107"/>
        <v>0</v>
      </c>
      <c r="CL98" s="1577">
        <f t="shared" si="108"/>
        <v>0</v>
      </c>
      <c r="CM98" s="1576">
        <f t="shared" si="126"/>
        <v>0</v>
      </c>
      <c r="CN98" s="1495">
        <f t="shared" si="109"/>
        <v>0</v>
      </c>
      <c r="CO98" s="1577">
        <f t="shared" si="110"/>
        <v>0</v>
      </c>
      <c r="CP98" s="1576">
        <f t="shared" si="127"/>
        <v>0</v>
      </c>
      <c r="CQ98" s="1495">
        <f t="shared" si="111"/>
        <v>0</v>
      </c>
      <c r="CR98" s="1577">
        <f t="shared" si="112"/>
        <v>0</v>
      </c>
      <c r="CS98" s="1576">
        <f t="shared" si="128"/>
        <v>0</v>
      </c>
      <c r="CT98" s="1495">
        <f t="shared" si="113"/>
        <v>0</v>
      </c>
      <c r="CU98" s="1577">
        <f t="shared" si="114"/>
        <v>0</v>
      </c>
      <c r="CV98" s="1576">
        <f t="shared" si="129"/>
        <v>0</v>
      </c>
      <c r="CW98" s="1495">
        <f t="shared" si="115"/>
        <v>0</v>
      </c>
      <c r="CX98" s="1577">
        <f t="shared" si="116"/>
        <v>0</v>
      </c>
      <c r="CY98" s="1576">
        <f t="shared" si="130"/>
        <v>0</v>
      </c>
      <c r="CZ98" s="1574">
        <f t="shared" si="131"/>
        <v>0</v>
      </c>
      <c r="DA98" s="1578">
        <f t="shared" si="133"/>
        <v>0</v>
      </c>
      <c r="DB98" s="1579">
        <f t="shared" si="134"/>
        <v>0</v>
      </c>
      <c r="DC98" s="1578">
        <f t="shared" si="135"/>
        <v>0</v>
      </c>
      <c r="DD98" s="1578">
        <f t="shared" si="135"/>
        <v>0</v>
      </c>
      <c r="DE98" s="1578">
        <f t="shared" si="135"/>
        <v>0</v>
      </c>
      <c r="DF98" s="1578">
        <f t="shared" si="136"/>
        <v>0</v>
      </c>
      <c r="DG98" s="1420"/>
      <c r="DH98" s="1420"/>
    </row>
    <row r="99" spans="1:112" ht="12">
      <c r="A99" s="1587"/>
      <c r="G99" s="1475"/>
      <c r="H99" s="1475"/>
      <c r="I99" s="1422"/>
      <c r="J99" s="1422"/>
      <c r="K99" s="1422"/>
      <c r="BD99" s="1475"/>
      <c r="BE99" s="1571" t="s">
        <v>1210</v>
      </c>
      <c r="BF99" s="1436">
        <v>23</v>
      </c>
      <c r="BG99" s="1436">
        <v>21</v>
      </c>
      <c r="BH99" s="1436">
        <v>7</v>
      </c>
      <c r="BI99" s="1495" t="b">
        <f t="shared" si="132"/>
        <v>0</v>
      </c>
      <c r="BJ99" s="1450" t="b">
        <f t="shared" si="91"/>
        <v>0</v>
      </c>
      <c r="BK99" s="1572">
        <f t="shared" si="92"/>
        <v>0</v>
      </c>
      <c r="BL99" s="1581">
        <f>IF(SUM(BL$79:BL98,BK99)&gt;$BL$4,0,BK99)</f>
        <v>0</v>
      </c>
      <c r="BM99" s="1436">
        <f t="shared" si="117"/>
        <v>0</v>
      </c>
      <c r="BN99" s="1495">
        <f t="shared" si="118"/>
        <v>0</v>
      </c>
      <c r="BO99" s="1437">
        <f t="shared" si="137"/>
        <v>0</v>
      </c>
      <c r="BP99" s="1574">
        <f t="shared" si="93"/>
        <v>0</v>
      </c>
      <c r="BQ99" s="1577">
        <f t="shared" si="94"/>
        <v>0</v>
      </c>
      <c r="BR99" s="1576">
        <f t="shared" si="119"/>
        <v>0</v>
      </c>
      <c r="BS99" s="1574">
        <f t="shared" si="95"/>
        <v>0</v>
      </c>
      <c r="BT99" s="1577">
        <f t="shared" si="96"/>
        <v>0</v>
      </c>
      <c r="BU99" s="1576">
        <f t="shared" si="120"/>
        <v>0</v>
      </c>
      <c r="BV99" s="1574">
        <f t="shared" si="97"/>
        <v>0</v>
      </c>
      <c r="BW99" s="1577">
        <f t="shared" si="98"/>
        <v>0</v>
      </c>
      <c r="BX99" s="1576">
        <f t="shared" si="121"/>
        <v>0</v>
      </c>
      <c r="BY99" s="1574">
        <f t="shared" si="99"/>
        <v>0</v>
      </c>
      <c r="BZ99" s="1577">
        <f t="shared" si="100"/>
        <v>0</v>
      </c>
      <c r="CA99" s="1576">
        <f t="shared" si="122"/>
        <v>0</v>
      </c>
      <c r="CB99" s="1495">
        <f t="shared" si="101"/>
        <v>0</v>
      </c>
      <c r="CC99" s="1577">
        <f t="shared" si="102"/>
        <v>0</v>
      </c>
      <c r="CD99" s="1576">
        <f t="shared" si="123"/>
        <v>0</v>
      </c>
      <c r="CE99" s="1495">
        <f t="shared" si="103"/>
        <v>0</v>
      </c>
      <c r="CF99" s="1577">
        <f t="shared" si="104"/>
        <v>0</v>
      </c>
      <c r="CG99" s="1576">
        <f t="shared" si="124"/>
        <v>0</v>
      </c>
      <c r="CH99" s="1495">
        <f t="shared" si="105"/>
        <v>0</v>
      </c>
      <c r="CI99" s="1577">
        <f t="shared" si="106"/>
        <v>0</v>
      </c>
      <c r="CJ99" s="1576">
        <f t="shared" si="125"/>
        <v>0</v>
      </c>
      <c r="CK99" s="1495">
        <f t="shared" si="107"/>
        <v>0</v>
      </c>
      <c r="CL99" s="1577">
        <f t="shared" si="108"/>
        <v>0</v>
      </c>
      <c r="CM99" s="1576">
        <f t="shared" si="126"/>
        <v>0</v>
      </c>
      <c r="CN99" s="1495">
        <f t="shared" si="109"/>
        <v>0</v>
      </c>
      <c r="CO99" s="1577">
        <f t="shared" si="110"/>
        <v>0</v>
      </c>
      <c r="CP99" s="1576">
        <f t="shared" si="127"/>
        <v>0</v>
      </c>
      <c r="CQ99" s="1495">
        <f t="shared" si="111"/>
        <v>0</v>
      </c>
      <c r="CR99" s="1577">
        <f t="shared" si="112"/>
        <v>0</v>
      </c>
      <c r="CS99" s="1576">
        <f t="shared" si="128"/>
        <v>0</v>
      </c>
      <c r="CT99" s="1495">
        <f t="shared" si="113"/>
        <v>0</v>
      </c>
      <c r="CU99" s="1577">
        <f t="shared" si="114"/>
        <v>0</v>
      </c>
      <c r="CV99" s="1576">
        <f t="shared" si="129"/>
        <v>0</v>
      </c>
      <c r="CW99" s="1495">
        <f t="shared" si="115"/>
        <v>0</v>
      </c>
      <c r="CX99" s="1577">
        <f t="shared" si="116"/>
        <v>0</v>
      </c>
      <c r="CY99" s="1576">
        <f t="shared" si="130"/>
        <v>0</v>
      </c>
      <c r="CZ99" s="1574">
        <f t="shared" si="131"/>
        <v>0</v>
      </c>
      <c r="DA99" s="1578">
        <f t="shared" si="133"/>
        <v>0</v>
      </c>
      <c r="DB99" s="1579">
        <f t="shared" si="134"/>
        <v>0</v>
      </c>
      <c r="DC99" s="1578">
        <f t="shared" si="135"/>
        <v>0</v>
      </c>
      <c r="DD99" s="1578">
        <f t="shared" si="135"/>
        <v>0</v>
      </c>
      <c r="DE99" s="1578">
        <f t="shared" si="135"/>
        <v>0</v>
      </c>
      <c r="DF99" s="1578">
        <f t="shared" si="136"/>
        <v>0</v>
      </c>
      <c r="DG99" s="1420"/>
      <c r="DH99" s="1420"/>
    </row>
    <row r="100" spans="1:112" ht="12">
      <c r="A100" s="1587"/>
      <c r="G100" s="1475"/>
      <c r="H100" s="1475"/>
      <c r="I100" s="1475"/>
      <c r="J100" s="1475"/>
      <c r="K100" s="1475"/>
      <c r="L100" s="1475"/>
      <c r="M100" s="1475"/>
      <c r="BD100" s="1475"/>
      <c r="BE100" s="1571" t="s">
        <v>1210</v>
      </c>
      <c r="BF100" s="1436">
        <v>23</v>
      </c>
      <c r="BG100" s="1436">
        <v>22</v>
      </c>
      <c r="BH100" s="1436">
        <v>1</v>
      </c>
      <c r="BI100" s="1495" t="b">
        <f t="shared" si="132"/>
        <v>1</v>
      </c>
      <c r="BJ100" s="1450" t="b">
        <f t="shared" si="91"/>
        <v>0</v>
      </c>
      <c r="BK100" s="1572">
        <f t="shared" si="92"/>
        <v>0</v>
      </c>
      <c r="BL100" s="1581">
        <f>IF(SUM(BL$79:BL99,BK100)&gt;$BL$4,0,BK100)</f>
        <v>0</v>
      </c>
      <c r="BM100" s="1436">
        <f t="shared" si="117"/>
        <v>0</v>
      </c>
      <c r="BN100" s="1495">
        <f t="shared" si="118"/>
        <v>0</v>
      </c>
      <c r="BO100" s="1437">
        <f t="shared" si="137"/>
        <v>0</v>
      </c>
      <c r="BP100" s="1574">
        <f t="shared" si="93"/>
        <v>0</v>
      </c>
      <c r="BQ100" s="1577">
        <f t="shared" si="94"/>
        <v>0</v>
      </c>
      <c r="BR100" s="1576">
        <f t="shared" si="119"/>
        <v>0</v>
      </c>
      <c r="BS100" s="1574">
        <f t="shared" si="95"/>
        <v>0</v>
      </c>
      <c r="BT100" s="1577">
        <f t="shared" si="96"/>
        <v>0</v>
      </c>
      <c r="BU100" s="1576">
        <f t="shared" si="120"/>
        <v>0</v>
      </c>
      <c r="BV100" s="1574">
        <f t="shared" si="97"/>
        <v>0</v>
      </c>
      <c r="BW100" s="1577">
        <f t="shared" si="98"/>
        <v>0</v>
      </c>
      <c r="BX100" s="1576">
        <f t="shared" si="121"/>
        <v>0</v>
      </c>
      <c r="BY100" s="1574">
        <f t="shared" si="99"/>
        <v>0</v>
      </c>
      <c r="BZ100" s="1577">
        <f t="shared" si="100"/>
        <v>0</v>
      </c>
      <c r="CA100" s="1576">
        <f t="shared" si="122"/>
        <v>0</v>
      </c>
      <c r="CB100" s="1495">
        <f t="shared" si="101"/>
        <v>0</v>
      </c>
      <c r="CC100" s="1577">
        <f t="shared" si="102"/>
        <v>0</v>
      </c>
      <c r="CD100" s="1576">
        <f t="shared" si="123"/>
        <v>0</v>
      </c>
      <c r="CE100" s="1495">
        <f t="shared" si="103"/>
        <v>0</v>
      </c>
      <c r="CF100" s="1577">
        <f t="shared" si="104"/>
        <v>0</v>
      </c>
      <c r="CG100" s="1576">
        <f t="shared" si="124"/>
        <v>0</v>
      </c>
      <c r="CH100" s="1495">
        <f t="shared" si="105"/>
        <v>0</v>
      </c>
      <c r="CI100" s="1577">
        <f t="shared" si="106"/>
        <v>0</v>
      </c>
      <c r="CJ100" s="1576">
        <f t="shared" si="125"/>
        <v>0</v>
      </c>
      <c r="CK100" s="1495">
        <f t="shared" si="107"/>
        <v>0</v>
      </c>
      <c r="CL100" s="1577">
        <f t="shared" si="108"/>
        <v>0</v>
      </c>
      <c r="CM100" s="1576">
        <f t="shared" si="126"/>
        <v>0</v>
      </c>
      <c r="CN100" s="1495">
        <f t="shared" si="109"/>
        <v>0</v>
      </c>
      <c r="CO100" s="1577">
        <f t="shared" si="110"/>
        <v>0</v>
      </c>
      <c r="CP100" s="1576">
        <f t="shared" si="127"/>
        <v>0</v>
      </c>
      <c r="CQ100" s="1495">
        <f t="shared" si="111"/>
        <v>0</v>
      </c>
      <c r="CR100" s="1577">
        <f t="shared" si="112"/>
        <v>0</v>
      </c>
      <c r="CS100" s="1576">
        <f t="shared" si="128"/>
        <v>0</v>
      </c>
      <c r="CT100" s="1495">
        <f t="shared" si="113"/>
        <v>0</v>
      </c>
      <c r="CU100" s="1577">
        <f t="shared" si="114"/>
        <v>0</v>
      </c>
      <c r="CV100" s="1576">
        <f t="shared" si="129"/>
        <v>0</v>
      </c>
      <c r="CW100" s="1495">
        <f t="shared" si="115"/>
        <v>0</v>
      </c>
      <c r="CX100" s="1577">
        <f t="shared" si="116"/>
        <v>0</v>
      </c>
      <c r="CY100" s="1576">
        <f t="shared" si="130"/>
        <v>0</v>
      </c>
      <c r="CZ100" s="1574">
        <f t="shared" si="131"/>
        <v>0</v>
      </c>
      <c r="DA100" s="1578">
        <f t="shared" si="133"/>
        <v>0</v>
      </c>
      <c r="DB100" s="1579">
        <f t="shared" si="134"/>
        <v>0</v>
      </c>
      <c r="DC100" s="1578">
        <f t="shared" si="135"/>
        <v>0</v>
      </c>
      <c r="DD100" s="1578">
        <f t="shared" si="135"/>
        <v>0</v>
      </c>
      <c r="DE100" s="1578">
        <f t="shared" si="135"/>
        <v>0</v>
      </c>
      <c r="DF100" s="1578">
        <f t="shared" si="136"/>
        <v>0</v>
      </c>
      <c r="DG100" s="1420"/>
      <c r="DH100" s="1420"/>
    </row>
    <row r="101" spans="1:112" ht="14.25">
      <c r="A101" s="1627"/>
      <c r="B101" s="1680" t="s">
        <v>1666</v>
      </c>
      <c r="C101" s="1628"/>
      <c r="D101" s="1628"/>
      <c r="E101" s="1475"/>
      <c r="F101" s="1475"/>
      <c r="G101" s="1475"/>
      <c r="H101" s="1475"/>
      <c r="I101" s="1475"/>
      <c r="J101" s="1475"/>
      <c r="K101" s="1475"/>
      <c r="L101" s="1475"/>
      <c r="M101" s="1475"/>
      <c r="BD101" s="1475"/>
      <c r="BE101" s="1571" t="s">
        <v>1210</v>
      </c>
      <c r="BF101" s="1436">
        <v>23</v>
      </c>
      <c r="BG101" s="1436">
        <v>23</v>
      </c>
      <c r="BH101" s="1436">
        <v>2</v>
      </c>
      <c r="BI101" s="1495" t="b">
        <f t="shared" si="132"/>
        <v>1</v>
      </c>
      <c r="BJ101" s="1450" t="b">
        <f t="shared" si="91"/>
        <v>0</v>
      </c>
      <c r="BK101" s="1572">
        <f t="shared" si="92"/>
        <v>0</v>
      </c>
      <c r="BL101" s="1581">
        <f>IF(SUM(BL$79:BL100,BK101)&gt;$BL$4,0,BK101)</f>
        <v>0</v>
      </c>
      <c r="BM101" s="1436">
        <f t="shared" si="117"/>
        <v>0</v>
      </c>
      <c r="BN101" s="1495">
        <f t="shared" si="118"/>
        <v>0</v>
      </c>
      <c r="BO101" s="1437">
        <f t="shared" si="137"/>
        <v>0</v>
      </c>
      <c r="BP101" s="1574">
        <f t="shared" si="93"/>
        <v>0</v>
      </c>
      <c r="BQ101" s="1577">
        <f t="shared" si="94"/>
        <v>0</v>
      </c>
      <c r="BR101" s="1576">
        <f t="shared" si="119"/>
        <v>0</v>
      </c>
      <c r="BS101" s="1574">
        <f t="shared" si="95"/>
        <v>0</v>
      </c>
      <c r="BT101" s="1577">
        <f t="shared" si="96"/>
        <v>0</v>
      </c>
      <c r="BU101" s="1576">
        <f t="shared" si="120"/>
        <v>0</v>
      </c>
      <c r="BV101" s="1574">
        <f t="shared" si="97"/>
        <v>0</v>
      </c>
      <c r="BW101" s="1577">
        <f t="shared" si="98"/>
        <v>0</v>
      </c>
      <c r="BX101" s="1576">
        <f t="shared" si="121"/>
        <v>0</v>
      </c>
      <c r="BY101" s="1574">
        <f t="shared" si="99"/>
        <v>0</v>
      </c>
      <c r="BZ101" s="1577">
        <f t="shared" si="100"/>
        <v>0</v>
      </c>
      <c r="CA101" s="1576">
        <f t="shared" si="122"/>
        <v>0</v>
      </c>
      <c r="CB101" s="1495">
        <f t="shared" si="101"/>
        <v>0</v>
      </c>
      <c r="CC101" s="1577">
        <f t="shared" si="102"/>
        <v>0</v>
      </c>
      <c r="CD101" s="1576">
        <f t="shared" si="123"/>
        <v>0</v>
      </c>
      <c r="CE101" s="1495">
        <f t="shared" si="103"/>
        <v>0</v>
      </c>
      <c r="CF101" s="1577">
        <f t="shared" si="104"/>
        <v>0</v>
      </c>
      <c r="CG101" s="1576">
        <f t="shared" si="124"/>
        <v>0</v>
      </c>
      <c r="CH101" s="1495">
        <f t="shared" si="105"/>
        <v>0</v>
      </c>
      <c r="CI101" s="1577">
        <f t="shared" si="106"/>
        <v>0</v>
      </c>
      <c r="CJ101" s="1576">
        <f t="shared" si="125"/>
        <v>0</v>
      </c>
      <c r="CK101" s="1495">
        <f t="shared" si="107"/>
        <v>0</v>
      </c>
      <c r="CL101" s="1577">
        <f t="shared" si="108"/>
        <v>0</v>
      </c>
      <c r="CM101" s="1576">
        <f t="shared" si="126"/>
        <v>0</v>
      </c>
      <c r="CN101" s="1495">
        <f t="shared" si="109"/>
        <v>0</v>
      </c>
      <c r="CO101" s="1577">
        <f t="shared" si="110"/>
        <v>0</v>
      </c>
      <c r="CP101" s="1576">
        <f t="shared" si="127"/>
        <v>0</v>
      </c>
      <c r="CQ101" s="1495">
        <f t="shared" si="111"/>
        <v>0</v>
      </c>
      <c r="CR101" s="1577">
        <f t="shared" si="112"/>
        <v>0</v>
      </c>
      <c r="CS101" s="1576">
        <f t="shared" si="128"/>
        <v>0</v>
      </c>
      <c r="CT101" s="1495">
        <f t="shared" si="113"/>
        <v>0</v>
      </c>
      <c r="CU101" s="1577">
        <f t="shared" si="114"/>
        <v>0</v>
      </c>
      <c r="CV101" s="1576">
        <f t="shared" si="129"/>
        <v>0</v>
      </c>
      <c r="CW101" s="1495">
        <f t="shared" si="115"/>
        <v>0</v>
      </c>
      <c r="CX101" s="1577">
        <f t="shared" si="116"/>
        <v>0</v>
      </c>
      <c r="CY101" s="1576">
        <f t="shared" si="130"/>
        <v>0</v>
      </c>
      <c r="CZ101" s="1574">
        <f t="shared" si="131"/>
        <v>0</v>
      </c>
      <c r="DA101" s="1578">
        <f t="shared" si="133"/>
        <v>0</v>
      </c>
      <c r="DB101" s="1579">
        <f t="shared" si="134"/>
        <v>0</v>
      </c>
      <c r="DC101" s="1578">
        <f t="shared" si="135"/>
        <v>0</v>
      </c>
      <c r="DD101" s="1578">
        <f t="shared" si="135"/>
        <v>0</v>
      </c>
      <c r="DE101" s="1578">
        <f t="shared" si="135"/>
        <v>0</v>
      </c>
      <c r="DF101" s="1578">
        <f t="shared" si="136"/>
        <v>0</v>
      </c>
      <c r="DG101" s="1420"/>
      <c r="DH101" s="1420"/>
    </row>
    <row r="102" spans="1:112" ht="12">
      <c r="A102" s="1587"/>
      <c r="B102" s="1475"/>
      <c r="C102" s="1475"/>
      <c r="D102" s="1475"/>
      <c r="E102" s="1475"/>
      <c r="F102" s="1475"/>
      <c r="G102" s="1475"/>
      <c r="H102" s="1475"/>
      <c r="I102" s="1475"/>
      <c r="J102" s="1475"/>
      <c r="K102" s="1475"/>
      <c r="L102" s="1475"/>
      <c r="M102" s="1475"/>
      <c r="BE102" s="1571" t="s">
        <v>1210</v>
      </c>
      <c r="BF102" s="1436">
        <v>23</v>
      </c>
      <c r="BG102" s="1436">
        <v>24</v>
      </c>
      <c r="BH102" s="1436">
        <v>3</v>
      </c>
      <c r="BI102" s="1495" t="b">
        <f t="shared" si="132"/>
        <v>1</v>
      </c>
      <c r="BJ102" s="1450" t="b">
        <f t="shared" si="91"/>
        <v>1</v>
      </c>
      <c r="BK102" s="1572">
        <f t="shared" si="92"/>
        <v>7.4285714285714288</v>
      </c>
      <c r="BL102" s="1581">
        <f>IF(SUM(BL$79:BL101,BK102)&gt;$BL$4,0,BK102)</f>
        <v>7.4285714285714288</v>
      </c>
      <c r="BM102" s="1436">
        <f t="shared" si="117"/>
        <v>0</v>
      </c>
      <c r="BN102" s="1495">
        <f t="shared" si="118"/>
        <v>0</v>
      </c>
      <c r="BO102" s="1437">
        <f t="shared" si="137"/>
        <v>0</v>
      </c>
      <c r="BP102" s="1574">
        <f t="shared" si="93"/>
        <v>0</v>
      </c>
      <c r="BQ102" s="1577">
        <f t="shared" si="94"/>
        <v>0</v>
      </c>
      <c r="BR102" s="1576">
        <f t="shared" si="119"/>
        <v>0</v>
      </c>
      <c r="BS102" s="1574">
        <f t="shared" si="95"/>
        <v>0</v>
      </c>
      <c r="BT102" s="1577">
        <f t="shared" si="96"/>
        <v>0</v>
      </c>
      <c r="BU102" s="1576">
        <f t="shared" si="120"/>
        <v>0</v>
      </c>
      <c r="BV102" s="1574">
        <f t="shared" si="97"/>
        <v>0</v>
      </c>
      <c r="BW102" s="1577">
        <f t="shared" si="98"/>
        <v>0</v>
      </c>
      <c r="BX102" s="1576">
        <f t="shared" si="121"/>
        <v>0</v>
      </c>
      <c r="BY102" s="1574">
        <f t="shared" si="99"/>
        <v>0</v>
      </c>
      <c r="BZ102" s="1577">
        <f t="shared" si="100"/>
        <v>0</v>
      </c>
      <c r="CA102" s="1576">
        <f t="shared" si="122"/>
        <v>0</v>
      </c>
      <c r="CB102" s="1495">
        <f t="shared" si="101"/>
        <v>0</v>
      </c>
      <c r="CC102" s="1577">
        <f t="shared" si="102"/>
        <v>0</v>
      </c>
      <c r="CD102" s="1576">
        <f t="shared" si="123"/>
        <v>0</v>
      </c>
      <c r="CE102" s="1495">
        <f t="shared" si="103"/>
        <v>0</v>
      </c>
      <c r="CF102" s="1577">
        <f t="shared" si="104"/>
        <v>0</v>
      </c>
      <c r="CG102" s="1576">
        <f t="shared" si="124"/>
        <v>0</v>
      </c>
      <c r="CH102" s="1495">
        <f t="shared" si="105"/>
        <v>0</v>
      </c>
      <c r="CI102" s="1577">
        <f t="shared" si="106"/>
        <v>0</v>
      </c>
      <c r="CJ102" s="1576">
        <f t="shared" si="125"/>
        <v>0</v>
      </c>
      <c r="CK102" s="1495">
        <f t="shared" si="107"/>
        <v>0</v>
      </c>
      <c r="CL102" s="1577">
        <f t="shared" si="108"/>
        <v>0</v>
      </c>
      <c r="CM102" s="1576">
        <f t="shared" si="126"/>
        <v>0</v>
      </c>
      <c r="CN102" s="1495">
        <f t="shared" si="109"/>
        <v>0</v>
      </c>
      <c r="CO102" s="1577">
        <f t="shared" si="110"/>
        <v>0</v>
      </c>
      <c r="CP102" s="1576">
        <f t="shared" si="127"/>
        <v>0</v>
      </c>
      <c r="CQ102" s="1495">
        <f t="shared" si="111"/>
        <v>0</v>
      </c>
      <c r="CR102" s="1577">
        <f t="shared" si="112"/>
        <v>0</v>
      </c>
      <c r="CS102" s="1576">
        <f t="shared" si="128"/>
        <v>0</v>
      </c>
      <c r="CT102" s="1495">
        <f t="shared" si="113"/>
        <v>0</v>
      </c>
      <c r="CU102" s="1577">
        <f t="shared" si="114"/>
        <v>0</v>
      </c>
      <c r="CV102" s="1576">
        <f t="shared" si="129"/>
        <v>0</v>
      </c>
      <c r="CW102" s="1495">
        <f t="shared" si="115"/>
        <v>0</v>
      </c>
      <c r="CX102" s="1577">
        <f t="shared" si="116"/>
        <v>0</v>
      </c>
      <c r="CY102" s="1576">
        <f t="shared" si="130"/>
        <v>0</v>
      </c>
      <c r="CZ102" s="1574">
        <f t="shared" si="131"/>
        <v>0</v>
      </c>
      <c r="DA102" s="1578">
        <f t="shared" si="133"/>
        <v>0</v>
      </c>
      <c r="DB102" s="1579">
        <f t="shared" si="134"/>
        <v>0</v>
      </c>
      <c r="DC102" s="1578">
        <f t="shared" si="135"/>
        <v>0</v>
      </c>
      <c r="DD102" s="1578">
        <f t="shared" si="135"/>
        <v>0</v>
      </c>
      <c r="DE102" s="1578">
        <f t="shared" si="135"/>
        <v>0</v>
      </c>
      <c r="DF102" s="1578">
        <f t="shared" si="136"/>
        <v>0</v>
      </c>
      <c r="DG102" s="1420"/>
      <c r="DH102" s="1420"/>
    </row>
    <row r="103" spans="1:112" ht="12">
      <c r="A103" s="1587"/>
      <c r="B103" s="1475"/>
      <c r="C103" s="1681" t="str">
        <f>$T$56</f>
        <v>Actual Building</v>
      </c>
      <c r="D103" s="1682" t="str">
        <f>$X$56</f>
        <v>Notional Building</v>
      </c>
      <c r="E103" s="1475"/>
      <c r="F103" s="1475"/>
      <c r="G103" s="1475"/>
      <c r="H103" s="1475"/>
      <c r="I103" s="1475"/>
      <c r="J103" s="1475"/>
      <c r="K103" s="1475"/>
      <c r="L103" s="1475"/>
      <c r="M103" s="1475"/>
      <c r="BD103" s="1475"/>
      <c r="BE103" s="1571" t="s">
        <v>1210</v>
      </c>
      <c r="BF103" s="1436">
        <v>23</v>
      </c>
      <c r="BG103" s="1436">
        <v>25</v>
      </c>
      <c r="BH103" s="1436">
        <v>4</v>
      </c>
      <c r="BI103" s="1495" t="b">
        <f t="shared" si="132"/>
        <v>1</v>
      </c>
      <c r="BJ103" s="1450" t="b">
        <f t="shared" si="91"/>
        <v>0</v>
      </c>
      <c r="BK103" s="1572">
        <f t="shared" si="92"/>
        <v>0</v>
      </c>
      <c r="BL103" s="1581">
        <f>IF(SUM(BL$79:BL102,BK103)&gt;$BL$4,0,BK103)</f>
        <v>0</v>
      </c>
      <c r="BM103" s="1436">
        <f t="shared" si="117"/>
        <v>0</v>
      </c>
      <c r="BN103" s="1495">
        <f t="shared" si="118"/>
        <v>0</v>
      </c>
      <c r="BO103" s="1437">
        <f t="shared" si="137"/>
        <v>0</v>
      </c>
      <c r="BP103" s="1574">
        <f t="shared" si="93"/>
        <v>0</v>
      </c>
      <c r="BQ103" s="1577">
        <f t="shared" si="94"/>
        <v>0</v>
      </c>
      <c r="BR103" s="1576">
        <f t="shared" si="119"/>
        <v>0</v>
      </c>
      <c r="BS103" s="1574">
        <f t="shared" si="95"/>
        <v>0</v>
      </c>
      <c r="BT103" s="1577">
        <f t="shared" si="96"/>
        <v>0</v>
      </c>
      <c r="BU103" s="1576">
        <f t="shared" si="120"/>
        <v>0</v>
      </c>
      <c r="BV103" s="1574">
        <f t="shared" si="97"/>
        <v>0</v>
      </c>
      <c r="BW103" s="1577">
        <f t="shared" si="98"/>
        <v>0</v>
      </c>
      <c r="BX103" s="1576">
        <f t="shared" si="121"/>
        <v>0</v>
      </c>
      <c r="BY103" s="1574">
        <f t="shared" si="99"/>
        <v>0</v>
      </c>
      <c r="BZ103" s="1577">
        <f t="shared" si="100"/>
        <v>0</v>
      </c>
      <c r="CA103" s="1576">
        <f t="shared" si="122"/>
        <v>0</v>
      </c>
      <c r="CB103" s="1495">
        <f t="shared" si="101"/>
        <v>0</v>
      </c>
      <c r="CC103" s="1577">
        <f t="shared" si="102"/>
        <v>0</v>
      </c>
      <c r="CD103" s="1576">
        <f t="shared" si="123"/>
        <v>0</v>
      </c>
      <c r="CE103" s="1495">
        <f t="shared" si="103"/>
        <v>0</v>
      </c>
      <c r="CF103" s="1577">
        <f t="shared" si="104"/>
        <v>0</v>
      </c>
      <c r="CG103" s="1576">
        <f t="shared" si="124"/>
        <v>0</v>
      </c>
      <c r="CH103" s="1495">
        <f t="shared" si="105"/>
        <v>0</v>
      </c>
      <c r="CI103" s="1577">
        <f t="shared" si="106"/>
        <v>0</v>
      </c>
      <c r="CJ103" s="1576">
        <f t="shared" si="125"/>
        <v>0</v>
      </c>
      <c r="CK103" s="1495">
        <f t="shared" si="107"/>
        <v>0</v>
      </c>
      <c r="CL103" s="1577">
        <f t="shared" si="108"/>
        <v>0</v>
      </c>
      <c r="CM103" s="1576">
        <f t="shared" si="126"/>
        <v>0</v>
      </c>
      <c r="CN103" s="1495">
        <f t="shared" si="109"/>
        <v>0</v>
      </c>
      <c r="CO103" s="1577">
        <f t="shared" si="110"/>
        <v>0</v>
      </c>
      <c r="CP103" s="1576">
        <f t="shared" si="127"/>
        <v>0</v>
      </c>
      <c r="CQ103" s="1495">
        <f t="shared" si="111"/>
        <v>0</v>
      </c>
      <c r="CR103" s="1577">
        <f t="shared" si="112"/>
        <v>0</v>
      </c>
      <c r="CS103" s="1576">
        <f t="shared" si="128"/>
        <v>0</v>
      </c>
      <c r="CT103" s="1495">
        <f t="shared" si="113"/>
        <v>0</v>
      </c>
      <c r="CU103" s="1577">
        <f t="shared" si="114"/>
        <v>0</v>
      </c>
      <c r="CV103" s="1576">
        <f t="shared" si="129"/>
        <v>0</v>
      </c>
      <c r="CW103" s="1495">
        <f t="shared" si="115"/>
        <v>0</v>
      </c>
      <c r="CX103" s="1577">
        <f t="shared" si="116"/>
        <v>0</v>
      </c>
      <c r="CY103" s="1576">
        <f t="shared" si="130"/>
        <v>0</v>
      </c>
      <c r="CZ103" s="1574">
        <f t="shared" si="131"/>
        <v>0</v>
      </c>
      <c r="DA103" s="1578">
        <f t="shared" si="133"/>
        <v>0</v>
      </c>
      <c r="DB103" s="1579">
        <f t="shared" si="134"/>
        <v>0</v>
      </c>
      <c r="DC103" s="1578">
        <f t="shared" si="135"/>
        <v>0</v>
      </c>
      <c r="DD103" s="1578">
        <f t="shared" si="135"/>
        <v>0</v>
      </c>
      <c r="DE103" s="1578">
        <f t="shared" si="135"/>
        <v>0</v>
      </c>
      <c r="DF103" s="1578">
        <f t="shared" si="136"/>
        <v>0</v>
      </c>
      <c r="DG103" s="1420"/>
      <c r="DH103" s="1420"/>
    </row>
    <row r="104" spans="1:112" ht="12">
      <c r="A104" s="1587"/>
      <c r="B104" s="1475"/>
      <c r="C104" s="1681" t="s">
        <v>1667</v>
      </c>
      <c r="D104" s="1682" t="str">
        <f>C104</f>
        <v>(m3 per year)</v>
      </c>
      <c r="E104" s="1475"/>
      <c r="F104" s="1475"/>
      <c r="G104" s="1475"/>
      <c r="H104" s="1475"/>
      <c r="I104" s="1475"/>
      <c r="J104" s="1475"/>
      <c r="K104" s="1475"/>
      <c r="L104" s="1475"/>
      <c r="M104" s="1475"/>
      <c r="BD104" s="1475"/>
      <c r="BE104" s="1571" t="s">
        <v>1210</v>
      </c>
      <c r="BF104" s="1436">
        <v>23</v>
      </c>
      <c r="BG104" s="1436">
        <v>26</v>
      </c>
      <c r="BH104" s="1436">
        <v>5</v>
      </c>
      <c r="BI104" s="1495" t="b">
        <f t="shared" si="132"/>
        <v>1</v>
      </c>
      <c r="BJ104" s="1450" t="b">
        <f t="shared" si="91"/>
        <v>0</v>
      </c>
      <c r="BK104" s="1572">
        <f t="shared" si="92"/>
        <v>0</v>
      </c>
      <c r="BL104" s="1581">
        <f>IF(SUM(BL$79:BL103,BK104)&gt;$BL$4,0,BK104)</f>
        <v>0</v>
      </c>
      <c r="BM104" s="1436">
        <f t="shared" si="117"/>
        <v>0</v>
      </c>
      <c r="BN104" s="1495">
        <f t="shared" si="118"/>
        <v>0</v>
      </c>
      <c r="BO104" s="1437">
        <f t="shared" si="137"/>
        <v>0</v>
      </c>
      <c r="BP104" s="1574">
        <f t="shared" si="93"/>
        <v>0</v>
      </c>
      <c r="BQ104" s="1577">
        <f t="shared" si="94"/>
        <v>0</v>
      </c>
      <c r="BR104" s="1576">
        <f t="shared" si="119"/>
        <v>0</v>
      </c>
      <c r="BS104" s="1574">
        <f t="shared" si="95"/>
        <v>0</v>
      </c>
      <c r="BT104" s="1577">
        <f t="shared" si="96"/>
        <v>0</v>
      </c>
      <c r="BU104" s="1576">
        <f t="shared" si="120"/>
        <v>0</v>
      </c>
      <c r="BV104" s="1574">
        <f t="shared" si="97"/>
        <v>0</v>
      </c>
      <c r="BW104" s="1577">
        <f t="shared" si="98"/>
        <v>0</v>
      </c>
      <c r="BX104" s="1576">
        <f t="shared" si="121"/>
        <v>0</v>
      </c>
      <c r="BY104" s="1574">
        <f t="shared" si="99"/>
        <v>0</v>
      </c>
      <c r="BZ104" s="1577">
        <f t="shared" si="100"/>
        <v>0</v>
      </c>
      <c r="CA104" s="1576">
        <f t="shared" si="122"/>
        <v>0</v>
      </c>
      <c r="CB104" s="1495">
        <f t="shared" si="101"/>
        <v>0</v>
      </c>
      <c r="CC104" s="1577">
        <f t="shared" si="102"/>
        <v>0</v>
      </c>
      <c r="CD104" s="1576">
        <f t="shared" si="123"/>
        <v>0</v>
      </c>
      <c r="CE104" s="1495">
        <f t="shared" si="103"/>
        <v>0</v>
      </c>
      <c r="CF104" s="1577">
        <f t="shared" si="104"/>
        <v>0</v>
      </c>
      <c r="CG104" s="1576">
        <f t="shared" si="124"/>
        <v>0</v>
      </c>
      <c r="CH104" s="1495">
        <f t="shared" si="105"/>
        <v>0</v>
      </c>
      <c r="CI104" s="1577">
        <f t="shared" si="106"/>
        <v>0</v>
      </c>
      <c r="CJ104" s="1576">
        <f t="shared" si="125"/>
        <v>0</v>
      </c>
      <c r="CK104" s="1495">
        <f t="shared" si="107"/>
        <v>0</v>
      </c>
      <c r="CL104" s="1577">
        <f t="shared" si="108"/>
        <v>0</v>
      </c>
      <c r="CM104" s="1576">
        <f t="shared" si="126"/>
        <v>0</v>
      </c>
      <c r="CN104" s="1495">
        <f t="shared" si="109"/>
        <v>0</v>
      </c>
      <c r="CO104" s="1577">
        <f t="shared" si="110"/>
        <v>0</v>
      </c>
      <c r="CP104" s="1576">
        <f t="shared" si="127"/>
        <v>0</v>
      </c>
      <c r="CQ104" s="1495">
        <f t="shared" si="111"/>
        <v>0</v>
      </c>
      <c r="CR104" s="1577">
        <f t="shared" si="112"/>
        <v>0</v>
      </c>
      <c r="CS104" s="1576">
        <f t="shared" si="128"/>
        <v>0</v>
      </c>
      <c r="CT104" s="1495">
        <f t="shared" si="113"/>
        <v>0</v>
      </c>
      <c r="CU104" s="1577">
        <f t="shared" si="114"/>
        <v>0</v>
      </c>
      <c r="CV104" s="1576">
        <f t="shared" si="129"/>
        <v>0</v>
      </c>
      <c r="CW104" s="1495">
        <f t="shared" si="115"/>
        <v>0</v>
      </c>
      <c r="CX104" s="1577">
        <f t="shared" si="116"/>
        <v>0</v>
      </c>
      <c r="CY104" s="1576">
        <f t="shared" si="130"/>
        <v>0</v>
      </c>
      <c r="CZ104" s="1574">
        <f t="shared" si="131"/>
        <v>0</v>
      </c>
      <c r="DA104" s="1578">
        <f t="shared" si="133"/>
        <v>0</v>
      </c>
      <c r="DB104" s="1579">
        <f t="shared" si="134"/>
        <v>0</v>
      </c>
      <c r="DC104" s="1578">
        <f t="shared" si="135"/>
        <v>0</v>
      </c>
      <c r="DD104" s="1578">
        <f t="shared" si="135"/>
        <v>0</v>
      </c>
      <c r="DE104" s="1578">
        <f t="shared" si="135"/>
        <v>0</v>
      </c>
      <c r="DF104" s="1578">
        <f t="shared" si="136"/>
        <v>0</v>
      </c>
      <c r="DG104" s="1420"/>
      <c r="DH104" s="1420"/>
    </row>
    <row r="105" spans="1:112" ht="12">
      <c r="A105" s="1649"/>
      <c r="B105" s="1683" t="str">
        <f>B56</f>
        <v>WC</v>
      </c>
      <c r="C105" s="1601">
        <f>F63</f>
        <v>0</v>
      </c>
      <c r="D105" s="1601">
        <f>F64</f>
        <v>0</v>
      </c>
      <c r="E105" s="1475"/>
      <c r="F105" s="1475"/>
      <c r="G105" s="1475"/>
      <c r="H105" s="1475"/>
      <c r="I105" s="1475"/>
      <c r="J105" s="1475"/>
      <c r="K105" s="1475"/>
      <c r="L105" s="1475"/>
      <c r="M105" s="1475"/>
      <c r="BD105" s="1475"/>
      <c r="BE105" s="1571" t="s">
        <v>1210</v>
      </c>
      <c r="BF105" s="1436">
        <v>23</v>
      </c>
      <c r="BG105" s="1436">
        <v>27</v>
      </c>
      <c r="BH105" s="1436">
        <v>6</v>
      </c>
      <c r="BI105" s="1495" t="b">
        <f t="shared" si="132"/>
        <v>0</v>
      </c>
      <c r="BJ105" s="1450" t="b">
        <f t="shared" si="91"/>
        <v>0</v>
      </c>
      <c r="BK105" s="1572">
        <f t="shared" si="92"/>
        <v>0</v>
      </c>
      <c r="BL105" s="1581">
        <f>IF(SUM(BL$79:BL104,BK105)&gt;$BL$4,0,BK105)</f>
        <v>0</v>
      </c>
      <c r="BM105" s="1436">
        <f t="shared" si="117"/>
        <v>0</v>
      </c>
      <c r="BN105" s="1495">
        <f t="shared" si="118"/>
        <v>0</v>
      </c>
      <c r="BO105" s="1437">
        <f t="shared" si="137"/>
        <v>0</v>
      </c>
      <c r="BP105" s="1574">
        <f t="shared" si="93"/>
        <v>0</v>
      </c>
      <c r="BQ105" s="1577">
        <f t="shared" si="94"/>
        <v>0</v>
      </c>
      <c r="BR105" s="1576">
        <f t="shared" si="119"/>
        <v>0</v>
      </c>
      <c r="BS105" s="1574">
        <f t="shared" si="95"/>
        <v>0</v>
      </c>
      <c r="BT105" s="1577">
        <f t="shared" si="96"/>
        <v>0</v>
      </c>
      <c r="BU105" s="1576">
        <f t="shared" si="120"/>
        <v>0</v>
      </c>
      <c r="BV105" s="1574">
        <f t="shared" si="97"/>
        <v>0</v>
      </c>
      <c r="BW105" s="1577">
        <f t="shared" si="98"/>
        <v>0</v>
      </c>
      <c r="BX105" s="1576">
        <f t="shared" si="121"/>
        <v>0</v>
      </c>
      <c r="BY105" s="1574">
        <f t="shared" si="99"/>
        <v>0</v>
      </c>
      <c r="BZ105" s="1577">
        <f t="shared" si="100"/>
        <v>0</v>
      </c>
      <c r="CA105" s="1576">
        <f t="shared" si="122"/>
        <v>0</v>
      </c>
      <c r="CB105" s="1495">
        <f t="shared" si="101"/>
        <v>0</v>
      </c>
      <c r="CC105" s="1577">
        <f t="shared" si="102"/>
        <v>0</v>
      </c>
      <c r="CD105" s="1576">
        <f t="shared" si="123"/>
        <v>0</v>
      </c>
      <c r="CE105" s="1495">
        <f t="shared" si="103"/>
        <v>0</v>
      </c>
      <c r="CF105" s="1577">
        <f t="shared" si="104"/>
        <v>0</v>
      </c>
      <c r="CG105" s="1576">
        <f t="shared" si="124"/>
        <v>0</v>
      </c>
      <c r="CH105" s="1495">
        <f t="shared" si="105"/>
        <v>0</v>
      </c>
      <c r="CI105" s="1577">
        <f t="shared" si="106"/>
        <v>0</v>
      </c>
      <c r="CJ105" s="1576">
        <f t="shared" si="125"/>
        <v>0</v>
      </c>
      <c r="CK105" s="1495">
        <f t="shared" si="107"/>
        <v>0</v>
      </c>
      <c r="CL105" s="1577">
        <f t="shared" si="108"/>
        <v>0</v>
      </c>
      <c r="CM105" s="1576">
        <f t="shared" si="126"/>
        <v>0</v>
      </c>
      <c r="CN105" s="1495">
        <f t="shared" si="109"/>
        <v>0</v>
      </c>
      <c r="CO105" s="1577">
        <f t="shared" si="110"/>
        <v>0</v>
      </c>
      <c r="CP105" s="1576">
        <f t="shared" si="127"/>
        <v>0</v>
      </c>
      <c r="CQ105" s="1495">
        <f t="shared" si="111"/>
        <v>0</v>
      </c>
      <c r="CR105" s="1577">
        <f t="shared" si="112"/>
        <v>0</v>
      </c>
      <c r="CS105" s="1576">
        <f t="shared" si="128"/>
        <v>0</v>
      </c>
      <c r="CT105" s="1495">
        <f t="shared" si="113"/>
        <v>0</v>
      </c>
      <c r="CU105" s="1577">
        <f t="shared" si="114"/>
        <v>0</v>
      </c>
      <c r="CV105" s="1576">
        <f t="shared" si="129"/>
        <v>0</v>
      </c>
      <c r="CW105" s="1495">
        <f t="shared" si="115"/>
        <v>0</v>
      </c>
      <c r="CX105" s="1577">
        <f t="shared" si="116"/>
        <v>0</v>
      </c>
      <c r="CY105" s="1576">
        <f t="shared" si="130"/>
        <v>0</v>
      </c>
      <c r="CZ105" s="1574">
        <f t="shared" si="131"/>
        <v>0</v>
      </c>
      <c r="DA105" s="1578">
        <f t="shared" si="133"/>
        <v>0</v>
      </c>
      <c r="DB105" s="1579">
        <f t="shared" si="134"/>
        <v>0</v>
      </c>
      <c r="DC105" s="1578">
        <f t="shared" si="135"/>
        <v>0</v>
      </c>
      <c r="DD105" s="1578">
        <f t="shared" si="135"/>
        <v>0</v>
      </c>
      <c r="DE105" s="1578">
        <f t="shared" si="135"/>
        <v>0</v>
      </c>
      <c r="DF105" s="1578">
        <f t="shared" si="136"/>
        <v>0</v>
      </c>
      <c r="DG105" s="1420"/>
      <c r="DH105" s="1420"/>
    </row>
    <row r="106" spans="1:112" ht="12">
      <c r="A106" s="1528"/>
      <c r="B106" s="1683" t="s">
        <v>457</v>
      </c>
      <c r="C106" s="1601">
        <f>F77</f>
        <v>0</v>
      </c>
      <c r="D106" s="1601">
        <f>F78</f>
        <v>0</v>
      </c>
      <c r="E106" s="1475"/>
      <c r="F106" s="1475"/>
      <c r="G106" s="1475"/>
      <c r="H106" s="1475"/>
      <c r="I106" s="1475"/>
      <c r="J106" s="1475"/>
      <c r="K106" s="1475"/>
      <c r="L106" s="1475"/>
      <c r="M106" s="1475"/>
      <c r="BD106" s="1475"/>
      <c r="BE106" s="1571" t="s">
        <v>1210</v>
      </c>
      <c r="BF106" s="1436">
        <v>23</v>
      </c>
      <c r="BG106" s="1436">
        <v>28</v>
      </c>
      <c r="BH106" s="1436">
        <v>7</v>
      </c>
      <c r="BI106" s="1495" t="b">
        <f t="shared" si="132"/>
        <v>0</v>
      </c>
      <c r="BJ106" s="1450" t="b">
        <f t="shared" si="91"/>
        <v>1</v>
      </c>
      <c r="BK106" s="1572">
        <f t="shared" si="92"/>
        <v>7.4285714285714288</v>
      </c>
      <c r="BL106" s="1581">
        <f>IF(SUM(BL$79:BL105,BK106)&gt;$BL$4,0,BK106)</f>
        <v>7.4285714285714288</v>
      </c>
      <c r="BM106" s="1436">
        <f t="shared" si="117"/>
        <v>0</v>
      </c>
      <c r="BN106" s="1495">
        <f t="shared" si="118"/>
        <v>0</v>
      </c>
      <c r="BO106" s="1437">
        <f t="shared" si="137"/>
        <v>0</v>
      </c>
      <c r="BP106" s="1574">
        <f t="shared" si="93"/>
        <v>0</v>
      </c>
      <c r="BQ106" s="1577">
        <f t="shared" si="94"/>
        <v>0</v>
      </c>
      <c r="BR106" s="1576">
        <f t="shared" si="119"/>
        <v>0</v>
      </c>
      <c r="BS106" s="1574">
        <f t="shared" si="95"/>
        <v>0</v>
      </c>
      <c r="BT106" s="1577">
        <f t="shared" si="96"/>
        <v>0</v>
      </c>
      <c r="BU106" s="1576">
        <f t="shared" si="120"/>
        <v>0</v>
      </c>
      <c r="BV106" s="1574">
        <f t="shared" si="97"/>
        <v>0</v>
      </c>
      <c r="BW106" s="1577">
        <f t="shared" si="98"/>
        <v>0</v>
      </c>
      <c r="BX106" s="1576">
        <f t="shared" si="121"/>
        <v>0</v>
      </c>
      <c r="BY106" s="1574">
        <f t="shared" si="99"/>
        <v>0</v>
      </c>
      <c r="BZ106" s="1577">
        <f t="shared" si="100"/>
        <v>0</v>
      </c>
      <c r="CA106" s="1576">
        <f t="shared" si="122"/>
        <v>0</v>
      </c>
      <c r="CB106" s="1495">
        <f t="shared" si="101"/>
        <v>0</v>
      </c>
      <c r="CC106" s="1577">
        <f t="shared" si="102"/>
        <v>0</v>
      </c>
      <c r="CD106" s="1576">
        <f t="shared" si="123"/>
        <v>0</v>
      </c>
      <c r="CE106" s="1495">
        <f t="shared" si="103"/>
        <v>0</v>
      </c>
      <c r="CF106" s="1577">
        <f t="shared" si="104"/>
        <v>0</v>
      </c>
      <c r="CG106" s="1576">
        <f t="shared" si="124"/>
        <v>0</v>
      </c>
      <c r="CH106" s="1495">
        <f t="shared" si="105"/>
        <v>0</v>
      </c>
      <c r="CI106" s="1577">
        <f t="shared" si="106"/>
        <v>0</v>
      </c>
      <c r="CJ106" s="1576">
        <f t="shared" si="125"/>
        <v>0</v>
      </c>
      <c r="CK106" s="1495">
        <f t="shared" si="107"/>
        <v>0</v>
      </c>
      <c r="CL106" s="1577">
        <f t="shared" si="108"/>
        <v>0</v>
      </c>
      <c r="CM106" s="1576">
        <f t="shared" si="126"/>
        <v>0</v>
      </c>
      <c r="CN106" s="1495">
        <f t="shared" si="109"/>
        <v>0</v>
      </c>
      <c r="CO106" s="1577">
        <f t="shared" si="110"/>
        <v>0</v>
      </c>
      <c r="CP106" s="1576">
        <f t="shared" si="127"/>
        <v>0</v>
      </c>
      <c r="CQ106" s="1495">
        <f t="shared" si="111"/>
        <v>0</v>
      </c>
      <c r="CR106" s="1577">
        <f t="shared" si="112"/>
        <v>0</v>
      </c>
      <c r="CS106" s="1576">
        <f t="shared" si="128"/>
        <v>0</v>
      </c>
      <c r="CT106" s="1495">
        <f t="shared" si="113"/>
        <v>0</v>
      </c>
      <c r="CU106" s="1577">
        <f t="shared" si="114"/>
        <v>0</v>
      </c>
      <c r="CV106" s="1576">
        <f t="shared" si="129"/>
        <v>0</v>
      </c>
      <c r="CW106" s="1495">
        <f t="shared" si="115"/>
        <v>0</v>
      </c>
      <c r="CX106" s="1577">
        <f t="shared" si="116"/>
        <v>0</v>
      </c>
      <c r="CY106" s="1576">
        <f t="shared" si="130"/>
        <v>0</v>
      </c>
      <c r="CZ106" s="1574">
        <f t="shared" si="131"/>
        <v>0</v>
      </c>
      <c r="DA106" s="1578">
        <f t="shared" si="133"/>
        <v>0</v>
      </c>
      <c r="DB106" s="1579">
        <f t="shared" si="134"/>
        <v>0</v>
      </c>
      <c r="DC106" s="1578">
        <f t="shared" si="135"/>
        <v>0</v>
      </c>
      <c r="DD106" s="1578">
        <f t="shared" si="135"/>
        <v>0</v>
      </c>
      <c r="DE106" s="1578">
        <f t="shared" si="135"/>
        <v>0</v>
      </c>
      <c r="DF106" s="1578">
        <f t="shared" si="136"/>
        <v>0</v>
      </c>
      <c r="DG106" s="1420"/>
      <c r="DH106" s="1420"/>
    </row>
    <row r="107" spans="1:112" ht="12">
      <c r="A107" s="1528"/>
      <c r="B107" s="1683" t="s">
        <v>1541</v>
      </c>
      <c r="C107" s="1601">
        <f>F87</f>
        <v>0</v>
      </c>
      <c r="D107" s="1601">
        <f>F88</f>
        <v>0</v>
      </c>
      <c r="E107" s="1475"/>
      <c r="F107" s="1475"/>
      <c r="G107" s="1475"/>
      <c r="H107" s="1475"/>
      <c r="I107" s="1475"/>
      <c r="J107" s="1475"/>
      <c r="K107" s="1475"/>
      <c r="L107" s="1475"/>
      <c r="M107" s="1475"/>
      <c r="BD107" s="1475"/>
      <c r="BE107" s="1571" t="s">
        <v>1210</v>
      </c>
      <c r="BF107" s="1436">
        <v>23</v>
      </c>
      <c r="BG107" s="1436">
        <v>29</v>
      </c>
      <c r="BH107" s="1436">
        <v>1</v>
      </c>
      <c r="BI107" s="1495" t="b">
        <f t="shared" si="132"/>
        <v>1</v>
      </c>
      <c r="BJ107" s="1450" t="b">
        <f t="shared" si="91"/>
        <v>0</v>
      </c>
      <c r="BK107" s="1572">
        <f t="shared" si="92"/>
        <v>0</v>
      </c>
      <c r="BL107" s="1581">
        <f>IF(SUM(BL$79:BL106,BK107)&gt;$BL$4,0,BK107)</f>
        <v>0</v>
      </c>
      <c r="BM107" s="1436">
        <f t="shared" si="117"/>
        <v>0</v>
      </c>
      <c r="BN107" s="1495">
        <f t="shared" si="118"/>
        <v>0</v>
      </c>
      <c r="BO107" s="1437">
        <f t="shared" si="137"/>
        <v>0</v>
      </c>
      <c r="BP107" s="1574">
        <f t="shared" si="93"/>
        <v>0</v>
      </c>
      <c r="BQ107" s="1577">
        <f t="shared" si="94"/>
        <v>0</v>
      </c>
      <c r="BR107" s="1576">
        <f t="shared" si="119"/>
        <v>0</v>
      </c>
      <c r="BS107" s="1574">
        <f t="shared" si="95"/>
        <v>0</v>
      </c>
      <c r="BT107" s="1577">
        <f t="shared" si="96"/>
        <v>0</v>
      </c>
      <c r="BU107" s="1576">
        <f t="shared" si="120"/>
        <v>0</v>
      </c>
      <c r="BV107" s="1574">
        <f t="shared" si="97"/>
        <v>0</v>
      </c>
      <c r="BW107" s="1577">
        <f t="shared" si="98"/>
        <v>0</v>
      </c>
      <c r="BX107" s="1576">
        <f t="shared" si="121"/>
        <v>0</v>
      </c>
      <c r="BY107" s="1574">
        <f t="shared" si="99"/>
        <v>0</v>
      </c>
      <c r="BZ107" s="1577">
        <f t="shared" si="100"/>
        <v>0</v>
      </c>
      <c r="CA107" s="1576">
        <f t="shared" si="122"/>
        <v>0</v>
      </c>
      <c r="CB107" s="1495">
        <f t="shared" si="101"/>
        <v>0</v>
      </c>
      <c r="CC107" s="1577">
        <f t="shared" si="102"/>
        <v>0</v>
      </c>
      <c r="CD107" s="1576">
        <f t="shared" si="123"/>
        <v>0</v>
      </c>
      <c r="CE107" s="1495">
        <f t="shared" si="103"/>
        <v>0</v>
      </c>
      <c r="CF107" s="1577">
        <f t="shared" si="104"/>
        <v>0</v>
      </c>
      <c r="CG107" s="1576">
        <f t="shared" si="124"/>
        <v>0</v>
      </c>
      <c r="CH107" s="1495">
        <f t="shared" si="105"/>
        <v>0</v>
      </c>
      <c r="CI107" s="1577">
        <f t="shared" si="106"/>
        <v>0</v>
      </c>
      <c r="CJ107" s="1576">
        <f t="shared" si="125"/>
        <v>0</v>
      </c>
      <c r="CK107" s="1495">
        <f t="shared" si="107"/>
        <v>0</v>
      </c>
      <c r="CL107" s="1577">
        <f t="shared" si="108"/>
        <v>0</v>
      </c>
      <c r="CM107" s="1576">
        <f t="shared" si="126"/>
        <v>0</v>
      </c>
      <c r="CN107" s="1495">
        <f t="shared" si="109"/>
        <v>0</v>
      </c>
      <c r="CO107" s="1577">
        <f t="shared" si="110"/>
        <v>0</v>
      </c>
      <c r="CP107" s="1576">
        <f t="shared" si="127"/>
        <v>0</v>
      </c>
      <c r="CQ107" s="1495">
        <f t="shared" si="111"/>
        <v>0</v>
      </c>
      <c r="CR107" s="1577">
        <f t="shared" si="112"/>
        <v>0</v>
      </c>
      <c r="CS107" s="1576">
        <f t="shared" si="128"/>
        <v>0</v>
      </c>
      <c r="CT107" s="1495">
        <f t="shared" si="113"/>
        <v>0</v>
      </c>
      <c r="CU107" s="1577">
        <f t="shared" si="114"/>
        <v>0</v>
      </c>
      <c r="CV107" s="1576">
        <f t="shared" si="129"/>
        <v>0</v>
      </c>
      <c r="CW107" s="1495">
        <f t="shared" si="115"/>
        <v>0</v>
      </c>
      <c r="CX107" s="1577">
        <f t="shared" si="116"/>
        <v>0</v>
      </c>
      <c r="CY107" s="1576">
        <f t="shared" si="130"/>
        <v>0</v>
      </c>
      <c r="CZ107" s="1574">
        <f t="shared" si="131"/>
        <v>0</v>
      </c>
      <c r="DA107" s="1578">
        <f t="shared" si="133"/>
        <v>0</v>
      </c>
      <c r="DB107" s="1579">
        <f t="shared" si="134"/>
        <v>0</v>
      </c>
      <c r="DC107" s="1578">
        <f t="shared" si="135"/>
        <v>0</v>
      </c>
      <c r="DD107" s="1578">
        <f t="shared" si="135"/>
        <v>0</v>
      </c>
      <c r="DE107" s="1578">
        <f t="shared" si="135"/>
        <v>0</v>
      </c>
      <c r="DF107" s="1578">
        <f t="shared" si="136"/>
        <v>0</v>
      </c>
      <c r="DG107" s="1420"/>
      <c r="DH107" s="1420"/>
    </row>
    <row r="108" spans="1:112" ht="12">
      <c r="A108" s="1528"/>
      <c r="B108" s="1683" t="s">
        <v>1542</v>
      </c>
      <c r="C108" s="1601">
        <f>F97</f>
        <v>0</v>
      </c>
      <c r="D108" s="1601">
        <f>F98</f>
        <v>0</v>
      </c>
      <c r="E108" s="1475"/>
      <c r="F108" s="1475"/>
      <c r="G108" s="1475"/>
      <c r="H108" s="1475"/>
      <c r="I108" s="1475"/>
      <c r="J108" s="1475"/>
      <c r="K108" s="1475"/>
      <c r="L108" s="1475"/>
      <c r="M108" s="1475"/>
      <c r="BD108" s="1475"/>
      <c r="BE108" s="1571" t="s">
        <v>1210</v>
      </c>
      <c r="BF108" s="1436">
        <v>23</v>
      </c>
      <c r="BG108" s="1436">
        <v>30</v>
      </c>
      <c r="BH108" s="1436">
        <v>2</v>
      </c>
      <c r="BI108" s="1495" t="b">
        <f t="shared" si="132"/>
        <v>1</v>
      </c>
      <c r="BJ108" s="1450" t="b">
        <f t="shared" si="91"/>
        <v>0</v>
      </c>
      <c r="BK108" s="1572">
        <f t="shared" si="92"/>
        <v>0</v>
      </c>
      <c r="BL108" s="1581">
        <f>IF(SUM(BL$79:BL107,BK108)&gt;$BL$4,0,BK108)</f>
        <v>0</v>
      </c>
      <c r="BM108" s="1436">
        <f t="shared" si="117"/>
        <v>0</v>
      </c>
      <c r="BN108" s="1495">
        <f t="shared" si="118"/>
        <v>0</v>
      </c>
      <c r="BO108" s="1437">
        <f t="shared" si="137"/>
        <v>0</v>
      </c>
      <c r="BP108" s="1574">
        <f t="shared" si="93"/>
        <v>0</v>
      </c>
      <c r="BQ108" s="1577">
        <f t="shared" si="94"/>
        <v>0</v>
      </c>
      <c r="BR108" s="1576">
        <f t="shared" si="119"/>
        <v>0</v>
      </c>
      <c r="BS108" s="1574">
        <f t="shared" si="95"/>
        <v>0</v>
      </c>
      <c r="BT108" s="1577">
        <f t="shared" si="96"/>
        <v>0</v>
      </c>
      <c r="BU108" s="1576">
        <f t="shared" si="120"/>
        <v>0</v>
      </c>
      <c r="BV108" s="1574">
        <f t="shared" si="97"/>
        <v>0</v>
      </c>
      <c r="BW108" s="1577">
        <f t="shared" si="98"/>
        <v>0</v>
      </c>
      <c r="BX108" s="1576">
        <f t="shared" si="121"/>
        <v>0</v>
      </c>
      <c r="BY108" s="1574">
        <f t="shared" si="99"/>
        <v>0</v>
      </c>
      <c r="BZ108" s="1577">
        <f t="shared" si="100"/>
        <v>0</v>
      </c>
      <c r="CA108" s="1576">
        <f t="shared" si="122"/>
        <v>0</v>
      </c>
      <c r="CB108" s="1495">
        <f t="shared" si="101"/>
        <v>0</v>
      </c>
      <c r="CC108" s="1577">
        <f t="shared" si="102"/>
        <v>0</v>
      </c>
      <c r="CD108" s="1576">
        <f t="shared" si="123"/>
        <v>0</v>
      </c>
      <c r="CE108" s="1495">
        <f t="shared" si="103"/>
        <v>0</v>
      </c>
      <c r="CF108" s="1577">
        <f t="shared" si="104"/>
        <v>0</v>
      </c>
      <c r="CG108" s="1576">
        <f t="shared" si="124"/>
        <v>0</v>
      </c>
      <c r="CH108" s="1495">
        <f t="shared" si="105"/>
        <v>0</v>
      </c>
      <c r="CI108" s="1577">
        <f t="shared" si="106"/>
        <v>0</v>
      </c>
      <c r="CJ108" s="1576">
        <f t="shared" si="125"/>
        <v>0</v>
      </c>
      <c r="CK108" s="1495">
        <f t="shared" si="107"/>
        <v>0</v>
      </c>
      <c r="CL108" s="1577">
        <f t="shared" si="108"/>
        <v>0</v>
      </c>
      <c r="CM108" s="1576">
        <f t="shared" si="126"/>
        <v>0</v>
      </c>
      <c r="CN108" s="1495">
        <f t="shared" si="109"/>
        <v>0</v>
      </c>
      <c r="CO108" s="1577">
        <f t="shared" si="110"/>
        <v>0</v>
      </c>
      <c r="CP108" s="1576">
        <f t="shared" si="127"/>
        <v>0</v>
      </c>
      <c r="CQ108" s="1495">
        <f t="shared" si="111"/>
        <v>0</v>
      </c>
      <c r="CR108" s="1577">
        <f t="shared" si="112"/>
        <v>0</v>
      </c>
      <c r="CS108" s="1576">
        <f t="shared" si="128"/>
        <v>0</v>
      </c>
      <c r="CT108" s="1495">
        <f t="shared" si="113"/>
        <v>0</v>
      </c>
      <c r="CU108" s="1577">
        <f t="shared" si="114"/>
        <v>0</v>
      </c>
      <c r="CV108" s="1576">
        <f t="shared" si="129"/>
        <v>0</v>
      </c>
      <c r="CW108" s="1495">
        <f t="shared" si="115"/>
        <v>0</v>
      </c>
      <c r="CX108" s="1577">
        <f t="shared" si="116"/>
        <v>0</v>
      </c>
      <c r="CY108" s="1576">
        <f t="shared" si="130"/>
        <v>0</v>
      </c>
      <c r="CZ108" s="1574">
        <f t="shared" si="131"/>
        <v>0</v>
      </c>
      <c r="DA108" s="1578">
        <f t="shared" si="133"/>
        <v>0</v>
      </c>
      <c r="DB108" s="1579">
        <f t="shared" si="134"/>
        <v>0</v>
      </c>
      <c r="DC108" s="1578">
        <f t="shared" si="135"/>
        <v>0</v>
      </c>
      <c r="DD108" s="1578">
        <f t="shared" si="135"/>
        <v>0</v>
      </c>
      <c r="DE108" s="1578">
        <f t="shared" si="135"/>
        <v>0</v>
      </c>
      <c r="DF108" s="1578">
        <f t="shared" si="136"/>
        <v>0</v>
      </c>
      <c r="DG108" s="1420"/>
      <c r="DH108" s="1420"/>
    </row>
    <row r="109" spans="1:112" ht="12">
      <c r="A109" s="1587"/>
      <c r="B109" s="1475"/>
      <c r="C109" s="1684">
        <f>SUM(C105:C108)</f>
        <v>0</v>
      </c>
      <c r="D109" s="1682">
        <f>SUM(D105:D108)</f>
        <v>0</v>
      </c>
      <c r="E109" s="1475"/>
      <c r="F109" s="1475"/>
      <c r="G109" s="1475"/>
      <c r="H109" s="1475"/>
      <c r="I109" s="1475"/>
      <c r="J109" s="1475"/>
      <c r="K109" s="1475"/>
      <c r="L109" s="1475"/>
      <c r="M109" s="1475"/>
      <c r="BD109" s="1475"/>
      <c r="BE109" s="1571" t="s">
        <v>1210</v>
      </c>
      <c r="BF109" s="1436">
        <v>23</v>
      </c>
      <c r="BG109" s="1436">
        <v>31</v>
      </c>
      <c r="BH109" s="1436">
        <v>3</v>
      </c>
      <c r="BI109" s="1495" t="b">
        <f t="shared" si="132"/>
        <v>1</v>
      </c>
      <c r="BJ109" s="1450" t="b">
        <f t="shared" si="91"/>
        <v>0</v>
      </c>
      <c r="BK109" s="1572">
        <f t="shared" si="92"/>
        <v>0</v>
      </c>
      <c r="BL109" s="1573">
        <f>$BL$4-SUM(BL79:BL108)</f>
        <v>0</v>
      </c>
      <c r="BM109" s="1436">
        <f t="shared" si="117"/>
        <v>0</v>
      </c>
      <c r="BN109" s="1495">
        <f t="shared" si="118"/>
        <v>0</v>
      </c>
      <c r="BO109" s="1437">
        <f t="shared" si="137"/>
        <v>0</v>
      </c>
      <c r="BP109" s="1574">
        <f t="shared" si="93"/>
        <v>0</v>
      </c>
      <c r="BQ109" s="1577">
        <f t="shared" si="94"/>
        <v>0</v>
      </c>
      <c r="BR109" s="1576">
        <f t="shared" si="119"/>
        <v>0</v>
      </c>
      <c r="BS109" s="1574">
        <f t="shared" si="95"/>
        <v>0</v>
      </c>
      <c r="BT109" s="1577">
        <f t="shared" si="96"/>
        <v>0</v>
      </c>
      <c r="BU109" s="1576">
        <f t="shared" si="120"/>
        <v>0</v>
      </c>
      <c r="BV109" s="1574">
        <f t="shared" si="97"/>
        <v>0</v>
      </c>
      <c r="BW109" s="1577">
        <f t="shared" si="98"/>
        <v>0</v>
      </c>
      <c r="BX109" s="1576">
        <f t="shared" si="121"/>
        <v>0</v>
      </c>
      <c r="BY109" s="1574">
        <f t="shared" si="99"/>
        <v>0</v>
      </c>
      <c r="BZ109" s="1577">
        <f t="shared" si="100"/>
        <v>0</v>
      </c>
      <c r="CA109" s="1576">
        <f t="shared" si="122"/>
        <v>0</v>
      </c>
      <c r="CB109" s="1495">
        <f t="shared" si="101"/>
        <v>0</v>
      </c>
      <c r="CC109" s="1577">
        <f t="shared" si="102"/>
        <v>0</v>
      </c>
      <c r="CD109" s="1576">
        <f t="shared" si="123"/>
        <v>0</v>
      </c>
      <c r="CE109" s="1495">
        <f t="shared" si="103"/>
        <v>0</v>
      </c>
      <c r="CF109" s="1577">
        <f t="shared" si="104"/>
        <v>0</v>
      </c>
      <c r="CG109" s="1576">
        <f t="shared" si="124"/>
        <v>0</v>
      </c>
      <c r="CH109" s="1495">
        <f t="shared" si="105"/>
        <v>0</v>
      </c>
      <c r="CI109" s="1577">
        <f t="shared" si="106"/>
        <v>0</v>
      </c>
      <c r="CJ109" s="1576">
        <f t="shared" si="125"/>
        <v>0</v>
      </c>
      <c r="CK109" s="1495">
        <f t="shared" si="107"/>
        <v>0</v>
      </c>
      <c r="CL109" s="1577">
        <f t="shared" si="108"/>
        <v>0</v>
      </c>
      <c r="CM109" s="1576">
        <f t="shared" si="126"/>
        <v>0</v>
      </c>
      <c r="CN109" s="1495">
        <f t="shared" si="109"/>
        <v>0</v>
      </c>
      <c r="CO109" s="1577">
        <f t="shared" si="110"/>
        <v>0</v>
      </c>
      <c r="CP109" s="1576">
        <f t="shared" si="127"/>
        <v>0</v>
      </c>
      <c r="CQ109" s="1495">
        <f t="shared" si="111"/>
        <v>0</v>
      </c>
      <c r="CR109" s="1577">
        <f t="shared" si="112"/>
        <v>0</v>
      </c>
      <c r="CS109" s="1576">
        <f t="shared" si="128"/>
        <v>0</v>
      </c>
      <c r="CT109" s="1495">
        <f t="shared" si="113"/>
        <v>0</v>
      </c>
      <c r="CU109" s="1577">
        <f t="shared" si="114"/>
        <v>0</v>
      </c>
      <c r="CV109" s="1576">
        <f t="shared" si="129"/>
        <v>0</v>
      </c>
      <c r="CW109" s="1495">
        <f t="shared" si="115"/>
        <v>0</v>
      </c>
      <c r="CX109" s="1577">
        <f t="shared" si="116"/>
        <v>0</v>
      </c>
      <c r="CY109" s="1576">
        <f t="shared" si="130"/>
        <v>0</v>
      </c>
      <c r="CZ109" s="1574">
        <f t="shared" si="131"/>
        <v>0</v>
      </c>
      <c r="DA109" s="1578">
        <f t="shared" si="133"/>
        <v>0</v>
      </c>
      <c r="DB109" s="1579">
        <f t="shared" si="134"/>
        <v>0</v>
      </c>
      <c r="DC109" s="1578">
        <f t="shared" si="135"/>
        <v>0</v>
      </c>
      <c r="DD109" s="1578">
        <f t="shared" si="135"/>
        <v>0</v>
      </c>
      <c r="DE109" s="1578">
        <f t="shared" si="135"/>
        <v>0</v>
      </c>
      <c r="DF109" s="1578">
        <f t="shared" si="136"/>
        <v>0</v>
      </c>
      <c r="DG109" s="1420"/>
      <c r="DH109" s="1420"/>
    </row>
    <row r="110" spans="1:112" ht="12">
      <c r="A110" s="1587"/>
      <c r="B110" s="1475"/>
      <c r="C110" s="1475"/>
      <c r="D110" s="1475"/>
      <c r="E110" s="1475"/>
      <c r="F110" s="1475"/>
      <c r="G110" s="1475"/>
      <c r="H110" s="1475"/>
      <c r="I110" s="1475"/>
      <c r="J110" s="1475"/>
      <c r="K110" s="1475"/>
      <c r="L110" s="1475"/>
      <c r="M110" s="1475"/>
      <c r="BD110" s="1475"/>
      <c r="BE110" s="1571" t="s">
        <v>1211</v>
      </c>
      <c r="BF110" s="1436">
        <v>22</v>
      </c>
      <c r="BG110" s="1436">
        <v>1</v>
      </c>
      <c r="BH110" s="1436">
        <v>4</v>
      </c>
      <c r="BI110" s="1495" t="b">
        <f t="shared" si="132"/>
        <v>1</v>
      </c>
      <c r="BJ110" s="1450" t="b">
        <f t="shared" ref="BJ110:BJ139" si="138">MOD(BG110,$BM$7)=0</f>
        <v>0</v>
      </c>
      <c r="BK110" s="1572">
        <f t="shared" ref="BK110:BK139" si="139">IF(BJ110,BM$8,0)</f>
        <v>0</v>
      </c>
      <c r="BL110" s="1573">
        <f>BK110</f>
        <v>0</v>
      </c>
      <c r="BM110" s="1436">
        <f t="shared" si="117"/>
        <v>0</v>
      </c>
      <c r="BN110" s="1495">
        <f t="shared" si="118"/>
        <v>0</v>
      </c>
      <c r="BO110" s="1437">
        <f t="shared" si="137"/>
        <v>0</v>
      </c>
      <c r="BP110" s="1574">
        <f t="shared" ref="BP110:BP139" si="140">$Q$337/$BF$110*BR$16*$BI110</f>
        <v>0</v>
      </c>
      <c r="BQ110" s="1577">
        <f t="shared" ref="BQ110:BQ139" si="141">AQ$372/$BF110*$BI110</f>
        <v>0</v>
      </c>
      <c r="BR110" s="1576">
        <f t="shared" si="119"/>
        <v>0</v>
      </c>
      <c r="BS110" s="1574">
        <f t="shared" ref="BS110:BS139" si="142">$R$337/$BF110*BU$16*$BI110</f>
        <v>0</v>
      </c>
      <c r="BT110" s="1577">
        <f t="shared" ref="BT110:BT139" si="143">AR$372/$BF110*$BI110</f>
        <v>0</v>
      </c>
      <c r="BU110" s="1576">
        <f t="shared" si="120"/>
        <v>0</v>
      </c>
      <c r="BV110" s="1574">
        <f t="shared" ref="BV110:BV139" si="144">$S$337/$BF110*BX$16*$BI110</f>
        <v>0</v>
      </c>
      <c r="BW110" s="1577">
        <f t="shared" ref="BW110:BW139" si="145">AS$372/$BF110*$BI110</f>
        <v>0</v>
      </c>
      <c r="BX110" s="1576">
        <f t="shared" si="121"/>
        <v>0</v>
      </c>
      <c r="BY110" s="1574">
        <f t="shared" ref="BY110:BY139" si="146">$T$337/$BF110*CA$16*$BI110</f>
        <v>0</v>
      </c>
      <c r="BZ110" s="1577">
        <f t="shared" ref="BZ110:BZ139" si="147">AT$372/$BF110*$BI110</f>
        <v>0</v>
      </c>
      <c r="CA110" s="1576">
        <f t="shared" si="122"/>
        <v>0</v>
      </c>
      <c r="CB110" s="1495">
        <f t="shared" ref="CB110:CB139" si="148">$W$337/BF110*BI110*$C$419</f>
        <v>0</v>
      </c>
      <c r="CC110" s="1577">
        <f t="shared" ref="CC110:CC139" si="149">AU$372/$BF110*$BI110</f>
        <v>0</v>
      </c>
      <c r="CD110" s="1576">
        <f t="shared" si="123"/>
        <v>0</v>
      </c>
      <c r="CE110" s="1495">
        <f t="shared" ref="CE110:CE139" si="150">$X$337/BF110*BI110*$C$420</f>
        <v>0</v>
      </c>
      <c r="CF110" s="1577">
        <f t="shared" ref="CF110:CF139" si="151">AV$372/$BF110*$BI110</f>
        <v>0</v>
      </c>
      <c r="CG110" s="1576">
        <f t="shared" si="124"/>
        <v>0</v>
      </c>
      <c r="CH110" s="1495">
        <f t="shared" ref="CH110:CH139" si="152">$Y$337/BF110*BI110*$C$421</f>
        <v>0</v>
      </c>
      <c r="CI110" s="1577">
        <f t="shared" ref="CI110:CI139" si="153">AW$372/$BF110*$BI110</f>
        <v>0</v>
      </c>
      <c r="CJ110" s="1576">
        <f t="shared" si="125"/>
        <v>0</v>
      </c>
      <c r="CK110" s="1495">
        <f t="shared" ref="CK110:CK139" si="154">$Z$337/BF110*BI110*$CM$16</f>
        <v>0</v>
      </c>
      <c r="CL110" s="1577">
        <f t="shared" ref="CL110:CL139" si="155">AX$372/$BF110*$BI110</f>
        <v>0</v>
      </c>
      <c r="CM110" s="1576">
        <f t="shared" si="126"/>
        <v>0</v>
      </c>
      <c r="CN110" s="1495">
        <f t="shared" ref="CN110:CN139" si="156">$AA$337/BF110*BI110*$CP$16</f>
        <v>0</v>
      </c>
      <c r="CO110" s="1577">
        <f t="shared" ref="CO110:CO139" si="157">$AY$372/$BF110*$BI110</f>
        <v>0</v>
      </c>
      <c r="CP110" s="1576">
        <f t="shared" si="127"/>
        <v>0</v>
      </c>
      <c r="CQ110" s="1495">
        <f t="shared" ref="CQ110:CQ139" si="158">$AB$337/BF110*BI110*$CS$16</f>
        <v>0</v>
      </c>
      <c r="CR110" s="1577">
        <f t="shared" ref="CR110:CR139" si="159">AZ$372/$BF110*$BI110</f>
        <v>0</v>
      </c>
      <c r="CS110" s="1576">
        <f t="shared" si="128"/>
        <v>0</v>
      </c>
      <c r="CT110" s="1495">
        <f t="shared" ref="CT110:CT139" si="160">$AC$337/BF110*BI110*$CV$16</f>
        <v>0</v>
      </c>
      <c r="CU110" s="1577">
        <f t="shared" ref="CU110:CU139" si="161">BA$372/$BF110*$BI110</f>
        <v>0</v>
      </c>
      <c r="CV110" s="1576">
        <f t="shared" si="129"/>
        <v>0</v>
      </c>
      <c r="CW110" s="1495">
        <f t="shared" ref="CW110:CW139" si="162">$AD$337/BF110*BI110*$CY$16</f>
        <v>0</v>
      </c>
      <c r="CX110" s="1577">
        <f t="shared" ref="CX110:CX139" si="163">BB$372/$BF110*$BI110</f>
        <v>0</v>
      </c>
      <c r="CY110" s="1576">
        <f t="shared" si="130"/>
        <v>0</v>
      </c>
      <c r="CZ110" s="1574">
        <f t="shared" si="131"/>
        <v>0</v>
      </c>
      <c r="DA110" s="1578">
        <f t="shared" si="133"/>
        <v>0</v>
      </c>
      <c r="DB110" s="1579">
        <f t="shared" si="134"/>
        <v>0</v>
      </c>
      <c r="DC110" s="1578">
        <f t="shared" si="135"/>
        <v>0</v>
      </c>
      <c r="DD110" s="1578">
        <f t="shared" si="135"/>
        <v>0</v>
      </c>
      <c r="DE110" s="1578">
        <f t="shared" si="135"/>
        <v>0</v>
      </c>
      <c r="DF110" s="1578">
        <f>IF(DA110-(DE109+CZ110)&lt;0,0,DA110-(DE109+CZ110))</f>
        <v>0</v>
      </c>
      <c r="DG110" s="1420"/>
      <c r="DH110" s="1420"/>
    </row>
    <row r="111" spans="1:112" ht="12">
      <c r="A111" s="1587"/>
      <c r="B111" s="1475"/>
      <c r="C111" s="1475"/>
      <c r="D111" s="1475"/>
      <c r="E111" s="1475"/>
      <c r="F111" s="1475"/>
      <c r="G111" s="1475"/>
      <c r="H111" s="1475"/>
      <c r="I111" s="1475"/>
      <c r="J111" s="1475"/>
      <c r="K111" s="1475"/>
      <c r="L111" s="1475"/>
      <c r="M111" s="1475"/>
      <c r="BD111" s="1475"/>
      <c r="BE111" s="1571" t="s">
        <v>1211</v>
      </c>
      <c r="BF111" s="1436">
        <v>22</v>
      </c>
      <c r="BG111" s="1436">
        <v>2</v>
      </c>
      <c r="BH111" s="1436">
        <v>5</v>
      </c>
      <c r="BI111" s="1495" t="b">
        <f t="shared" si="132"/>
        <v>1</v>
      </c>
      <c r="BJ111" s="1450" t="b">
        <f t="shared" si="138"/>
        <v>0</v>
      </c>
      <c r="BK111" s="1572">
        <f t="shared" si="139"/>
        <v>0</v>
      </c>
      <c r="BL111" s="1581">
        <f>IF(SUM(BL$110:BL110,BK111)&gt;$BM$4,0,BK111)</f>
        <v>0</v>
      </c>
      <c r="BM111" s="1436">
        <f t="shared" si="117"/>
        <v>0</v>
      </c>
      <c r="BN111" s="1495">
        <f t="shared" si="118"/>
        <v>0</v>
      </c>
      <c r="BO111" s="1437">
        <f t="shared" si="137"/>
        <v>0</v>
      </c>
      <c r="BP111" s="1574">
        <f t="shared" si="140"/>
        <v>0</v>
      </c>
      <c r="BQ111" s="1577">
        <f t="shared" si="141"/>
        <v>0</v>
      </c>
      <c r="BR111" s="1576">
        <f t="shared" si="119"/>
        <v>0</v>
      </c>
      <c r="BS111" s="1574">
        <f t="shared" si="142"/>
        <v>0</v>
      </c>
      <c r="BT111" s="1577">
        <f t="shared" si="143"/>
        <v>0</v>
      </c>
      <c r="BU111" s="1576">
        <f t="shared" si="120"/>
        <v>0</v>
      </c>
      <c r="BV111" s="1574">
        <f t="shared" si="144"/>
        <v>0</v>
      </c>
      <c r="BW111" s="1577">
        <f t="shared" si="145"/>
        <v>0</v>
      </c>
      <c r="BX111" s="1576">
        <f t="shared" si="121"/>
        <v>0</v>
      </c>
      <c r="BY111" s="1574">
        <f t="shared" si="146"/>
        <v>0</v>
      </c>
      <c r="BZ111" s="1577">
        <f t="shared" si="147"/>
        <v>0</v>
      </c>
      <c r="CA111" s="1576">
        <f t="shared" si="122"/>
        <v>0</v>
      </c>
      <c r="CB111" s="1495">
        <f t="shared" si="148"/>
        <v>0</v>
      </c>
      <c r="CC111" s="1577">
        <f t="shared" si="149"/>
        <v>0</v>
      </c>
      <c r="CD111" s="1576">
        <f t="shared" si="123"/>
        <v>0</v>
      </c>
      <c r="CE111" s="1495">
        <f t="shared" si="150"/>
        <v>0</v>
      </c>
      <c r="CF111" s="1577">
        <f t="shared" si="151"/>
        <v>0</v>
      </c>
      <c r="CG111" s="1576">
        <f t="shared" si="124"/>
        <v>0</v>
      </c>
      <c r="CH111" s="1495">
        <f t="shared" si="152"/>
        <v>0</v>
      </c>
      <c r="CI111" s="1577">
        <f t="shared" si="153"/>
        <v>0</v>
      </c>
      <c r="CJ111" s="1576">
        <f t="shared" si="125"/>
        <v>0</v>
      </c>
      <c r="CK111" s="1495">
        <f t="shared" si="154"/>
        <v>0</v>
      </c>
      <c r="CL111" s="1577">
        <f t="shared" si="155"/>
        <v>0</v>
      </c>
      <c r="CM111" s="1576">
        <f t="shared" si="126"/>
        <v>0</v>
      </c>
      <c r="CN111" s="1495">
        <f t="shared" si="156"/>
        <v>0</v>
      </c>
      <c r="CO111" s="1577">
        <f t="shared" si="157"/>
        <v>0</v>
      </c>
      <c r="CP111" s="1576">
        <f t="shared" si="127"/>
        <v>0</v>
      </c>
      <c r="CQ111" s="1495">
        <f t="shared" si="158"/>
        <v>0</v>
      </c>
      <c r="CR111" s="1577">
        <f t="shared" si="159"/>
        <v>0</v>
      </c>
      <c r="CS111" s="1576">
        <f t="shared" si="128"/>
        <v>0</v>
      </c>
      <c r="CT111" s="1495">
        <f t="shared" si="160"/>
        <v>0</v>
      </c>
      <c r="CU111" s="1577">
        <f t="shared" si="161"/>
        <v>0</v>
      </c>
      <c r="CV111" s="1576">
        <f t="shared" si="129"/>
        <v>0</v>
      </c>
      <c r="CW111" s="1495">
        <f t="shared" si="162"/>
        <v>0</v>
      </c>
      <c r="CX111" s="1577">
        <f t="shared" si="163"/>
        <v>0</v>
      </c>
      <c r="CY111" s="1576">
        <f t="shared" si="130"/>
        <v>0</v>
      </c>
      <c r="CZ111" s="1574">
        <f t="shared" si="131"/>
        <v>0</v>
      </c>
      <c r="DA111" s="1578">
        <f t="shared" si="133"/>
        <v>0</v>
      </c>
      <c r="DB111" s="1579">
        <f t="shared" si="134"/>
        <v>0</v>
      </c>
      <c r="DC111" s="1578">
        <f t="shared" si="135"/>
        <v>0</v>
      </c>
      <c r="DD111" s="1578">
        <f t="shared" si="135"/>
        <v>0</v>
      </c>
      <c r="DE111" s="1578">
        <f t="shared" si="135"/>
        <v>0</v>
      </c>
      <c r="DF111" s="1578">
        <f t="shared" si="136"/>
        <v>0</v>
      </c>
      <c r="DG111" s="1420"/>
      <c r="DH111" s="1420"/>
    </row>
    <row r="112" spans="1:112" ht="12">
      <c r="A112" s="1587"/>
      <c r="B112" s="1475"/>
      <c r="C112" s="1475"/>
      <c r="D112" s="1475"/>
      <c r="E112" s="1475"/>
      <c r="F112" s="1475"/>
      <c r="G112" s="1475"/>
      <c r="H112" s="1475"/>
      <c r="I112" s="1475"/>
      <c r="J112" s="1475"/>
      <c r="K112" s="1475"/>
      <c r="L112" s="1475"/>
      <c r="M112" s="1475"/>
      <c r="BD112" s="1475"/>
      <c r="BE112" s="1571" t="s">
        <v>1211</v>
      </c>
      <c r="BF112" s="1436">
        <v>22</v>
      </c>
      <c r="BG112" s="1436">
        <v>3</v>
      </c>
      <c r="BH112" s="1436">
        <v>6</v>
      </c>
      <c r="BI112" s="1495" t="b">
        <f t="shared" si="132"/>
        <v>0</v>
      </c>
      <c r="BJ112" s="1450" t="b">
        <f t="shared" si="138"/>
        <v>0</v>
      </c>
      <c r="BK112" s="1572">
        <f t="shared" si="139"/>
        <v>0</v>
      </c>
      <c r="BL112" s="1581">
        <f>IF(SUM(BL$110:BL111,BK112)&gt;$BM$4,0,BK112)</f>
        <v>0</v>
      </c>
      <c r="BM112" s="1436">
        <f t="shared" si="117"/>
        <v>0</v>
      </c>
      <c r="BN112" s="1495">
        <f t="shared" si="118"/>
        <v>0</v>
      </c>
      <c r="BO112" s="1437">
        <f t="shared" si="137"/>
        <v>0</v>
      </c>
      <c r="BP112" s="1574">
        <f t="shared" si="140"/>
        <v>0</v>
      </c>
      <c r="BQ112" s="1577">
        <f t="shared" si="141"/>
        <v>0</v>
      </c>
      <c r="BR112" s="1576">
        <f t="shared" si="119"/>
        <v>0</v>
      </c>
      <c r="BS112" s="1574">
        <f t="shared" si="142"/>
        <v>0</v>
      </c>
      <c r="BT112" s="1577">
        <f t="shared" si="143"/>
        <v>0</v>
      </c>
      <c r="BU112" s="1576">
        <f t="shared" si="120"/>
        <v>0</v>
      </c>
      <c r="BV112" s="1574">
        <f t="shared" si="144"/>
        <v>0</v>
      </c>
      <c r="BW112" s="1577">
        <f t="shared" si="145"/>
        <v>0</v>
      </c>
      <c r="BX112" s="1576">
        <f t="shared" si="121"/>
        <v>0</v>
      </c>
      <c r="BY112" s="1574">
        <f t="shared" si="146"/>
        <v>0</v>
      </c>
      <c r="BZ112" s="1577">
        <f t="shared" si="147"/>
        <v>0</v>
      </c>
      <c r="CA112" s="1576">
        <f t="shared" si="122"/>
        <v>0</v>
      </c>
      <c r="CB112" s="1495">
        <f t="shared" si="148"/>
        <v>0</v>
      </c>
      <c r="CC112" s="1577">
        <f t="shared" si="149"/>
        <v>0</v>
      </c>
      <c r="CD112" s="1576">
        <f t="shared" si="123"/>
        <v>0</v>
      </c>
      <c r="CE112" s="1495">
        <f t="shared" si="150"/>
        <v>0</v>
      </c>
      <c r="CF112" s="1577">
        <f t="shared" si="151"/>
        <v>0</v>
      </c>
      <c r="CG112" s="1576">
        <f t="shared" si="124"/>
        <v>0</v>
      </c>
      <c r="CH112" s="1495">
        <f t="shared" si="152"/>
        <v>0</v>
      </c>
      <c r="CI112" s="1577">
        <f t="shared" si="153"/>
        <v>0</v>
      </c>
      <c r="CJ112" s="1576">
        <f t="shared" si="125"/>
        <v>0</v>
      </c>
      <c r="CK112" s="1495">
        <f t="shared" si="154"/>
        <v>0</v>
      </c>
      <c r="CL112" s="1577">
        <f t="shared" si="155"/>
        <v>0</v>
      </c>
      <c r="CM112" s="1576">
        <f t="shared" si="126"/>
        <v>0</v>
      </c>
      <c r="CN112" s="1495">
        <f t="shared" si="156"/>
        <v>0</v>
      </c>
      <c r="CO112" s="1577">
        <f t="shared" si="157"/>
        <v>0</v>
      </c>
      <c r="CP112" s="1576">
        <f t="shared" si="127"/>
        <v>0</v>
      </c>
      <c r="CQ112" s="1495">
        <f t="shared" si="158"/>
        <v>0</v>
      </c>
      <c r="CR112" s="1577">
        <f t="shared" si="159"/>
        <v>0</v>
      </c>
      <c r="CS112" s="1576">
        <f t="shared" si="128"/>
        <v>0</v>
      </c>
      <c r="CT112" s="1495">
        <f t="shared" si="160"/>
        <v>0</v>
      </c>
      <c r="CU112" s="1577">
        <f t="shared" si="161"/>
        <v>0</v>
      </c>
      <c r="CV112" s="1576">
        <f t="shared" si="129"/>
        <v>0</v>
      </c>
      <c r="CW112" s="1495">
        <f t="shared" si="162"/>
        <v>0</v>
      </c>
      <c r="CX112" s="1577">
        <f t="shared" si="163"/>
        <v>0</v>
      </c>
      <c r="CY112" s="1576">
        <f t="shared" si="130"/>
        <v>0</v>
      </c>
      <c r="CZ112" s="1574">
        <f t="shared" si="131"/>
        <v>0</v>
      </c>
      <c r="DA112" s="1578">
        <f t="shared" si="133"/>
        <v>0</v>
      </c>
      <c r="DB112" s="1579">
        <f t="shared" si="134"/>
        <v>0</v>
      </c>
      <c r="DC112" s="1578">
        <f t="shared" si="135"/>
        <v>0</v>
      </c>
      <c r="DD112" s="1578">
        <f t="shared" si="135"/>
        <v>0</v>
      </c>
      <c r="DE112" s="1578">
        <f t="shared" si="135"/>
        <v>0</v>
      </c>
      <c r="DF112" s="1578">
        <f t="shared" si="136"/>
        <v>0</v>
      </c>
      <c r="DG112" s="1420"/>
      <c r="DH112" s="1420"/>
    </row>
    <row r="113" spans="1:149" ht="12">
      <c r="A113" s="1587"/>
      <c r="B113" s="1475"/>
      <c r="C113" s="1475"/>
      <c r="D113" s="1475"/>
      <c r="E113" s="1475"/>
      <c r="F113" s="1475"/>
      <c r="G113" s="1475"/>
      <c r="H113" s="1475"/>
      <c r="I113" s="1475"/>
      <c r="J113" s="1475"/>
      <c r="K113" s="1475"/>
      <c r="L113" s="1475"/>
      <c r="M113" s="1475"/>
      <c r="BD113" s="1475"/>
      <c r="BE113" s="1571" t="s">
        <v>1211</v>
      </c>
      <c r="BF113" s="1436">
        <v>22</v>
      </c>
      <c r="BG113" s="1436">
        <v>4</v>
      </c>
      <c r="BH113" s="1436">
        <v>7</v>
      </c>
      <c r="BI113" s="1495" t="b">
        <f t="shared" si="132"/>
        <v>0</v>
      </c>
      <c r="BJ113" s="1450" t="b">
        <f t="shared" si="138"/>
        <v>0</v>
      </c>
      <c r="BK113" s="1572">
        <f t="shared" si="139"/>
        <v>0</v>
      </c>
      <c r="BL113" s="1581">
        <f>IF(SUM(BL$110:BL112,BK113)&gt;$BM$4,0,BK113)</f>
        <v>0</v>
      </c>
      <c r="BM113" s="1436">
        <f t="shared" si="117"/>
        <v>0</v>
      </c>
      <c r="BN113" s="1495">
        <f t="shared" si="118"/>
        <v>0</v>
      </c>
      <c r="BO113" s="1437">
        <f t="shared" si="137"/>
        <v>0</v>
      </c>
      <c r="BP113" s="1574">
        <f t="shared" si="140"/>
        <v>0</v>
      </c>
      <c r="BQ113" s="1577">
        <f t="shared" si="141"/>
        <v>0</v>
      </c>
      <c r="BR113" s="1576">
        <f t="shared" si="119"/>
        <v>0</v>
      </c>
      <c r="BS113" s="1574">
        <f t="shared" si="142"/>
        <v>0</v>
      </c>
      <c r="BT113" s="1577">
        <f t="shared" si="143"/>
        <v>0</v>
      </c>
      <c r="BU113" s="1576">
        <f t="shared" si="120"/>
        <v>0</v>
      </c>
      <c r="BV113" s="1574">
        <f t="shared" si="144"/>
        <v>0</v>
      </c>
      <c r="BW113" s="1577">
        <f t="shared" si="145"/>
        <v>0</v>
      </c>
      <c r="BX113" s="1576">
        <f t="shared" si="121"/>
        <v>0</v>
      </c>
      <c r="BY113" s="1574">
        <f t="shared" si="146"/>
        <v>0</v>
      </c>
      <c r="BZ113" s="1577">
        <f t="shared" si="147"/>
        <v>0</v>
      </c>
      <c r="CA113" s="1576">
        <f t="shared" si="122"/>
        <v>0</v>
      </c>
      <c r="CB113" s="1495">
        <f t="shared" si="148"/>
        <v>0</v>
      </c>
      <c r="CC113" s="1577">
        <f t="shared" si="149"/>
        <v>0</v>
      </c>
      <c r="CD113" s="1576">
        <f t="shared" si="123"/>
        <v>0</v>
      </c>
      <c r="CE113" s="1495">
        <f t="shared" si="150"/>
        <v>0</v>
      </c>
      <c r="CF113" s="1577">
        <f t="shared" si="151"/>
        <v>0</v>
      </c>
      <c r="CG113" s="1576">
        <f t="shared" si="124"/>
        <v>0</v>
      </c>
      <c r="CH113" s="1495">
        <f t="shared" si="152"/>
        <v>0</v>
      </c>
      <c r="CI113" s="1577">
        <f t="shared" si="153"/>
        <v>0</v>
      </c>
      <c r="CJ113" s="1576">
        <f t="shared" si="125"/>
        <v>0</v>
      </c>
      <c r="CK113" s="1495">
        <f t="shared" si="154"/>
        <v>0</v>
      </c>
      <c r="CL113" s="1577">
        <f t="shared" si="155"/>
        <v>0</v>
      </c>
      <c r="CM113" s="1576">
        <f t="shared" si="126"/>
        <v>0</v>
      </c>
      <c r="CN113" s="1495">
        <f t="shared" si="156"/>
        <v>0</v>
      </c>
      <c r="CO113" s="1577">
        <f t="shared" si="157"/>
        <v>0</v>
      </c>
      <c r="CP113" s="1576">
        <f t="shared" si="127"/>
        <v>0</v>
      </c>
      <c r="CQ113" s="1495">
        <f t="shared" si="158"/>
        <v>0</v>
      </c>
      <c r="CR113" s="1577">
        <f t="shared" si="159"/>
        <v>0</v>
      </c>
      <c r="CS113" s="1576">
        <f t="shared" si="128"/>
        <v>0</v>
      </c>
      <c r="CT113" s="1495">
        <f t="shared" si="160"/>
        <v>0</v>
      </c>
      <c r="CU113" s="1577">
        <f t="shared" si="161"/>
        <v>0</v>
      </c>
      <c r="CV113" s="1576">
        <f t="shared" si="129"/>
        <v>0</v>
      </c>
      <c r="CW113" s="1495">
        <f t="shared" si="162"/>
        <v>0</v>
      </c>
      <c r="CX113" s="1577">
        <f t="shared" si="163"/>
        <v>0</v>
      </c>
      <c r="CY113" s="1576">
        <f t="shared" si="130"/>
        <v>0</v>
      </c>
      <c r="CZ113" s="1574">
        <f t="shared" si="131"/>
        <v>0</v>
      </c>
      <c r="DA113" s="1578">
        <f t="shared" si="133"/>
        <v>0</v>
      </c>
      <c r="DB113" s="1579">
        <f t="shared" si="134"/>
        <v>0</v>
      </c>
      <c r="DC113" s="1578">
        <f t="shared" si="135"/>
        <v>0</v>
      </c>
      <c r="DD113" s="1578">
        <f t="shared" si="135"/>
        <v>0</v>
      </c>
      <c r="DE113" s="1578">
        <f t="shared" si="135"/>
        <v>0</v>
      </c>
      <c r="DF113" s="1578">
        <f t="shared" si="136"/>
        <v>0</v>
      </c>
      <c r="DG113" s="1420"/>
      <c r="DH113" s="1420"/>
    </row>
    <row r="114" spans="1:149" ht="12">
      <c r="A114" s="1587"/>
      <c r="B114" s="1475"/>
      <c r="C114" s="1475"/>
      <c r="D114" s="1475"/>
      <c r="E114" s="1475"/>
      <c r="F114" s="1475"/>
      <c r="G114" s="1475"/>
      <c r="H114" s="1475"/>
      <c r="I114" s="1475"/>
      <c r="J114" s="1475"/>
      <c r="K114" s="1475"/>
      <c r="L114" s="1475"/>
      <c r="M114" s="1475"/>
      <c r="BD114" s="1475"/>
      <c r="BE114" s="1571" t="s">
        <v>1211</v>
      </c>
      <c r="BF114" s="1436">
        <v>22</v>
      </c>
      <c r="BG114" s="1436">
        <v>5</v>
      </c>
      <c r="BH114" s="1436">
        <v>1</v>
      </c>
      <c r="BI114" s="1495" t="b">
        <f t="shared" si="132"/>
        <v>1</v>
      </c>
      <c r="BJ114" s="1450" t="b">
        <f t="shared" si="138"/>
        <v>0</v>
      </c>
      <c r="BK114" s="1572">
        <f t="shared" si="139"/>
        <v>0</v>
      </c>
      <c r="BL114" s="1581">
        <f>IF(SUM(BL$110:BL113,BK114)&gt;$BM$4,0,BK114)</f>
        <v>0</v>
      </c>
      <c r="BM114" s="1436">
        <f t="shared" si="117"/>
        <v>0</v>
      </c>
      <c r="BN114" s="1495">
        <f t="shared" si="118"/>
        <v>0</v>
      </c>
      <c r="BO114" s="1437">
        <f t="shared" si="137"/>
        <v>0</v>
      </c>
      <c r="BP114" s="1574">
        <f t="shared" si="140"/>
        <v>0</v>
      </c>
      <c r="BQ114" s="1577">
        <f t="shared" si="141"/>
        <v>0</v>
      </c>
      <c r="BR114" s="1576">
        <f t="shared" si="119"/>
        <v>0</v>
      </c>
      <c r="BS114" s="1574">
        <f t="shared" si="142"/>
        <v>0</v>
      </c>
      <c r="BT114" s="1577">
        <f t="shared" si="143"/>
        <v>0</v>
      </c>
      <c r="BU114" s="1576">
        <f t="shared" si="120"/>
        <v>0</v>
      </c>
      <c r="BV114" s="1574">
        <f t="shared" si="144"/>
        <v>0</v>
      </c>
      <c r="BW114" s="1577">
        <f t="shared" si="145"/>
        <v>0</v>
      </c>
      <c r="BX114" s="1576">
        <f t="shared" si="121"/>
        <v>0</v>
      </c>
      <c r="BY114" s="1574">
        <f t="shared" si="146"/>
        <v>0</v>
      </c>
      <c r="BZ114" s="1577">
        <f t="shared" si="147"/>
        <v>0</v>
      </c>
      <c r="CA114" s="1576">
        <f t="shared" si="122"/>
        <v>0</v>
      </c>
      <c r="CB114" s="1495">
        <f t="shared" si="148"/>
        <v>0</v>
      </c>
      <c r="CC114" s="1577">
        <f t="shared" si="149"/>
        <v>0</v>
      </c>
      <c r="CD114" s="1576">
        <f t="shared" si="123"/>
        <v>0</v>
      </c>
      <c r="CE114" s="1495">
        <f t="shared" si="150"/>
        <v>0</v>
      </c>
      <c r="CF114" s="1577">
        <f t="shared" si="151"/>
        <v>0</v>
      </c>
      <c r="CG114" s="1576">
        <f t="shared" si="124"/>
        <v>0</v>
      </c>
      <c r="CH114" s="1495">
        <f t="shared" si="152"/>
        <v>0</v>
      </c>
      <c r="CI114" s="1577">
        <f t="shared" si="153"/>
        <v>0</v>
      </c>
      <c r="CJ114" s="1576">
        <f t="shared" si="125"/>
        <v>0</v>
      </c>
      <c r="CK114" s="1495">
        <f t="shared" si="154"/>
        <v>0</v>
      </c>
      <c r="CL114" s="1577">
        <f t="shared" si="155"/>
        <v>0</v>
      </c>
      <c r="CM114" s="1576">
        <f t="shared" si="126"/>
        <v>0</v>
      </c>
      <c r="CN114" s="1495">
        <f t="shared" si="156"/>
        <v>0</v>
      </c>
      <c r="CO114" s="1577">
        <f t="shared" si="157"/>
        <v>0</v>
      </c>
      <c r="CP114" s="1576">
        <f t="shared" si="127"/>
        <v>0</v>
      </c>
      <c r="CQ114" s="1495">
        <f t="shared" si="158"/>
        <v>0</v>
      </c>
      <c r="CR114" s="1577">
        <f t="shared" si="159"/>
        <v>0</v>
      </c>
      <c r="CS114" s="1576">
        <f t="shared" si="128"/>
        <v>0</v>
      </c>
      <c r="CT114" s="1495">
        <f t="shared" si="160"/>
        <v>0</v>
      </c>
      <c r="CU114" s="1577">
        <f t="shared" si="161"/>
        <v>0</v>
      </c>
      <c r="CV114" s="1576">
        <f t="shared" si="129"/>
        <v>0</v>
      </c>
      <c r="CW114" s="1495">
        <f t="shared" si="162"/>
        <v>0</v>
      </c>
      <c r="CX114" s="1577">
        <f t="shared" si="163"/>
        <v>0</v>
      </c>
      <c r="CY114" s="1576">
        <f t="shared" si="130"/>
        <v>0</v>
      </c>
      <c r="CZ114" s="1574">
        <f t="shared" si="131"/>
        <v>0</v>
      </c>
      <c r="DA114" s="1578">
        <f t="shared" si="133"/>
        <v>0</v>
      </c>
      <c r="DB114" s="1579">
        <f t="shared" si="134"/>
        <v>0</v>
      </c>
      <c r="DC114" s="1578">
        <f t="shared" si="135"/>
        <v>0</v>
      </c>
      <c r="DD114" s="1578">
        <f t="shared" si="135"/>
        <v>0</v>
      </c>
      <c r="DE114" s="1578">
        <f t="shared" si="135"/>
        <v>0</v>
      </c>
      <c r="DF114" s="1578">
        <f t="shared" si="136"/>
        <v>0</v>
      </c>
      <c r="DG114" s="1420"/>
      <c r="DH114" s="1420"/>
    </row>
    <row r="115" spans="1:149" ht="12">
      <c r="A115" s="1587"/>
      <c r="B115" s="1475"/>
      <c r="C115" s="1475"/>
      <c r="D115" s="1475"/>
      <c r="E115" s="1475"/>
      <c r="F115" s="1475"/>
      <c r="G115" s="1475"/>
      <c r="H115" s="1475"/>
      <c r="I115" s="1475"/>
      <c r="J115" s="1475"/>
      <c r="K115" s="1475"/>
      <c r="L115" s="1475"/>
      <c r="M115" s="1475"/>
      <c r="BD115" s="1475"/>
      <c r="BE115" s="1571" t="s">
        <v>1211</v>
      </c>
      <c r="BF115" s="1436">
        <v>22</v>
      </c>
      <c r="BG115" s="1436">
        <v>6</v>
      </c>
      <c r="BH115" s="1436">
        <v>2</v>
      </c>
      <c r="BI115" s="1495" t="b">
        <f t="shared" si="132"/>
        <v>1</v>
      </c>
      <c r="BJ115" s="1450" t="b">
        <f t="shared" si="138"/>
        <v>0</v>
      </c>
      <c r="BK115" s="1572">
        <f t="shared" si="139"/>
        <v>0</v>
      </c>
      <c r="BL115" s="1581">
        <f>IF(SUM(BL$110:BL114,BK115)&gt;$BM$4,0,BK115)</f>
        <v>0</v>
      </c>
      <c r="BM115" s="1436">
        <f t="shared" si="117"/>
        <v>0</v>
      </c>
      <c r="BN115" s="1495">
        <f t="shared" si="118"/>
        <v>0</v>
      </c>
      <c r="BO115" s="1437">
        <f t="shared" si="137"/>
        <v>0</v>
      </c>
      <c r="BP115" s="1574">
        <f t="shared" si="140"/>
        <v>0</v>
      </c>
      <c r="BQ115" s="1577">
        <f t="shared" si="141"/>
        <v>0</v>
      </c>
      <c r="BR115" s="1576">
        <f t="shared" si="119"/>
        <v>0</v>
      </c>
      <c r="BS115" s="1574">
        <f t="shared" si="142"/>
        <v>0</v>
      </c>
      <c r="BT115" s="1577">
        <f t="shared" si="143"/>
        <v>0</v>
      </c>
      <c r="BU115" s="1576">
        <f t="shared" si="120"/>
        <v>0</v>
      </c>
      <c r="BV115" s="1574">
        <f t="shared" si="144"/>
        <v>0</v>
      </c>
      <c r="BW115" s="1577">
        <f t="shared" si="145"/>
        <v>0</v>
      </c>
      <c r="BX115" s="1576">
        <f t="shared" si="121"/>
        <v>0</v>
      </c>
      <c r="BY115" s="1574">
        <f t="shared" si="146"/>
        <v>0</v>
      </c>
      <c r="BZ115" s="1577">
        <f t="shared" si="147"/>
        <v>0</v>
      </c>
      <c r="CA115" s="1576">
        <f t="shared" si="122"/>
        <v>0</v>
      </c>
      <c r="CB115" s="1495">
        <f t="shared" si="148"/>
        <v>0</v>
      </c>
      <c r="CC115" s="1577">
        <f t="shared" si="149"/>
        <v>0</v>
      </c>
      <c r="CD115" s="1576">
        <f t="shared" si="123"/>
        <v>0</v>
      </c>
      <c r="CE115" s="1495">
        <f t="shared" si="150"/>
        <v>0</v>
      </c>
      <c r="CF115" s="1577">
        <f t="shared" si="151"/>
        <v>0</v>
      </c>
      <c r="CG115" s="1576">
        <f t="shared" si="124"/>
        <v>0</v>
      </c>
      <c r="CH115" s="1495">
        <f t="shared" si="152"/>
        <v>0</v>
      </c>
      <c r="CI115" s="1577">
        <f t="shared" si="153"/>
        <v>0</v>
      </c>
      <c r="CJ115" s="1576">
        <f t="shared" si="125"/>
        <v>0</v>
      </c>
      <c r="CK115" s="1495">
        <f t="shared" si="154"/>
        <v>0</v>
      </c>
      <c r="CL115" s="1577">
        <f t="shared" si="155"/>
        <v>0</v>
      </c>
      <c r="CM115" s="1576">
        <f t="shared" si="126"/>
        <v>0</v>
      </c>
      <c r="CN115" s="1495">
        <f t="shared" si="156"/>
        <v>0</v>
      </c>
      <c r="CO115" s="1577">
        <f t="shared" si="157"/>
        <v>0</v>
      </c>
      <c r="CP115" s="1576">
        <f t="shared" si="127"/>
        <v>0</v>
      </c>
      <c r="CQ115" s="1495">
        <f t="shared" si="158"/>
        <v>0</v>
      </c>
      <c r="CR115" s="1577">
        <f t="shared" si="159"/>
        <v>0</v>
      </c>
      <c r="CS115" s="1576">
        <f t="shared" si="128"/>
        <v>0</v>
      </c>
      <c r="CT115" s="1495">
        <f t="shared" si="160"/>
        <v>0</v>
      </c>
      <c r="CU115" s="1577">
        <f t="shared" si="161"/>
        <v>0</v>
      </c>
      <c r="CV115" s="1576">
        <f t="shared" si="129"/>
        <v>0</v>
      </c>
      <c r="CW115" s="1495">
        <f t="shared" si="162"/>
        <v>0</v>
      </c>
      <c r="CX115" s="1577">
        <f t="shared" si="163"/>
        <v>0</v>
      </c>
      <c r="CY115" s="1576">
        <f t="shared" si="130"/>
        <v>0</v>
      </c>
      <c r="CZ115" s="1574">
        <f t="shared" si="131"/>
        <v>0</v>
      </c>
      <c r="DA115" s="1578">
        <f t="shared" si="133"/>
        <v>0</v>
      </c>
      <c r="DB115" s="1579">
        <f t="shared" si="134"/>
        <v>0</v>
      </c>
      <c r="DC115" s="1578">
        <f t="shared" si="135"/>
        <v>0</v>
      </c>
      <c r="DD115" s="1578">
        <f t="shared" si="135"/>
        <v>0</v>
      </c>
      <c r="DE115" s="1578">
        <f t="shared" si="135"/>
        <v>0</v>
      </c>
      <c r="DF115" s="1578">
        <f t="shared" si="136"/>
        <v>0</v>
      </c>
      <c r="DG115" s="1420"/>
      <c r="DH115" s="1420"/>
    </row>
    <row r="116" spans="1:149" ht="12">
      <c r="A116" s="1587"/>
      <c r="B116" s="1475"/>
      <c r="C116" s="1475"/>
      <c r="D116" s="1475"/>
      <c r="E116" s="1475"/>
      <c r="F116" s="1475"/>
      <c r="G116" s="1475"/>
      <c r="H116" s="1475"/>
      <c r="I116" s="1475"/>
      <c r="J116" s="1475"/>
      <c r="K116" s="1475"/>
      <c r="L116" s="1475"/>
      <c r="M116" s="1475"/>
      <c r="BD116" s="1475"/>
      <c r="BE116" s="1571" t="s">
        <v>1211</v>
      </c>
      <c r="BF116" s="1436">
        <v>22</v>
      </c>
      <c r="BG116" s="1436">
        <v>7</v>
      </c>
      <c r="BH116" s="1436">
        <v>3</v>
      </c>
      <c r="BI116" s="1495" t="b">
        <f t="shared" si="132"/>
        <v>1</v>
      </c>
      <c r="BJ116" s="1450" t="b">
        <f t="shared" si="138"/>
        <v>0</v>
      </c>
      <c r="BK116" s="1572">
        <f t="shared" si="139"/>
        <v>0</v>
      </c>
      <c r="BL116" s="1581">
        <f>IF(SUM(BL$110:BL115,BK116)&gt;$BM$4,0,BK116)</f>
        <v>0</v>
      </c>
      <c r="BM116" s="1436">
        <f t="shared" si="117"/>
        <v>0</v>
      </c>
      <c r="BN116" s="1495">
        <f t="shared" si="118"/>
        <v>0</v>
      </c>
      <c r="BO116" s="1437">
        <f t="shared" si="137"/>
        <v>0</v>
      </c>
      <c r="BP116" s="1574">
        <f t="shared" si="140"/>
        <v>0</v>
      </c>
      <c r="BQ116" s="1577">
        <f t="shared" si="141"/>
        <v>0</v>
      </c>
      <c r="BR116" s="1576">
        <f t="shared" si="119"/>
        <v>0</v>
      </c>
      <c r="BS116" s="1574">
        <f t="shared" si="142"/>
        <v>0</v>
      </c>
      <c r="BT116" s="1577">
        <f t="shared" si="143"/>
        <v>0</v>
      </c>
      <c r="BU116" s="1576">
        <f t="shared" si="120"/>
        <v>0</v>
      </c>
      <c r="BV116" s="1574">
        <f t="shared" si="144"/>
        <v>0</v>
      </c>
      <c r="BW116" s="1577">
        <f t="shared" si="145"/>
        <v>0</v>
      </c>
      <c r="BX116" s="1576">
        <f t="shared" si="121"/>
        <v>0</v>
      </c>
      <c r="BY116" s="1574">
        <f t="shared" si="146"/>
        <v>0</v>
      </c>
      <c r="BZ116" s="1577">
        <f t="shared" si="147"/>
        <v>0</v>
      </c>
      <c r="CA116" s="1576">
        <f t="shared" si="122"/>
        <v>0</v>
      </c>
      <c r="CB116" s="1495">
        <f t="shared" si="148"/>
        <v>0</v>
      </c>
      <c r="CC116" s="1577">
        <f t="shared" si="149"/>
        <v>0</v>
      </c>
      <c r="CD116" s="1576">
        <f t="shared" si="123"/>
        <v>0</v>
      </c>
      <c r="CE116" s="1495">
        <f t="shared" si="150"/>
        <v>0</v>
      </c>
      <c r="CF116" s="1577">
        <f t="shared" si="151"/>
        <v>0</v>
      </c>
      <c r="CG116" s="1576">
        <f t="shared" si="124"/>
        <v>0</v>
      </c>
      <c r="CH116" s="1495">
        <f t="shared" si="152"/>
        <v>0</v>
      </c>
      <c r="CI116" s="1577">
        <f t="shared" si="153"/>
        <v>0</v>
      </c>
      <c r="CJ116" s="1576">
        <f t="shared" si="125"/>
        <v>0</v>
      </c>
      <c r="CK116" s="1495">
        <f t="shared" si="154"/>
        <v>0</v>
      </c>
      <c r="CL116" s="1577">
        <f t="shared" si="155"/>
        <v>0</v>
      </c>
      <c r="CM116" s="1576">
        <f t="shared" si="126"/>
        <v>0</v>
      </c>
      <c r="CN116" s="1495">
        <f t="shared" si="156"/>
        <v>0</v>
      </c>
      <c r="CO116" s="1577">
        <f t="shared" si="157"/>
        <v>0</v>
      </c>
      <c r="CP116" s="1576">
        <f t="shared" si="127"/>
        <v>0</v>
      </c>
      <c r="CQ116" s="1495">
        <f t="shared" si="158"/>
        <v>0</v>
      </c>
      <c r="CR116" s="1577">
        <f t="shared" si="159"/>
        <v>0</v>
      </c>
      <c r="CS116" s="1576">
        <f t="shared" si="128"/>
        <v>0</v>
      </c>
      <c r="CT116" s="1495">
        <f t="shared" si="160"/>
        <v>0</v>
      </c>
      <c r="CU116" s="1577">
        <f t="shared" si="161"/>
        <v>0</v>
      </c>
      <c r="CV116" s="1576">
        <f t="shared" si="129"/>
        <v>0</v>
      </c>
      <c r="CW116" s="1495">
        <f t="shared" si="162"/>
        <v>0</v>
      </c>
      <c r="CX116" s="1577">
        <f t="shared" si="163"/>
        <v>0</v>
      </c>
      <c r="CY116" s="1576">
        <f t="shared" si="130"/>
        <v>0</v>
      </c>
      <c r="CZ116" s="1574">
        <f t="shared" si="131"/>
        <v>0</v>
      </c>
      <c r="DA116" s="1578">
        <f t="shared" si="133"/>
        <v>0</v>
      </c>
      <c r="DB116" s="1579">
        <f t="shared" si="134"/>
        <v>0</v>
      </c>
      <c r="DC116" s="1578">
        <f t="shared" si="135"/>
        <v>0</v>
      </c>
      <c r="DD116" s="1578">
        <f t="shared" si="135"/>
        <v>0</v>
      </c>
      <c r="DE116" s="1578">
        <f t="shared" si="135"/>
        <v>0</v>
      </c>
      <c r="DF116" s="1578">
        <f t="shared" si="136"/>
        <v>0</v>
      </c>
      <c r="DG116" s="1420"/>
      <c r="DH116" s="1420"/>
    </row>
    <row r="117" spans="1:149" ht="12">
      <c r="A117" s="1587"/>
      <c r="B117" s="1475"/>
      <c r="C117" s="1475"/>
      <c r="D117" s="1475"/>
      <c r="E117" s="1475"/>
      <c r="F117" s="1475"/>
      <c r="G117" s="1475"/>
      <c r="H117" s="1475"/>
      <c r="I117" s="1475"/>
      <c r="J117" s="1475"/>
      <c r="K117" s="1475"/>
      <c r="L117" s="1475"/>
      <c r="M117" s="1475"/>
      <c r="BD117" s="1475"/>
      <c r="BE117" s="1571" t="s">
        <v>1211</v>
      </c>
      <c r="BF117" s="1436">
        <v>22</v>
      </c>
      <c r="BG117" s="1436">
        <v>8</v>
      </c>
      <c r="BH117" s="1436">
        <v>4</v>
      </c>
      <c r="BI117" s="1495" t="b">
        <f t="shared" si="132"/>
        <v>1</v>
      </c>
      <c r="BJ117" s="1450" t="b">
        <f t="shared" si="138"/>
        <v>1</v>
      </c>
      <c r="BK117" s="1572">
        <f t="shared" si="139"/>
        <v>8.25</v>
      </c>
      <c r="BL117" s="1581">
        <f>IF(SUM(BL$110:BL116,BK117)&gt;$BM$4,0,BK117)</f>
        <v>8.25</v>
      </c>
      <c r="BM117" s="1436">
        <f t="shared" si="117"/>
        <v>0</v>
      </c>
      <c r="BN117" s="1495">
        <f t="shared" si="118"/>
        <v>0</v>
      </c>
      <c r="BO117" s="1437">
        <f t="shared" si="137"/>
        <v>0</v>
      </c>
      <c r="BP117" s="1574">
        <f t="shared" si="140"/>
        <v>0</v>
      </c>
      <c r="BQ117" s="1577">
        <f t="shared" si="141"/>
        <v>0</v>
      </c>
      <c r="BR117" s="1576">
        <f t="shared" si="119"/>
        <v>0</v>
      </c>
      <c r="BS117" s="1574">
        <f t="shared" si="142"/>
        <v>0</v>
      </c>
      <c r="BT117" s="1577">
        <f t="shared" si="143"/>
        <v>0</v>
      </c>
      <c r="BU117" s="1576">
        <f t="shared" si="120"/>
        <v>0</v>
      </c>
      <c r="BV117" s="1574">
        <f t="shared" si="144"/>
        <v>0</v>
      </c>
      <c r="BW117" s="1577">
        <f t="shared" si="145"/>
        <v>0</v>
      </c>
      <c r="BX117" s="1576">
        <f t="shared" si="121"/>
        <v>0</v>
      </c>
      <c r="BY117" s="1574">
        <f t="shared" si="146"/>
        <v>0</v>
      </c>
      <c r="BZ117" s="1577">
        <f t="shared" si="147"/>
        <v>0</v>
      </c>
      <c r="CA117" s="1576">
        <f t="shared" si="122"/>
        <v>0</v>
      </c>
      <c r="CB117" s="1495">
        <f t="shared" si="148"/>
        <v>0</v>
      </c>
      <c r="CC117" s="1577">
        <f t="shared" si="149"/>
        <v>0</v>
      </c>
      <c r="CD117" s="1576">
        <f t="shared" si="123"/>
        <v>0</v>
      </c>
      <c r="CE117" s="1495">
        <f t="shared" si="150"/>
        <v>0</v>
      </c>
      <c r="CF117" s="1577">
        <f t="shared" si="151"/>
        <v>0</v>
      </c>
      <c r="CG117" s="1576">
        <f t="shared" si="124"/>
        <v>0</v>
      </c>
      <c r="CH117" s="1495">
        <f t="shared" si="152"/>
        <v>0</v>
      </c>
      <c r="CI117" s="1577">
        <f t="shared" si="153"/>
        <v>0</v>
      </c>
      <c r="CJ117" s="1576">
        <f t="shared" si="125"/>
        <v>0</v>
      </c>
      <c r="CK117" s="1495">
        <f t="shared" si="154"/>
        <v>0</v>
      </c>
      <c r="CL117" s="1577">
        <f t="shared" si="155"/>
        <v>0</v>
      </c>
      <c r="CM117" s="1576">
        <f t="shared" si="126"/>
        <v>0</v>
      </c>
      <c r="CN117" s="1495">
        <f t="shared" si="156"/>
        <v>0</v>
      </c>
      <c r="CO117" s="1577">
        <f t="shared" si="157"/>
        <v>0</v>
      </c>
      <c r="CP117" s="1576">
        <f t="shared" si="127"/>
        <v>0</v>
      </c>
      <c r="CQ117" s="1495">
        <f t="shared" si="158"/>
        <v>0</v>
      </c>
      <c r="CR117" s="1577">
        <f t="shared" si="159"/>
        <v>0</v>
      </c>
      <c r="CS117" s="1576">
        <f t="shared" si="128"/>
        <v>0</v>
      </c>
      <c r="CT117" s="1495">
        <f t="shared" si="160"/>
        <v>0</v>
      </c>
      <c r="CU117" s="1577">
        <f t="shared" si="161"/>
        <v>0</v>
      </c>
      <c r="CV117" s="1576">
        <f t="shared" si="129"/>
        <v>0</v>
      </c>
      <c r="CW117" s="1495">
        <f t="shared" si="162"/>
        <v>0</v>
      </c>
      <c r="CX117" s="1577">
        <f t="shared" si="163"/>
        <v>0</v>
      </c>
      <c r="CY117" s="1576">
        <f t="shared" si="130"/>
        <v>0</v>
      </c>
      <c r="CZ117" s="1574">
        <f t="shared" si="131"/>
        <v>0</v>
      </c>
      <c r="DA117" s="1578">
        <f t="shared" si="133"/>
        <v>0</v>
      </c>
      <c r="DB117" s="1579">
        <f t="shared" si="134"/>
        <v>0</v>
      </c>
      <c r="DC117" s="1578">
        <f t="shared" si="135"/>
        <v>0</v>
      </c>
      <c r="DD117" s="1578">
        <f t="shared" si="135"/>
        <v>0</v>
      </c>
      <c r="DE117" s="1578">
        <f t="shared" si="135"/>
        <v>0</v>
      </c>
      <c r="DF117" s="1578">
        <f t="shared" si="136"/>
        <v>0</v>
      </c>
      <c r="DG117" s="1420"/>
      <c r="DH117" s="1420"/>
    </row>
    <row r="118" spans="1:149" ht="12">
      <c r="A118" s="1587"/>
      <c r="B118" s="1475"/>
      <c r="C118" s="1475"/>
      <c r="D118" s="1475"/>
      <c r="E118" s="1475"/>
      <c r="F118" s="1475"/>
      <c r="G118" s="1475"/>
      <c r="H118" s="1475"/>
      <c r="I118" s="1475"/>
      <c r="J118" s="1475"/>
      <c r="K118" s="1475"/>
      <c r="L118" s="1475"/>
      <c r="M118" s="1475"/>
      <c r="BD118" s="1475"/>
      <c r="BE118" s="1571" t="s">
        <v>1211</v>
      </c>
      <c r="BF118" s="1436">
        <v>22</v>
      </c>
      <c r="BG118" s="1436">
        <v>9</v>
      </c>
      <c r="BH118" s="1436">
        <v>5</v>
      </c>
      <c r="BI118" s="1495" t="b">
        <f t="shared" si="132"/>
        <v>1</v>
      </c>
      <c r="BJ118" s="1450" t="b">
        <f t="shared" si="138"/>
        <v>0</v>
      </c>
      <c r="BK118" s="1572">
        <f t="shared" si="139"/>
        <v>0</v>
      </c>
      <c r="BL118" s="1581">
        <f>IF(SUM(BL$110:BL117,BK118)&gt;$BM$4,0,BK118)</f>
        <v>0</v>
      </c>
      <c r="BM118" s="1436">
        <f t="shared" si="117"/>
        <v>0</v>
      </c>
      <c r="BN118" s="1495">
        <f t="shared" si="118"/>
        <v>0</v>
      </c>
      <c r="BO118" s="1437">
        <f t="shared" si="137"/>
        <v>0</v>
      </c>
      <c r="BP118" s="1574">
        <f t="shared" si="140"/>
        <v>0</v>
      </c>
      <c r="BQ118" s="1577">
        <f t="shared" si="141"/>
        <v>0</v>
      </c>
      <c r="BR118" s="1576">
        <f t="shared" si="119"/>
        <v>0</v>
      </c>
      <c r="BS118" s="1574">
        <f t="shared" si="142"/>
        <v>0</v>
      </c>
      <c r="BT118" s="1577">
        <f t="shared" si="143"/>
        <v>0</v>
      </c>
      <c r="BU118" s="1576">
        <f t="shared" si="120"/>
        <v>0</v>
      </c>
      <c r="BV118" s="1574">
        <f t="shared" si="144"/>
        <v>0</v>
      </c>
      <c r="BW118" s="1577">
        <f t="shared" si="145"/>
        <v>0</v>
      </c>
      <c r="BX118" s="1576">
        <f t="shared" si="121"/>
        <v>0</v>
      </c>
      <c r="BY118" s="1574">
        <f t="shared" si="146"/>
        <v>0</v>
      </c>
      <c r="BZ118" s="1577">
        <f t="shared" si="147"/>
        <v>0</v>
      </c>
      <c r="CA118" s="1576">
        <f t="shared" si="122"/>
        <v>0</v>
      </c>
      <c r="CB118" s="1495">
        <f t="shared" si="148"/>
        <v>0</v>
      </c>
      <c r="CC118" s="1577">
        <f t="shared" si="149"/>
        <v>0</v>
      </c>
      <c r="CD118" s="1576">
        <f t="shared" si="123"/>
        <v>0</v>
      </c>
      <c r="CE118" s="1495">
        <f t="shared" si="150"/>
        <v>0</v>
      </c>
      <c r="CF118" s="1577">
        <f t="shared" si="151"/>
        <v>0</v>
      </c>
      <c r="CG118" s="1576">
        <f t="shared" si="124"/>
        <v>0</v>
      </c>
      <c r="CH118" s="1495">
        <f t="shared" si="152"/>
        <v>0</v>
      </c>
      <c r="CI118" s="1577">
        <f t="shared" si="153"/>
        <v>0</v>
      </c>
      <c r="CJ118" s="1576">
        <f t="shared" si="125"/>
        <v>0</v>
      </c>
      <c r="CK118" s="1495">
        <f t="shared" si="154"/>
        <v>0</v>
      </c>
      <c r="CL118" s="1577">
        <f t="shared" si="155"/>
        <v>0</v>
      </c>
      <c r="CM118" s="1576">
        <f t="shared" si="126"/>
        <v>0</v>
      </c>
      <c r="CN118" s="1495">
        <f t="shared" si="156"/>
        <v>0</v>
      </c>
      <c r="CO118" s="1577">
        <f t="shared" si="157"/>
        <v>0</v>
      </c>
      <c r="CP118" s="1576">
        <f t="shared" si="127"/>
        <v>0</v>
      </c>
      <c r="CQ118" s="1495">
        <f t="shared" si="158"/>
        <v>0</v>
      </c>
      <c r="CR118" s="1577">
        <f t="shared" si="159"/>
        <v>0</v>
      </c>
      <c r="CS118" s="1576">
        <f t="shared" si="128"/>
        <v>0</v>
      </c>
      <c r="CT118" s="1495">
        <f t="shared" si="160"/>
        <v>0</v>
      </c>
      <c r="CU118" s="1577">
        <f t="shared" si="161"/>
        <v>0</v>
      </c>
      <c r="CV118" s="1576">
        <f t="shared" si="129"/>
        <v>0</v>
      </c>
      <c r="CW118" s="1495">
        <f t="shared" si="162"/>
        <v>0</v>
      </c>
      <c r="CX118" s="1577">
        <f t="shared" si="163"/>
        <v>0</v>
      </c>
      <c r="CY118" s="1576">
        <f t="shared" si="130"/>
        <v>0</v>
      </c>
      <c r="CZ118" s="1574">
        <f t="shared" si="131"/>
        <v>0</v>
      </c>
      <c r="DA118" s="1578">
        <f t="shared" si="133"/>
        <v>0</v>
      </c>
      <c r="DB118" s="1579">
        <f t="shared" si="134"/>
        <v>0</v>
      </c>
      <c r="DC118" s="1578">
        <f t="shared" si="135"/>
        <v>0</v>
      </c>
      <c r="DD118" s="1578">
        <f t="shared" si="135"/>
        <v>0</v>
      </c>
      <c r="DE118" s="1578">
        <f t="shared" si="135"/>
        <v>0</v>
      </c>
      <c r="DF118" s="1578">
        <f t="shared" si="136"/>
        <v>0</v>
      </c>
      <c r="DG118" s="1420"/>
      <c r="DH118" s="1420"/>
    </row>
    <row r="119" spans="1:149">
      <c r="A119" s="1587"/>
      <c r="B119" s="1475"/>
      <c r="C119" s="1475"/>
      <c r="D119" s="1475"/>
      <c r="E119" s="1475"/>
      <c r="F119" s="1475"/>
      <c r="G119" s="1475"/>
      <c r="K119" s="1475"/>
      <c r="L119" s="1475"/>
      <c r="M119" s="1475"/>
      <c r="BD119" s="1475"/>
      <c r="BE119" s="1571" t="s">
        <v>1211</v>
      </c>
      <c r="BF119" s="1436">
        <v>22</v>
      </c>
      <c r="BG119" s="1436">
        <v>10</v>
      </c>
      <c r="BH119" s="1436">
        <v>6</v>
      </c>
      <c r="BI119" s="1495" t="b">
        <f t="shared" si="132"/>
        <v>0</v>
      </c>
      <c r="BJ119" s="1450" t="b">
        <f t="shared" si="138"/>
        <v>0</v>
      </c>
      <c r="BK119" s="1572">
        <f t="shared" si="139"/>
        <v>0</v>
      </c>
      <c r="BL119" s="1581">
        <f>IF(SUM(BL$110:BL118,BK119)&gt;$BM$4,0,BK119)</f>
        <v>0</v>
      </c>
      <c r="BM119" s="1436">
        <f t="shared" si="117"/>
        <v>0</v>
      </c>
      <c r="BN119" s="1495">
        <f t="shared" si="118"/>
        <v>0</v>
      </c>
      <c r="BO119" s="1437">
        <f t="shared" si="137"/>
        <v>0</v>
      </c>
      <c r="BP119" s="1574">
        <f t="shared" si="140"/>
        <v>0</v>
      </c>
      <c r="BQ119" s="1577">
        <f t="shared" si="141"/>
        <v>0</v>
      </c>
      <c r="BR119" s="1576">
        <f t="shared" si="119"/>
        <v>0</v>
      </c>
      <c r="BS119" s="1574">
        <f t="shared" si="142"/>
        <v>0</v>
      </c>
      <c r="BT119" s="1577">
        <f t="shared" si="143"/>
        <v>0</v>
      </c>
      <c r="BU119" s="1576">
        <f t="shared" si="120"/>
        <v>0</v>
      </c>
      <c r="BV119" s="1574">
        <f t="shared" si="144"/>
        <v>0</v>
      </c>
      <c r="BW119" s="1577">
        <f t="shared" si="145"/>
        <v>0</v>
      </c>
      <c r="BX119" s="1576">
        <f t="shared" si="121"/>
        <v>0</v>
      </c>
      <c r="BY119" s="1574">
        <f t="shared" si="146"/>
        <v>0</v>
      </c>
      <c r="BZ119" s="1577">
        <f t="shared" si="147"/>
        <v>0</v>
      </c>
      <c r="CA119" s="1576">
        <f t="shared" si="122"/>
        <v>0</v>
      </c>
      <c r="CB119" s="1495">
        <f t="shared" si="148"/>
        <v>0</v>
      </c>
      <c r="CC119" s="1577">
        <f t="shared" si="149"/>
        <v>0</v>
      </c>
      <c r="CD119" s="1576">
        <f t="shared" si="123"/>
        <v>0</v>
      </c>
      <c r="CE119" s="1495">
        <f t="shared" si="150"/>
        <v>0</v>
      </c>
      <c r="CF119" s="1577">
        <f t="shared" si="151"/>
        <v>0</v>
      </c>
      <c r="CG119" s="1576">
        <f t="shared" si="124"/>
        <v>0</v>
      </c>
      <c r="CH119" s="1495">
        <f t="shared" si="152"/>
        <v>0</v>
      </c>
      <c r="CI119" s="1577">
        <f t="shared" si="153"/>
        <v>0</v>
      </c>
      <c r="CJ119" s="1576">
        <f t="shared" si="125"/>
        <v>0</v>
      </c>
      <c r="CK119" s="1495">
        <f t="shared" si="154"/>
        <v>0</v>
      </c>
      <c r="CL119" s="1577">
        <f t="shared" si="155"/>
        <v>0</v>
      </c>
      <c r="CM119" s="1576">
        <f t="shared" si="126"/>
        <v>0</v>
      </c>
      <c r="CN119" s="1495">
        <f t="shared" si="156"/>
        <v>0</v>
      </c>
      <c r="CO119" s="1577">
        <f t="shared" si="157"/>
        <v>0</v>
      </c>
      <c r="CP119" s="1576">
        <f t="shared" si="127"/>
        <v>0</v>
      </c>
      <c r="CQ119" s="1495">
        <f t="shared" si="158"/>
        <v>0</v>
      </c>
      <c r="CR119" s="1577">
        <f t="shared" si="159"/>
        <v>0</v>
      </c>
      <c r="CS119" s="1576">
        <f t="shared" si="128"/>
        <v>0</v>
      </c>
      <c r="CT119" s="1495">
        <f t="shared" si="160"/>
        <v>0</v>
      </c>
      <c r="CU119" s="1577">
        <f t="shared" si="161"/>
        <v>0</v>
      </c>
      <c r="CV119" s="1576">
        <f t="shared" si="129"/>
        <v>0</v>
      </c>
      <c r="CW119" s="1495">
        <f t="shared" si="162"/>
        <v>0</v>
      </c>
      <c r="CX119" s="1577">
        <f t="shared" si="163"/>
        <v>0</v>
      </c>
      <c r="CY119" s="1576">
        <f t="shared" si="130"/>
        <v>0</v>
      </c>
      <c r="CZ119" s="1574">
        <f t="shared" si="131"/>
        <v>0</v>
      </c>
      <c r="DA119" s="1578">
        <f t="shared" si="133"/>
        <v>0</v>
      </c>
      <c r="DB119" s="1579">
        <f t="shared" si="134"/>
        <v>0</v>
      </c>
      <c r="DC119" s="1578">
        <f t="shared" si="135"/>
        <v>0</v>
      </c>
      <c r="DD119" s="1578">
        <f t="shared" si="135"/>
        <v>0</v>
      </c>
      <c r="DE119" s="1578">
        <f t="shared" si="135"/>
        <v>0</v>
      </c>
      <c r="DF119" s="1578">
        <f t="shared" si="136"/>
        <v>0</v>
      </c>
      <c r="DG119" s="1420"/>
      <c r="DH119" s="1420"/>
    </row>
    <row r="120" spans="1:149" ht="12">
      <c r="A120" s="1587"/>
      <c r="B120" s="1475"/>
      <c r="C120" s="1475"/>
      <c r="D120" s="1475"/>
      <c r="E120" s="1475"/>
      <c r="F120" s="1475"/>
      <c r="G120" s="1475"/>
      <c r="H120" s="1475"/>
      <c r="I120" s="1475"/>
      <c r="J120" s="1475"/>
      <c r="K120" s="1475"/>
      <c r="L120" s="1475"/>
      <c r="M120" s="1475"/>
      <c r="BD120" s="1475"/>
      <c r="BE120" s="1571" t="s">
        <v>1211</v>
      </c>
      <c r="BF120" s="1436">
        <v>22</v>
      </c>
      <c r="BG120" s="1436">
        <v>11</v>
      </c>
      <c r="BH120" s="1436">
        <v>7</v>
      </c>
      <c r="BI120" s="1495" t="b">
        <f t="shared" si="132"/>
        <v>0</v>
      </c>
      <c r="BJ120" s="1450" t="b">
        <f t="shared" si="138"/>
        <v>0</v>
      </c>
      <c r="BK120" s="1572">
        <f t="shared" si="139"/>
        <v>0</v>
      </c>
      <c r="BL120" s="1581">
        <f>IF(SUM(BL$110:BL119,BK120)&gt;$BM$4,0,BK120)</f>
        <v>0</v>
      </c>
      <c r="BM120" s="1436">
        <f t="shared" si="117"/>
        <v>0</v>
      </c>
      <c r="BN120" s="1495">
        <f t="shared" si="118"/>
        <v>0</v>
      </c>
      <c r="BO120" s="1437">
        <f t="shared" si="137"/>
        <v>0</v>
      </c>
      <c r="BP120" s="1574">
        <f t="shared" si="140"/>
        <v>0</v>
      </c>
      <c r="BQ120" s="1577">
        <f t="shared" si="141"/>
        <v>0</v>
      </c>
      <c r="BR120" s="1576">
        <f t="shared" si="119"/>
        <v>0</v>
      </c>
      <c r="BS120" s="1574">
        <f t="shared" si="142"/>
        <v>0</v>
      </c>
      <c r="BT120" s="1577">
        <f t="shared" si="143"/>
        <v>0</v>
      </c>
      <c r="BU120" s="1576">
        <f t="shared" si="120"/>
        <v>0</v>
      </c>
      <c r="BV120" s="1574">
        <f t="shared" si="144"/>
        <v>0</v>
      </c>
      <c r="BW120" s="1577">
        <f t="shared" si="145"/>
        <v>0</v>
      </c>
      <c r="BX120" s="1576">
        <f t="shared" si="121"/>
        <v>0</v>
      </c>
      <c r="BY120" s="1574">
        <f t="shared" si="146"/>
        <v>0</v>
      </c>
      <c r="BZ120" s="1577">
        <f t="shared" si="147"/>
        <v>0</v>
      </c>
      <c r="CA120" s="1576">
        <f t="shared" si="122"/>
        <v>0</v>
      </c>
      <c r="CB120" s="1495">
        <f t="shared" si="148"/>
        <v>0</v>
      </c>
      <c r="CC120" s="1577">
        <f t="shared" si="149"/>
        <v>0</v>
      </c>
      <c r="CD120" s="1576">
        <f t="shared" si="123"/>
        <v>0</v>
      </c>
      <c r="CE120" s="1495">
        <f t="shared" si="150"/>
        <v>0</v>
      </c>
      <c r="CF120" s="1577">
        <f t="shared" si="151"/>
        <v>0</v>
      </c>
      <c r="CG120" s="1576">
        <f t="shared" si="124"/>
        <v>0</v>
      </c>
      <c r="CH120" s="1495">
        <f t="shared" si="152"/>
        <v>0</v>
      </c>
      <c r="CI120" s="1577">
        <f t="shared" si="153"/>
        <v>0</v>
      </c>
      <c r="CJ120" s="1576">
        <f t="shared" si="125"/>
        <v>0</v>
      </c>
      <c r="CK120" s="1495">
        <f t="shared" si="154"/>
        <v>0</v>
      </c>
      <c r="CL120" s="1577">
        <f t="shared" si="155"/>
        <v>0</v>
      </c>
      <c r="CM120" s="1576">
        <f t="shared" si="126"/>
        <v>0</v>
      </c>
      <c r="CN120" s="1495">
        <f t="shared" si="156"/>
        <v>0</v>
      </c>
      <c r="CO120" s="1577">
        <f t="shared" si="157"/>
        <v>0</v>
      </c>
      <c r="CP120" s="1576">
        <f t="shared" si="127"/>
        <v>0</v>
      </c>
      <c r="CQ120" s="1495">
        <f t="shared" si="158"/>
        <v>0</v>
      </c>
      <c r="CR120" s="1577">
        <f t="shared" si="159"/>
        <v>0</v>
      </c>
      <c r="CS120" s="1576">
        <f t="shared" si="128"/>
        <v>0</v>
      </c>
      <c r="CT120" s="1495">
        <f t="shared" si="160"/>
        <v>0</v>
      </c>
      <c r="CU120" s="1577">
        <f t="shared" si="161"/>
        <v>0</v>
      </c>
      <c r="CV120" s="1576">
        <f t="shared" si="129"/>
        <v>0</v>
      </c>
      <c r="CW120" s="1495">
        <f t="shared" si="162"/>
        <v>0</v>
      </c>
      <c r="CX120" s="1577">
        <f t="shared" si="163"/>
        <v>0</v>
      </c>
      <c r="CY120" s="1576">
        <f t="shared" si="130"/>
        <v>0</v>
      </c>
      <c r="CZ120" s="1574">
        <f t="shared" si="131"/>
        <v>0</v>
      </c>
      <c r="DA120" s="1578">
        <f t="shared" si="133"/>
        <v>0</v>
      </c>
      <c r="DB120" s="1579">
        <f t="shared" si="134"/>
        <v>0</v>
      </c>
      <c r="DC120" s="1578">
        <f t="shared" si="135"/>
        <v>0</v>
      </c>
      <c r="DD120" s="1578">
        <f t="shared" si="135"/>
        <v>0</v>
      </c>
      <c r="DE120" s="1578">
        <f t="shared" si="135"/>
        <v>0</v>
      </c>
      <c r="DF120" s="1578">
        <f t="shared" si="136"/>
        <v>0</v>
      </c>
      <c r="DG120" s="1420"/>
      <c r="DH120" s="1420"/>
    </row>
    <row r="121" spans="1:149" ht="12">
      <c r="A121" s="1587"/>
      <c r="B121" s="1475"/>
      <c r="C121" s="1475"/>
      <c r="D121" s="1475"/>
      <c r="E121" s="1475"/>
      <c r="F121" s="1475"/>
      <c r="G121" s="1475"/>
      <c r="H121" s="1475"/>
      <c r="I121" s="1475"/>
      <c r="J121" s="1475"/>
      <c r="K121" s="1475"/>
      <c r="L121" s="1475"/>
      <c r="M121" s="1475"/>
      <c r="BD121" s="1475"/>
      <c r="BE121" s="1571" t="s">
        <v>1211</v>
      </c>
      <c r="BF121" s="1436">
        <v>22</v>
      </c>
      <c r="BG121" s="1436">
        <v>12</v>
      </c>
      <c r="BH121" s="1436">
        <v>1</v>
      </c>
      <c r="BI121" s="1495" t="b">
        <f t="shared" si="132"/>
        <v>1</v>
      </c>
      <c r="BJ121" s="1450" t="b">
        <f t="shared" si="138"/>
        <v>0</v>
      </c>
      <c r="BK121" s="1572">
        <f t="shared" si="139"/>
        <v>0</v>
      </c>
      <c r="BL121" s="1581">
        <f>IF(SUM(BL$110:BL120,BK121)&gt;$BM$4,0,BK121)</f>
        <v>0</v>
      </c>
      <c r="BM121" s="1436">
        <f t="shared" si="117"/>
        <v>0</v>
      </c>
      <c r="BN121" s="1495">
        <f t="shared" si="118"/>
        <v>0</v>
      </c>
      <c r="BO121" s="1437">
        <f t="shared" si="137"/>
        <v>0</v>
      </c>
      <c r="BP121" s="1574">
        <f t="shared" si="140"/>
        <v>0</v>
      </c>
      <c r="BQ121" s="1577">
        <f t="shared" si="141"/>
        <v>0</v>
      </c>
      <c r="BR121" s="1576">
        <f t="shared" si="119"/>
        <v>0</v>
      </c>
      <c r="BS121" s="1574">
        <f t="shared" si="142"/>
        <v>0</v>
      </c>
      <c r="BT121" s="1577">
        <f t="shared" si="143"/>
        <v>0</v>
      </c>
      <c r="BU121" s="1576">
        <f t="shared" si="120"/>
        <v>0</v>
      </c>
      <c r="BV121" s="1574">
        <f t="shared" si="144"/>
        <v>0</v>
      </c>
      <c r="BW121" s="1577">
        <f t="shared" si="145"/>
        <v>0</v>
      </c>
      <c r="BX121" s="1576">
        <f t="shared" si="121"/>
        <v>0</v>
      </c>
      <c r="BY121" s="1574">
        <f t="shared" si="146"/>
        <v>0</v>
      </c>
      <c r="BZ121" s="1577">
        <f t="shared" si="147"/>
        <v>0</v>
      </c>
      <c r="CA121" s="1576">
        <f t="shared" si="122"/>
        <v>0</v>
      </c>
      <c r="CB121" s="1495">
        <f t="shared" si="148"/>
        <v>0</v>
      </c>
      <c r="CC121" s="1577">
        <f t="shared" si="149"/>
        <v>0</v>
      </c>
      <c r="CD121" s="1576">
        <f t="shared" si="123"/>
        <v>0</v>
      </c>
      <c r="CE121" s="1495">
        <f t="shared" si="150"/>
        <v>0</v>
      </c>
      <c r="CF121" s="1577">
        <f t="shared" si="151"/>
        <v>0</v>
      </c>
      <c r="CG121" s="1576">
        <f t="shared" si="124"/>
        <v>0</v>
      </c>
      <c r="CH121" s="1495">
        <f t="shared" si="152"/>
        <v>0</v>
      </c>
      <c r="CI121" s="1577">
        <f t="shared" si="153"/>
        <v>0</v>
      </c>
      <c r="CJ121" s="1576">
        <f t="shared" si="125"/>
        <v>0</v>
      </c>
      <c r="CK121" s="1495">
        <f t="shared" si="154"/>
        <v>0</v>
      </c>
      <c r="CL121" s="1577">
        <f t="shared" si="155"/>
        <v>0</v>
      </c>
      <c r="CM121" s="1576">
        <f t="shared" si="126"/>
        <v>0</v>
      </c>
      <c r="CN121" s="1495">
        <f t="shared" si="156"/>
        <v>0</v>
      </c>
      <c r="CO121" s="1577">
        <f t="shared" si="157"/>
        <v>0</v>
      </c>
      <c r="CP121" s="1576">
        <f t="shared" si="127"/>
        <v>0</v>
      </c>
      <c r="CQ121" s="1495">
        <f t="shared" si="158"/>
        <v>0</v>
      </c>
      <c r="CR121" s="1577">
        <f t="shared" si="159"/>
        <v>0</v>
      </c>
      <c r="CS121" s="1576">
        <f t="shared" si="128"/>
        <v>0</v>
      </c>
      <c r="CT121" s="1495">
        <f t="shared" si="160"/>
        <v>0</v>
      </c>
      <c r="CU121" s="1577">
        <f t="shared" si="161"/>
        <v>0</v>
      </c>
      <c r="CV121" s="1576">
        <f t="shared" si="129"/>
        <v>0</v>
      </c>
      <c r="CW121" s="1495">
        <f t="shared" si="162"/>
        <v>0</v>
      </c>
      <c r="CX121" s="1577">
        <f t="shared" si="163"/>
        <v>0</v>
      </c>
      <c r="CY121" s="1576">
        <f t="shared" si="130"/>
        <v>0</v>
      </c>
      <c r="CZ121" s="1574">
        <f t="shared" si="131"/>
        <v>0</v>
      </c>
      <c r="DA121" s="1578">
        <f t="shared" si="133"/>
        <v>0</v>
      </c>
      <c r="DB121" s="1579">
        <f t="shared" si="134"/>
        <v>0</v>
      </c>
      <c r="DC121" s="1578">
        <f t="shared" si="135"/>
        <v>0</v>
      </c>
      <c r="DD121" s="1578">
        <f t="shared" si="135"/>
        <v>0</v>
      </c>
      <c r="DE121" s="1578">
        <f t="shared" si="135"/>
        <v>0</v>
      </c>
      <c r="DF121" s="1578">
        <f t="shared" si="136"/>
        <v>0</v>
      </c>
      <c r="DG121" s="1420"/>
      <c r="DH121" s="1420"/>
    </row>
    <row r="122" spans="1:149" ht="12">
      <c r="A122" s="1587"/>
      <c r="B122" s="1475"/>
      <c r="C122" s="1475"/>
      <c r="D122" s="1475"/>
      <c r="E122" s="1475"/>
      <c r="F122" s="1475"/>
      <c r="G122" s="1475"/>
      <c r="H122" s="1475"/>
      <c r="I122" s="1475"/>
      <c r="J122" s="1475"/>
      <c r="K122" s="1475"/>
      <c r="L122" s="1475"/>
      <c r="M122" s="1475"/>
      <c r="BD122" s="1475"/>
      <c r="BE122" s="1571" t="s">
        <v>1211</v>
      </c>
      <c r="BF122" s="1436">
        <v>22</v>
      </c>
      <c r="BG122" s="1436">
        <v>13</v>
      </c>
      <c r="BH122" s="1436">
        <v>2</v>
      </c>
      <c r="BI122" s="1495" t="b">
        <f t="shared" si="132"/>
        <v>1</v>
      </c>
      <c r="BJ122" s="1450" t="b">
        <f t="shared" si="138"/>
        <v>0</v>
      </c>
      <c r="BK122" s="1572">
        <f t="shared" si="139"/>
        <v>0</v>
      </c>
      <c r="BL122" s="1581">
        <f>IF(SUM(BL$110:BL121,BK122)&gt;$BM$4,0,BK122)</f>
        <v>0</v>
      </c>
      <c r="BM122" s="1436">
        <f t="shared" si="117"/>
        <v>0</v>
      </c>
      <c r="BN122" s="1495">
        <f t="shared" si="118"/>
        <v>0</v>
      </c>
      <c r="BO122" s="1437">
        <f t="shared" si="137"/>
        <v>0</v>
      </c>
      <c r="BP122" s="1574">
        <f t="shared" si="140"/>
        <v>0</v>
      </c>
      <c r="BQ122" s="1577">
        <f t="shared" si="141"/>
        <v>0</v>
      </c>
      <c r="BR122" s="1576">
        <f t="shared" si="119"/>
        <v>0</v>
      </c>
      <c r="BS122" s="1574">
        <f t="shared" si="142"/>
        <v>0</v>
      </c>
      <c r="BT122" s="1577">
        <f t="shared" si="143"/>
        <v>0</v>
      </c>
      <c r="BU122" s="1576">
        <f t="shared" si="120"/>
        <v>0</v>
      </c>
      <c r="BV122" s="1574">
        <f t="shared" si="144"/>
        <v>0</v>
      </c>
      <c r="BW122" s="1577">
        <f t="shared" si="145"/>
        <v>0</v>
      </c>
      <c r="BX122" s="1576">
        <f t="shared" si="121"/>
        <v>0</v>
      </c>
      <c r="BY122" s="1574">
        <f t="shared" si="146"/>
        <v>0</v>
      </c>
      <c r="BZ122" s="1577">
        <f t="shared" si="147"/>
        <v>0</v>
      </c>
      <c r="CA122" s="1576">
        <f t="shared" si="122"/>
        <v>0</v>
      </c>
      <c r="CB122" s="1495">
        <f t="shared" si="148"/>
        <v>0</v>
      </c>
      <c r="CC122" s="1577">
        <f t="shared" si="149"/>
        <v>0</v>
      </c>
      <c r="CD122" s="1576">
        <f t="shared" si="123"/>
        <v>0</v>
      </c>
      <c r="CE122" s="1495">
        <f t="shared" si="150"/>
        <v>0</v>
      </c>
      <c r="CF122" s="1577">
        <f t="shared" si="151"/>
        <v>0</v>
      </c>
      <c r="CG122" s="1576">
        <f t="shared" si="124"/>
        <v>0</v>
      </c>
      <c r="CH122" s="1495">
        <f t="shared" si="152"/>
        <v>0</v>
      </c>
      <c r="CI122" s="1577">
        <f t="shared" si="153"/>
        <v>0</v>
      </c>
      <c r="CJ122" s="1576">
        <f t="shared" si="125"/>
        <v>0</v>
      </c>
      <c r="CK122" s="1495">
        <f t="shared" si="154"/>
        <v>0</v>
      </c>
      <c r="CL122" s="1577">
        <f t="shared" si="155"/>
        <v>0</v>
      </c>
      <c r="CM122" s="1576">
        <f t="shared" si="126"/>
        <v>0</v>
      </c>
      <c r="CN122" s="1495">
        <f t="shared" si="156"/>
        <v>0</v>
      </c>
      <c r="CO122" s="1577">
        <f t="shared" si="157"/>
        <v>0</v>
      </c>
      <c r="CP122" s="1576">
        <f t="shared" si="127"/>
        <v>0</v>
      </c>
      <c r="CQ122" s="1495">
        <f t="shared" si="158"/>
        <v>0</v>
      </c>
      <c r="CR122" s="1577">
        <f t="shared" si="159"/>
        <v>0</v>
      </c>
      <c r="CS122" s="1576">
        <f t="shared" si="128"/>
        <v>0</v>
      </c>
      <c r="CT122" s="1495">
        <f t="shared" si="160"/>
        <v>0</v>
      </c>
      <c r="CU122" s="1577">
        <f t="shared" si="161"/>
        <v>0</v>
      </c>
      <c r="CV122" s="1576">
        <f t="shared" si="129"/>
        <v>0</v>
      </c>
      <c r="CW122" s="1495">
        <f t="shared" si="162"/>
        <v>0</v>
      </c>
      <c r="CX122" s="1577">
        <f t="shared" si="163"/>
        <v>0</v>
      </c>
      <c r="CY122" s="1576">
        <f t="shared" si="130"/>
        <v>0</v>
      </c>
      <c r="CZ122" s="1574">
        <f t="shared" si="131"/>
        <v>0</v>
      </c>
      <c r="DA122" s="1578">
        <f t="shared" si="133"/>
        <v>0</v>
      </c>
      <c r="DB122" s="1579">
        <f t="shared" si="134"/>
        <v>0</v>
      </c>
      <c r="DC122" s="1578">
        <f t="shared" si="135"/>
        <v>0</v>
      </c>
      <c r="DD122" s="1578">
        <f t="shared" si="135"/>
        <v>0</v>
      </c>
      <c r="DE122" s="1578">
        <f t="shared" si="135"/>
        <v>0</v>
      </c>
      <c r="DF122" s="1578">
        <f t="shared" si="136"/>
        <v>0</v>
      </c>
      <c r="DG122" s="1420"/>
      <c r="DH122" s="1420"/>
    </row>
    <row r="123" spans="1:149" ht="15" customHeight="1">
      <c r="A123" s="1587"/>
      <c r="B123" s="1475"/>
      <c r="C123" s="1475"/>
      <c r="D123" s="1475"/>
      <c r="E123" s="1475"/>
      <c r="F123" s="1475"/>
      <c r="G123" s="1475"/>
      <c r="H123" s="1475"/>
      <c r="I123" s="1475"/>
      <c r="J123" s="1475"/>
      <c r="K123" s="1475"/>
      <c r="L123" s="1475"/>
      <c r="M123" s="1475"/>
      <c r="BD123" s="1475"/>
      <c r="BE123" s="1571" t="s">
        <v>1211</v>
      </c>
      <c r="BF123" s="1436">
        <v>22</v>
      </c>
      <c r="BG123" s="1436">
        <v>14</v>
      </c>
      <c r="BH123" s="1436">
        <v>3</v>
      </c>
      <c r="BI123" s="1495" t="b">
        <f t="shared" si="132"/>
        <v>1</v>
      </c>
      <c r="BJ123" s="1450" t="b">
        <f t="shared" si="138"/>
        <v>0</v>
      </c>
      <c r="BK123" s="1572">
        <f t="shared" si="139"/>
        <v>0</v>
      </c>
      <c r="BL123" s="1581">
        <f>IF(SUM(BL$110:BL122,BK123)&gt;$BM$4,0,BK123)</f>
        <v>0</v>
      </c>
      <c r="BM123" s="1436">
        <f t="shared" si="117"/>
        <v>0</v>
      </c>
      <c r="BN123" s="1495">
        <f t="shared" si="118"/>
        <v>0</v>
      </c>
      <c r="BO123" s="1437">
        <f t="shared" si="137"/>
        <v>0</v>
      </c>
      <c r="BP123" s="1574">
        <f t="shared" si="140"/>
        <v>0</v>
      </c>
      <c r="BQ123" s="1577">
        <f t="shared" si="141"/>
        <v>0</v>
      </c>
      <c r="BR123" s="1576">
        <f t="shared" si="119"/>
        <v>0</v>
      </c>
      <c r="BS123" s="1574">
        <f t="shared" si="142"/>
        <v>0</v>
      </c>
      <c r="BT123" s="1577">
        <f t="shared" si="143"/>
        <v>0</v>
      </c>
      <c r="BU123" s="1576">
        <f t="shared" si="120"/>
        <v>0</v>
      </c>
      <c r="BV123" s="1574">
        <f t="shared" si="144"/>
        <v>0</v>
      </c>
      <c r="BW123" s="1577">
        <f t="shared" si="145"/>
        <v>0</v>
      </c>
      <c r="BX123" s="1576">
        <f t="shared" si="121"/>
        <v>0</v>
      </c>
      <c r="BY123" s="1574">
        <f t="shared" si="146"/>
        <v>0</v>
      </c>
      <c r="BZ123" s="1577">
        <f t="shared" si="147"/>
        <v>0</v>
      </c>
      <c r="CA123" s="1576">
        <f t="shared" si="122"/>
        <v>0</v>
      </c>
      <c r="CB123" s="1495">
        <f t="shared" si="148"/>
        <v>0</v>
      </c>
      <c r="CC123" s="1577">
        <f t="shared" si="149"/>
        <v>0</v>
      </c>
      <c r="CD123" s="1576">
        <f t="shared" si="123"/>
        <v>0</v>
      </c>
      <c r="CE123" s="1495">
        <f t="shared" si="150"/>
        <v>0</v>
      </c>
      <c r="CF123" s="1577">
        <f t="shared" si="151"/>
        <v>0</v>
      </c>
      <c r="CG123" s="1576">
        <f t="shared" si="124"/>
        <v>0</v>
      </c>
      <c r="CH123" s="1495">
        <f t="shared" si="152"/>
        <v>0</v>
      </c>
      <c r="CI123" s="1577">
        <f t="shared" si="153"/>
        <v>0</v>
      </c>
      <c r="CJ123" s="1576">
        <f t="shared" si="125"/>
        <v>0</v>
      </c>
      <c r="CK123" s="1495">
        <f t="shared" si="154"/>
        <v>0</v>
      </c>
      <c r="CL123" s="1577">
        <f t="shared" si="155"/>
        <v>0</v>
      </c>
      <c r="CM123" s="1576">
        <f t="shared" si="126"/>
        <v>0</v>
      </c>
      <c r="CN123" s="1495">
        <f t="shared" si="156"/>
        <v>0</v>
      </c>
      <c r="CO123" s="1577">
        <f t="shared" si="157"/>
        <v>0</v>
      </c>
      <c r="CP123" s="1576">
        <f t="shared" si="127"/>
        <v>0</v>
      </c>
      <c r="CQ123" s="1495">
        <f t="shared" si="158"/>
        <v>0</v>
      </c>
      <c r="CR123" s="1577">
        <f t="shared" si="159"/>
        <v>0</v>
      </c>
      <c r="CS123" s="1576">
        <f t="shared" si="128"/>
        <v>0</v>
      </c>
      <c r="CT123" s="1495">
        <f t="shared" si="160"/>
        <v>0</v>
      </c>
      <c r="CU123" s="1577">
        <f t="shared" si="161"/>
        <v>0</v>
      </c>
      <c r="CV123" s="1576">
        <f t="shared" si="129"/>
        <v>0</v>
      </c>
      <c r="CW123" s="1495">
        <f t="shared" si="162"/>
        <v>0</v>
      </c>
      <c r="CX123" s="1577">
        <f t="shared" si="163"/>
        <v>0</v>
      </c>
      <c r="CY123" s="1576">
        <f t="shared" si="130"/>
        <v>0</v>
      </c>
      <c r="CZ123" s="1574">
        <f t="shared" si="131"/>
        <v>0</v>
      </c>
      <c r="DA123" s="1578">
        <f t="shared" si="133"/>
        <v>0</v>
      </c>
      <c r="DB123" s="1579">
        <f t="shared" si="134"/>
        <v>0</v>
      </c>
      <c r="DC123" s="1578">
        <f t="shared" si="135"/>
        <v>0</v>
      </c>
      <c r="DD123" s="1578">
        <f t="shared" si="135"/>
        <v>0</v>
      </c>
      <c r="DE123" s="1578">
        <f t="shared" si="135"/>
        <v>0</v>
      </c>
      <c r="DF123" s="1578">
        <f t="shared" si="136"/>
        <v>0</v>
      </c>
      <c r="DG123" s="1420"/>
      <c r="DH123" s="1420"/>
    </row>
    <row r="124" spans="1:149" ht="12">
      <c r="A124" s="1587"/>
      <c r="B124" s="1475"/>
      <c r="C124" s="1475"/>
      <c r="D124" s="1475"/>
      <c r="E124" s="1475"/>
      <c r="F124" s="1475"/>
      <c r="G124" s="1475"/>
      <c r="H124" s="1475"/>
      <c r="I124" s="1475"/>
      <c r="J124" s="1475"/>
      <c r="K124" s="1475"/>
      <c r="L124" s="1475"/>
      <c r="M124" s="1475"/>
      <c r="BD124" s="1475"/>
      <c r="BE124" s="1571" t="s">
        <v>1211</v>
      </c>
      <c r="BF124" s="1436">
        <v>22</v>
      </c>
      <c r="BG124" s="1436">
        <v>15</v>
      </c>
      <c r="BH124" s="1436">
        <v>4</v>
      </c>
      <c r="BI124" s="1495" t="b">
        <f t="shared" si="132"/>
        <v>1</v>
      </c>
      <c r="BJ124" s="1450" t="b">
        <f t="shared" si="138"/>
        <v>0</v>
      </c>
      <c r="BK124" s="1572">
        <f t="shared" si="139"/>
        <v>0</v>
      </c>
      <c r="BL124" s="1581">
        <f>IF(SUM(BL$110:BL123,BK124)&gt;$BM$4,0,BK124)</f>
        <v>0</v>
      </c>
      <c r="BM124" s="1436">
        <f t="shared" si="117"/>
        <v>0</v>
      </c>
      <c r="BN124" s="1495">
        <f t="shared" si="118"/>
        <v>0</v>
      </c>
      <c r="BO124" s="1437">
        <f t="shared" si="137"/>
        <v>0</v>
      </c>
      <c r="BP124" s="1574">
        <f t="shared" si="140"/>
        <v>0</v>
      </c>
      <c r="BQ124" s="1577">
        <f t="shared" si="141"/>
        <v>0</v>
      </c>
      <c r="BR124" s="1576">
        <f t="shared" si="119"/>
        <v>0</v>
      </c>
      <c r="BS124" s="1574">
        <f t="shared" si="142"/>
        <v>0</v>
      </c>
      <c r="BT124" s="1577">
        <f t="shared" si="143"/>
        <v>0</v>
      </c>
      <c r="BU124" s="1576">
        <f t="shared" si="120"/>
        <v>0</v>
      </c>
      <c r="BV124" s="1574">
        <f t="shared" si="144"/>
        <v>0</v>
      </c>
      <c r="BW124" s="1577">
        <f t="shared" si="145"/>
        <v>0</v>
      </c>
      <c r="BX124" s="1576">
        <f t="shared" si="121"/>
        <v>0</v>
      </c>
      <c r="BY124" s="1574">
        <f t="shared" si="146"/>
        <v>0</v>
      </c>
      <c r="BZ124" s="1577">
        <f t="shared" si="147"/>
        <v>0</v>
      </c>
      <c r="CA124" s="1576">
        <f t="shared" si="122"/>
        <v>0</v>
      </c>
      <c r="CB124" s="1495">
        <f t="shared" si="148"/>
        <v>0</v>
      </c>
      <c r="CC124" s="1577">
        <f t="shared" si="149"/>
        <v>0</v>
      </c>
      <c r="CD124" s="1576">
        <f t="shared" si="123"/>
        <v>0</v>
      </c>
      <c r="CE124" s="1495">
        <f t="shared" si="150"/>
        <v>0</v>
      </c>
      <c r="CF124" s="1577">
        <f t="shared" si="151"/>
        <v>0</v>
      </c>
      <c r="CG124" s="1576">
        <f t="shared" si="124"/>
        <v>0</v>
      </c>
      <c r="CH124" s="1495">
        <f t="shared" si="152"/>
        <v>0</v>
      </c>
      <c r="CI124" s="1577">
        <f t="shared" si="153"/>
        <v>0</v>
      </c>
      <c r="CJ124" s="1576">
        <f t="shared" si="125"/>
        <v>0</v>
      </c>
      <c r="CK124" s="1495">
        <f t="shared" si="154"/>
        <v>0</v>
      </c>
      <c r="CL124" s="1577">
        <f t="shared" si="155"/>
        <v>0</v>
      </c>
      <c r="CM124" s="1576">
        <f t="shared" si="126"/>
        <v>0</v>
      </c>
      <c r="CN124" s="1495">
        <f t="shared" si="156"/>
        <v>0</v>
      </c>
      <c r="CO124" s="1577">
        <f t="shared" si="157"/>
        <v>0</v>
      </c>
      <c r="CP124" s="1576">
        <f t="shared" si="127"/>
        <v>0</v>
      </c>
      <c r="CQ124" s="1495">
        <f t="shared" si="158"/>
        <v>0</v>
      </c>
      <c r="CR124" s="1577">
        <f t="shared" si="159"/>
        <v>0</v>
      </c>
      <c r="CS124" s="1576">
        <f t="shared" si="128"/>
        <v>0</v>
      </c>
      <c r="CT124" s="1495">
        <f t="shared" si="160"/>
        <v>0</v>
      </c>
      <c r="CU124" s="1577">
        <f t="shared" si="161"/>
        <v>0</v>
      </c>
      <c r="CV124" s="1576">
        <f t="shared" si="129"/>
        <v>0</v>
      </c>
      <c r="CW124" s="1495">
        <f t="shared" si="162"/>
        <v>0</v>
      </c>
      <c r="CX124" s="1577">
        <f t="shared" si="163"/>
        <v>0</v>
      </c>
      <c r="CY124" s="1576">
        <f t="shared" si="130"/>
        <v>0</v>
      </c>
      <c r="CZ124" s="1574">
        <f t="shared" si="131"/>
        <v>0</v>
      </c>
      <c r="DA124" s="1578">
        <f t="shared" si="133"/>
        <v>0</v>
      </c>
      <c r="DB124" s="1579">
        <f t="shared" si="134"/>
        <v>0</v>
      </c>
      <c r="DC124" s="1578">
        <f t="shared" si="135"/>
        <v>0</v>
      </c>
      <c r="DD124" s="1578">
        <f t="shared" si="135"/>
        <v>0</v>
      </c>
      <c r="DE124" s="1578">
        <f t="shared" si="135"/>
        <v>0</v>
      </c>
      <c r="DF124" s="1578">
        <f t="shared" si="136"/>
        <v>0</v>
      </c>
      <c r="DG124" s="1420"/>
      <c r="DH124" s="1420"/>
    </row>
    <row r="125" spans="1:149" ht="12">
      <c r="A125" s="1587"/>
      <c r="B125" s="1475"/>
      <c r="C125" s="1475"/>
      <c r="D125" s="1475"/>
      <c r="E125" s="1475"/>
      <c r="F125" s="1475"/>
      <c r="G125" s="1475"/>
      <c r="H125" s="1475"/>
      <c r="I125" s="1475"/>
      <c r="J125" s="1475"/>
      <c r="K125" s="1475"/>
      <c r="L125" s="1475"/>
      <c r="M125" s="1475"/>
      <c r="BD125" s="1475"/>
      <c r="BE125" s="1571" t="s">
        <v>1211</v>
      </c>
      <c r="BF125" s="1436">
        <v>22</v>
      </c>
      <c r="BG125" s="1436">
        <v>16</v>
      </c>
      <c r="BH125" s="1436">
        <v>5</v>
      </c>
      <c r="BI125" s="1495" t="b">
        <f t="shared" si="132"/>
        <v>1</v>
      </c>
      <c r="BJ125" s="1450" t="b">
        <f t="shared" si="138"/>
        <v>1</v>
      </c>
      <c r="BK125" s="1572">
        <f t="shared" si="139"/>
        <v>8.25</v>
      </c>
      <c r="BL125" s="1581">
        <f>IF(SUM(BL$110:BL124,BK125)&gt;$BM$4,0,BK125)</f>
        <v>8.25</v>
      </c>
      <c r="BM125" s="1436">
        <f t="shared" si="117"/>
        <v>0</v>
      </c>
      <c r="BN125" s="1495">
        <f t="shared" si="118"/>
        <v>0</v>
      </c>
      <c r="BO125" s="1437">
        <f t="shared" si="137"/>
        <v>0</v>
      </c>
      <c r="BP125" s="1574">
        <f t="shared" si="140"/>
        <v>0</v>
      </c>
      <c r="BQ125" s="1577">
        <f t="shared" si="141"/>
        <v>0</v>
      </c>
      <c r="BR125" s="1576">
        <f t="shared" si="119"/>
        <v>0</v>
      </c>
      <c r="BS125" s="1574">
        <f t="shared" si="142"/>
        <v>0</v>
      </c>
      <c r="BT125" s="1577">
        <f t="shared" si="143"/>
        <v>0</v>
      </c>
      <c r="BU125" s="1576">
        <f t="shared" si="120"/>
        <v>0</v>
      </c>
      <c r="BV125" s="1574">
        <f t="shared" si="144"/>
        <v>0</v>
      </c>
      <c r="BW125" s="1577">
        <f t="shared" si="145"/>
        <v>0</v>
      </c>
      <c r="BX125" s="1576">
        <f t="shared" si="121"/>
        <v>0</v>
      </c>
      <c r="BY125" s="1574">
        <f t="shared" si="146"/>
        <v>0</v>
      </c>
      <c r="BZ125" s="1577">
        <f t="shared" si="147"/>
        <v>0</v>
      </c>
      <c r="CA125" s="1576">
        <f t="shared" si="122"/>
        <v>0</v>
      </c>
      <c r="CB125" s="1495">
        <f t="shared" si="148"/>
        <v>0</v>
      </c>
      <c r="CC125" s="1577">
        <f t="shared" si="149"/>
        <v>0</v>
      </c>
      <c r="CD125" s="1576">
        <f t="shared" si="123"/>
        <v>0</v>
      </c>
      <c r="CE125" s="1495">
        <f t="shared" si="150"/>
        <v>0</v>
      </c>
      <c r="CF125" s="1577">
        <f t="shared" si="151"/>
        <v>0</v>
      </c>
      <c r="CG125" s="1576">
        <f t="shared" si="124"/>
        <v>0</v>
      </c>
      <c r="CH125" s="1495">
        <f t="shared" si="152"/>
        <v>0</v>
      </c>
      <c r="CI125" s="1577">
        <f t="shared" si="153"/>
        <v>0</v>
      </c>
      <c r="CJ125" s="1576">
        <f t="shared" si="125"/>
        <v>0</v>
      </c>
      <c r="CK125" s="1495">
        <f t="shared" si="154"/>
        <v>0</v>
      </c>
      <c r="CL125" s="1577">
        <f t="shared" si="155"/>
        <v>0</v>
      </c>
      <c r="CM125" s="1576">
        <f t="shared" si="126"/>
        <v>0</v>
      </c>
      <c r="CN125" s="1495">
        <f t="shared" si="156"/>
        <v>0</v>
      </c>
      <c r="CO125" s="1577">
        <f t="shared" si="157"/>
        <v>0</v>
      </c>
      <c r="CP125" s="1576">
        <f t="shared" si="127"/>
        <v>0</v>
      </c>
      <c r="CQ125" s="1495">
        <f t="shared" si="158"/>
        <v>0</v>
      </c>
      <c r="CR125" s="1577">
        <f t="shared" si="159"/>
        <v>0</v>
      </c>
      <c r="CS125" s="1576">
        <f t="shared" si="128"/>
        <v>0</v>
      </c>
      <c r="CT125" s="1495">
        <f t="shared" si="160"/>
        <v>0</v>
      </c>
      <c r="CU125" s="1577">
        <f t="shared" si="161"/>
        <v>0</v>
      </c>
      <c r="CV125" s="1576">
        <f t="shared" si="129"/>
        <v>0</v>
      </c>
      <c r="CW125" s="1495">
        <f t="shared" si="162"/>
        <v>0</v>
      </c>
      <c r="CX125" s="1577">
        <f t="shared" si="163"/>
        <v>0</v>
      </c>
      <c r="CY125" s="1576">
        <f t="shared" si="130"/>
        <v>0</v>
      </c>
      <c r="CZ125" s="1574">
        <f t="shared" si="131"/>
        <v>0</v>
      </c>
      <c r="DA125" s="1578">
        <f t="shared" si="133"/>
        <v>0</v>
      </c>
      <c r="DB125" s="1579">
        <f t="shared" si="134"/>
        <v>0</v>
      </c>
      <c r="DC125" s="1578">
        <f t="shared" si="135"/>
        <v>0</v>
      </c>
      <c r="DD125" s="1578">
        <f t="shared" si="135"/>
        <v>0</v>
      </c>
      <c r="DE125" s="1578">
        <f t="shared" si="135"/>
        <v>0</v>
      </c>
      <c r="DF125" s="1578">
        <f t="shared" si="136"/>
        <v>0</v>
      </c>
      <c r="DG125" s="1420"/>
      <c r="DH125" s="1420"/>
    </row>
    <row r="126" spans="1:149" ht="15" customHeight="1">
      <c r="A126" s="1587"/>
      <c r="B126" s="1475"/>
      <c r="C126" s="1475"/>
      <c r="D126" s="1475"/>
      <c r="E126" s="1475"/>
      <c r="F126" s="1475"/>
      <c r="G126" s="1475"/>
      <c r="H126" s="1475"/>
      <c r="I126" s="1475"/>
      <c r="J126" s="1475"/>
      <c r="K126" s="1475"/>
      <c r="L126" s="1475"/>
      <c r="M126" s="1475"/>
      <c r="BD126" s="1475"/>
      <c r="BE126" s="1571" t="s">
        <v>1211</v>
      </c>
      <c r="BF126" s="1436">
        <v>22</v>
      </c>
      <c r="BG126" s="1436">
        <v>17</v>
      </c>
      <c r="BH126" s="1436">
        <v>6</v>
      </c>
      <c r="BI126" s="1495" t="b">
        <f t="shared" si="132"/>
        <v>0</v>
      </c>
      <c r="BJ126" s="1450" t="b">
        <f t="shared" si="138"/>
        <v>0</v>
      </c>
      <c r="BK126" s="1572">
        <f t="shared" si="139"/>
        <v>0</v>
      </c>
      <c r="BL126" s="1581">
        <f>IF(SUM(BL$110:BL125,BK126)&gt;$BM$4,0,BK126)</f>
        <v>0</v>
      </c>
      <c r="BM126" s="1436">
        <f t="shared" si="117"/>
        <v>0</v>
      </c>
      <c r="BN126" s="1495">
        <f t="shared" si="118"/>
        <v>0</v>
      </c>
      <c r="BO126" s="1437">
        <f t="shared" si="137"/>
        <v>0</v>
      </c>
      <c r="BP126" s="1574">
        <f t="shared" si="140"/>
        <v>0</v>
      </c>
      <c r="BQ126" s="1577">
        <f t="shared" si="141"/>
        <v>0</v>
      </c>
      <c r="BR126" s="1576">
        <f t="shared" si="119"/>
        <v>0</v>
      </c>
      <c r="BS126" s="1574">
        <f t="shared" si="142"/>
        <v>0</v>
      </c>
      <c r="BT126" s="1577">
        <f t="shared" si="143"/>
        <v>0</v>
      </c>
      <c r="BU126" s="1576">
        <f t="shared" si="120"/>
        <v>0</v>
      </c>
      <c r="BV126" s="1574">
        <f t="shared" si="144"/>
        <v>0</v>
      </c>
      <c r="BW126" s="1577">
        <f t="shared" si="145"/>
        <v>0</v>
      </c>
      <c r="BX126" s="1576">
        <f t="shared" si="121"/>
        <v>0</v>
      </c>
      <c r="BY126" s="1574">
        <f t="shared" si="146"/>
        <v>0</v>
      </c>
      <c r="BZ126" s="1577">
        <f t="shared" si="147"/>
        <v>0</v>
      </c>
      <c r="CA126" s="1576">
        <f t="shared" si="122"/>
        <v>0</v>
      </c>
      <c r="CB126" s="1495">
        <f t="shared" si="148"/>
        <v>0</v>
      </c>
      <c r="CC126" s="1577">
        <f t="shared" si="149"/>
        <v>0</v>
      </c>
      <c r="CD126" s="1576">
        <f t="shared" si="123"/>
        <v>0</v>
      </c>
      <c r="CE126" s="1495">
        <f t="shared" si="150"/>
        <v>0</v>
      </c>
      <c r="CF126" s="1577">
        <f t="shared" si="151"/>
        <v>0</v>
      </c>
      <c r="CG126" s="1576">
        <f t="shared" si="124"/>
        <v>0</v>
      </c>
      <c r="CH126" s="1495">
        <f t="shared" si="152"/>
        <v>0</v>
      </c>
      <c r="CI126" s="1577">
        <f t="shared" si="153"/>
        <v>0</v>
      </c>
      <c r="CJ126" s="1576">
        <f t="shared" si="125"/>
        <v>0</v>
      </c>
      <c r="CK126" s="1495">
        <f t="shared" si="154"/>
        <v>0</v>
      </c>
      <c r="CL126" s="1577">
        <f t="shared" si="155"/>
        <v>0</v>
      </c>
      <c r="CM126" s="1576">
        <f t="shared" si="126"/>
        <v>0</v>
      </c>
      <c r="CN126" s="1495">
        <f t="shared" si="156"/>
        <v>0</v>
      </c>
      <c r="CO126" s="1577">
        <f t="shared" si="157"/>
        <v>0</v>
      </c>
      <c r="CP126" s="1576">
        <f t="shared" si="127"/>
        <v>0</v>
      </c>
      <c r="CQ126" s="1495">
        <f t="shared" si="158"/>
        <v>0</v>
      </c>
      <c r="CR126" s="1577">
        <f t="shared" si="159"/>
        <v>0</v>
      </c>
      <c r="CS126" s="1576">
        <f t="shared" si="128"/>
        <v>0</v>
      </c>
      <c r="CT126" s="1495">
        <f t="shared" si="160"/>
        <v>0</v>
      </c>
      <c r="CU126" s="1577">
        <f t="shared" si="161"/>
        <v>0</v>
      </c>
      <c r="CV126" s="1576">
        <f t="shared" si="129"/>
        <v>0</v>
      </c>
      <c r="CW126" s="1495">
        <f t="shared" si="162"/>
        <v>0</v>
      </c>
      <c r="CX126" s="1577">
        <f t="shared" si="163"/>
        <v>0</v>
      </c>
      <c r="CY126" s="1576">
        <f t="shared" si="130"/>
        <v>0</v>
      </c>
      <c r="CZ126" s="1574">
        <f t="shared" si="131"/>
        <v>0</v>
      </c>
      <c r="DA126" s="1578">
        <f t="shared" si="133"/>
        <v>0</v>
      </c>
      <c r="DB126" s="1579">
        <f t="shared" si="134"/>
        <v>0</v>
      </c>
      <c r="DC126" s="1578">
        <f t="shared" si="135"/>
        <v>0</v>
      </c>
      <c r="DD126" s="1578">
        <f t="shared" si="135"/>
        <v>0</v>
      </c>
      <c r="DE126" s="1578">
        <f t="shared" si="135"/>
        <v>0</v>
      </c>
      <c r="DF126" s="1578">
        <f t="shared" si="136"/>
        <v>0</v>
      </c>
      <c r="DG126" s="1420"/>
      <c r="DH126" s="1420"/>
    </row>
    <row r="127" spans="1:149" ht="15" customHeight="1">
      <c r="A127" s="1587"/>
      <c r="B127" s="1475"/>
      <c r="C127" s="1475"/>
      <c r="D127" s="1475"/>
      <c r="E127" s="1475"/>
      <c r="F127" s="1475"/>
      <c r="G127" s="1475"/>
      <c r="H127" s="1475"/>
      <c r="I127" s="1475"/>
      <c r="J127" s="1475"/>
      <c r="K127" s="1475"/>
      <c r="L127" s="1475"/>
      <c r="M127" s="1475"/>
      <c r="BD127" s="1475"/>
      <c r="BE127" s="1571" t="s">
        <v>1211</v>
      </c>
      <c r="BF127" s="1436">
        <v>22</v>
      </c>
      <c r="BG127" s="1436">
        <v>18</v>
      </c>
      <c r="BH127" s="1436">
        <v>7</v>
      </c>
      <c r="BI127" s="1495" t="b">
        <f t="shared" si="132"/>
        <v>0</v>
      </c>
      <c r="BJ127" s="1450" t="b">
        <f t="shared" si="138"/>
        <v>0</v>
      </c>
      <c r="BK127" s="1572">
        <f t="shared" si="139"/>
        <v>0</v>
      </c>
      <c r="BL127" s="1581">
        <f>IF(SUM(BL$110:BL126,BK127)&gt;$BM$4,0,BK127)</f>
        <v>0</v>
      </c>
      <c r="BM127" s="1436">
        <f t="shared" si="117"/>
        <v>0</v>
      </c>
      <c r="BN127" s="1495">
        <f t="shared" si="118"/>
        <v>0</v>
      </c>
      <c r="BO127" s="1437">
        <f t="shared" si="137"/>
        <v>0</v>
      </c>
      <c r="BP127" s="1574">
        <f t="shared" si="140"/>
        <v>0</v>
      </c>
      <c r="BQ127" s="1577">
        <f t="shared" si="141"/>
        <v>0</v>
      </c>
      <c r="BR127" s="1576">
        <f t="shared" si="119"/>
        <v>0</v>
      </c>
      <c r="BS127" s="1574">
        <f t="shared" si="142"/>
        <v>0</v>
      </c>
      <c r="BT127" s="1577">
        <f t="shared" si="143"/>
        <v>0</v>
      </c>
      <c r="BU127" s="1576">
        <f t="shared" si="120"/>
        <v>0</v>
      </c>
      <c r="BV127" s="1574">
        <f t="shared" si="144"/>
        <v>0</v>
      </c>
      <c r="BW127" s="1577">
        <f t="shared" si="145"/>
        <v>0</v>
      </c>
      <c r="BX127" s="1576">
        <f t="shared" si="121"/>
        <v>0</v>
      </c>
      <c r="BY127" s="1574">
        <f t="shared" si="146"/>
        <v>0</v>
      </c>
      <c r="BZ127" s="1577">
        <f t="shared" si="147"/>
        <v>0</v>
      </c>
      <c r="CA127" s="1576">
        <f t="shared" si="122"/>
        <v>0</v>
      </c>
      <c r="CB127" s="1495">
        <f t="shared" si="148"/>
        <v>0</v>
      </c>
      <c r="CC127" s="1577">
        <f t="shared" si="149"/>
        <v>0</v>
      </c>
      <c r="CD127" s="1576">
        <f t="shared" si="123"/>
        <v>0</v>
      </c>
      <c r="CE127" s="1495">
        <f t="shared" si="150"/>
        <v>0</v>
      </c>
      <c r="CF127" s="1577">
        <f t="shared" si="151"/>
        <v>0</v>
      </c>
      <c r="CG127" s="1576">
        <f t="shared" si="124"/>
        <v>0</v>
      </c>
      <c r="CH127" s="1495">
        <f t="shared" si="152"/>
        <v>0</v>
      </c>
      <c r="CI127" s="1577">
        <f t="shared" si="153"/>
        <v>0</v>
      </c>
      <c r="CJ127" s="1576">
        <f t="shared" si="125"/>
        <v>0</v>
      </c>
      <c r="CK127" s="1495">
        <f t="shared" si="154"/>
        <v>0</v>
      </c>
      <c r="CL127" s="1577">
        <f t="shared" si="155"/>
        <v>0</v>
      </c>
      <c r="CM127" s="1576">
        <f t="shared" si="126"/>
        <v>0</v>
      </c>
      <c r="CN127" s="1495">
        <f t="shared" si="156"/>
        <v>0</v>
      </c>
      <c r="CO127" s="1577">
        <f t="shared" si="157"/>
        <v>0</v>
      </c>
      <c r="CP127" s="1576">
        <f t="shared" si="127"/>
        <v>0</v>
      </c>
      <c r="CQ127" s="1495">
        <f t="shared" si="158"/>
        <v>0</v>
      </c>
      <c r="CR127" s="1577">
        <f t="shared" si="159"/>
        <v>0</v>
      </c>
      <c r="CS127" s="1576">
        <f t="shared" si="128"/>
        <v>0</v>
      </c>
      <c r="CT127" s="1495">
        <f t="shared" si="160"/>
        <v>0</v>
      </c>
      <c r="CU127" s="1577">
        <f t="shared" si="161"/>
        <v>0</v>
      </c>
      <c r="CV127" s="1576">
        <f t="shared" si="129"/>
        <v>0</v>
      </c>
      <c r="CW127" s="1495">
        <f t="shared" si="162"/>
        <v>0</v>
      </c>
      <c r="CX127" s="1577">
        <f t="shared" si="163"/>
        <v>0</v>
      </c>
      <c r="CY127" s="1576">
        <f t="shared" si="130"/>
        <v>0</v>
      </c>
      <c r="CZ127" s="1574">
        <f t="shared" si="131"/>
        <v>0</v>
      </c>
      <c r="DA127" s="1578">
        <f t="shared" si="133"/>
        <v>0</v>
      </c>
      <c r="DB127" s="1579">
        <f t="shared" si="134"/>
        <v>0</v>
      </c>
      <c r="DC127" s="1578">
        <f t="shared" si="135"/>
        <v>0</v>
      </c>
      <c r="DD127" s="1578">
        <f t="shared" si="135"/>
        <v>0</v>
      </c>
      <c r="DE127" s="1578">
        <f t="shared" si="135"/>
        <v>0</v>
      </c>
      <c r="DF127" s="1578">
        <f t="shared" si="136"/>
        <v>0</v>
      </c>
      <c r="DG127" s="1420"/>
      <c r="DH127" s="1420"/>
    </row>
    <row r="128" spans="1:149" ht="12" customHeight="1">
      <c r="A128" s="1587"/>
      <c r="B128" s="1475"/>
      <c r="C128" s="1475"/>
      <c r="D128" s="1475"/>
      <c r="E128" s="1475"/>
      <c r="F128" s="1475"/>
      <c r="G128" s="1475"/>
      <c r="H128" s="1475"/>
      <c r="I128" s="1475"/>
      <c r="J128" s="1475"/>
      <c r="K128" s="1475"/>
      <c r="L128" s="1475"/>
      <c r="M128" s="1475"/>
      <c r="BD128" s="1475"/>
      <c r="BE128" s="1571" t="s">
        <v>1211</v>
      </c>
      <c r="BF128" s="1436">
        <v>22</v>
      </c>
      <c r="BG128" s="1436">
        <v>19</v>
      </c>
      <c r="BH128" s="1436">
        <v>1</v>
      </c>
      <c r="BI128" s="1495" t="b">
        <f t="shared" si="132"/>
        <v>1</v>
      </c>
      <c r="BJ128" s="1450" t="b">
        <f t="shared" si="138"/>
        <v>0</v>
      </c>
      <c r="BK128" s="1572">
        <f t="shared" si="139"/>
        <v>0</v>
      </c>
      <c r="BL128" s="1581">
        <f>IF(SUM(BL$110:BL127,BK128)&gt;$BM$4,0,BK128)</f>
        <v>0</v>
      </c>
      <c r="BM128" s="1436">
        <f t="shared" si="117"/>
        <v>0</v>
      </c>
      <c r="BN128" s="1495">
        <f t="shared" si="118"/>
        <v>0</v>
      </c>
      <c r="BO128" s="1437">
        <f t="shared" si="137"/>
        <v>0</v>
      </c>
      <c r="BP128" s="1574">
        <f t="shared" si="140"/>
        <v>0</v>
      </c>
      <c r="BQ128" s="1577">
        <f t="shared" si="141"/>
        <v>0</v>
      </c>
      <c r="BR128" s="1576">
        <f t="shared" si="119"/>
        <v>0</v>
      </c>
      <c r="BS128" s="1574">
        <f t="shared" si="142"/>
        <v>0</v>
      </c>
      <c r="BT128" s="1577">
        <f t="shared" si="143"/>
        <v>0</v>
      </c>
      <c r="BU128" s="1576">
        <f t="shared" si="120"/>
        <v>0</v>
      </c>
      <c r="BV128" s="1574">
        <f t="shared" si="144"/>
        <v>0</v>
      </c>
      <c r="BW128" s="1577">
        <f t="shared" si="145"/>
        <v>0</v>
      </c>
      <c r="BX128" s="1576">
        <f t="shared" si="121"/>
        <v>0</v>
      </c>
      <c r="BY128" s="1574">
        <f t="shared" si="146"/>
        <v>0</v>
      </c>
      <c r="BZ128" s="1577">
        <f t="shared" si="147"/>
        <v>0</v>
      </c>
      <c r="CA128" s="1576">
        <f t="shared" si="122"/>
        <v>0</v>
      </c>
      <c r="CB128" s="1495">
        <f t="shared" si="148"/>
        <v>0</v>
      </c>
      <c r="CC128" s="1577">
        <f t="shared" si="149"/>
        <v>0</v>
      </c>
      <c r="CD128" s="1576">
        <f t="shared" si="123"/>
        <v>0</v>
      </c>
      <c r="CE128" s="1495">
        <f t="shared" si="150"/>
        <v>0</v>
      </c>
      <c r="CF128" s="1577">
        <f t="shared" si="151"/>
        <v>0</v>
      </c>
      <c r="CG128" s="1576">
        <f t="shared" si="124"/>
        <v>0</v>
      </c>
      <c r="CH128" s="1495">
        <f t="shared" si="152"/>
        <v>0</v>
      </c>
      <c r="CI128" s="1577">
        <f t="shared" si="153"/>
        <v>0</v>
      </c>
      <c r="CJ128" s="1576">
        <f t="shared" si="125"/>
        <v>0</v>
      </c>
      <c r="CK128" s="1495">
        <f t="shared" si="154"/>
        <v>0</v>
      </c>
      <c r="CL128" s="1577">
        <f t="shared" si="155"/>
        <v>0</v>
      </c>
      <c r="CM128" s="1576">
        <f t="shared" si="126"/>
        <v>0</v>
      </c>
      <c r="CN128" s="1495">
        <f t="shared" si="156"/>
        <v>0</v>
      </c>
      <c r="CO128" s="1577">
        <f t="shared" si="157"/>
        <v>0</v>
      </c>
      <c r="CP128" s="1576">
        <f t="shared" si="127"/>
        <v>0</v>
      </c>
      <c r="CQ128" s="1495">
        <f t="shared" si="158"/>
        <v>0</v>
      </c>
      <c r="CR128" s="1577">
        <f t="shared" si="159"/>
        <v>0</v>
      </c>
      <c r="CS128" s="1576">
        <f t="shared" si="128"/>
        <v>0</v>
      </c>
      <c r="CT128" s="1495">
        <f t="shared" si="160"/>
        <v>0</v>
      </c>
      <c r="CU128" s="1577">
        <f t="shared" si="161"/>
        <v>0</v>
      </c>
      <c r="CV128" s="1576">
        <f t="shared" si="129"/>
        <v>0</v>
      </c>
      <c r="CW128" s="1495">
        <f t="shared" si="162"/>
        <v>0</v>
      </c>
      <c r="CX128" s="1577">
        <f t="shared" si="163"/>
        <v>0</v>
      </c>
      <c r="CY128" s="1576">
        <f t="shared" si="130"/>
        <v>0</v>
      </c>
      <c r="CZ128" s="1574">
        <f t="shared" si="131"/>
        <v>0</v>
      </c>
      <c r="DA128" s="1578">
        <f t="shared" si="133"/>
        <v>0</v>
      </c>
      <c r="DB128" s="1579">
        <f t="shared" si="134"/>
        <v>0</v>
      </c>
      <c r="DC128" s="1578">
        <f t="shared" si="135"/>
        <v>0</v>
      </c>
      <c r="DD128" s="1578">
        <f t="shared" si="135"/>
        <v>0</v>
      </c>
      <c r="DE128" s="1578">
        <f t="shared" si="135"/>
        <v>0</v>
      </c>
      <c r="DF128" s="1578">
        <f t="shared" si="136"/>
        <v>0</v>
      </c>
      <c r="DG128" s="1420"/>
      <c r="DH128" s="1420"/>
      <c r="DR128" s="1685"/>
      <c r="DS128" s="1685"/>
      <c r="DT128" s="1685"/>
      <c r="DU128" s="1685"/>
      <c r="DV128" s="1685"/>
      <c r="DW128" s="1685"/>
      <c r="DX128" s="1685"/>
      <c r="DY128" s="1685"/>
      <c r="DZ128" s="1685"/>
      <c r="EA128" s="1685"/>
      <c r="EB128" s="1685"/>
      <c r="EC128" s="1685"/>
      <c r="ED128" s="1685"/>
      <c r="EE128" s="1685"/>
      <c r="EF128" s="1685"/>
      <c r="EG128" s="1685"/>
      <c r="EH128" s="1685"/>
      <c r="EI128" s="1685"/>
      <c r="EJ128" s="1685"/>
      <c r="EK128" s="1685"/>
      <c r="EL128" s="1685"/>
      <c r="EM128" s="1685"/>
      <c r="EN128" s="1685"/>
      <c r="EO128" s="1685"/>
      <c r="EP128" s="1685"/>
      <c r="EQ128" s="1685"/>
      <c r="ER128" s="1685"/>
      <c r="ES128" s="1685"/>
    </row>
    <row r="129" spans="1:151" ht="17.25" customHeight="1">
      <c r="A129" s="1587"/>
      <c r="B129" s="1475"/>
      <c r="C129" s="1475"/>
      <c r="D129" s="1475"/>
      <c r="E129" s="1475"/>
      <c r="F129" s="1475"/>
      <c r="G129" s="1475"/>
      <c r="H129" s="1475"/>
      <c r="I129" s="1586"/>
      <c r="J129" s="1586"/>
      <c r="K129" s="1586"/>
      <c r="L129" s="1586"/>
      <c r="M129" s="1475"/>
      <c r="BD129" s="1475"/>
      <c r="BE129" s="1571" t="s">
        <v>1211</v>
      </c>
      <c r="BF129" s="1436">
        <v>22</v>
      </c>
      <c r="BG129" s="1436">
        <v>20</v>
      </c>
      <c r="BH129" s="1436">
        <v>2</v>
      </c>
      <c r="BI129" s="1495" t="b">
        <f t="shared" si="132"/>
        <v>1</v>
      </c>
      <c r="BJ129" s="1450" t="b">
        <f t="shared" si="138"/>
        <v>0</v>
      </c>
      <c r="BK129" s="1572">
        <f t="shared" si="139"/>
        <v>0</v>
      </c>
      <c r="BL129" s="1581">
        <f>IF(SUM(BL$110:BL128,BK129)&gt;$BM$4,0,BK129)</f>
        <v>0</v>
      </c>
      <c r="BM129" s="1436">
        <f t="shared" si="117"/>
        <v>0</v>
      </c>
      <c r="BN129" s="1495">
        <f t="shared" si="118"/>
        <v>0</v>
      </c>
      <c r="BO129" s="1437">
        <f t="shared" si="137"/>
        <v>0</v>
      </c>
      <c r="BP129" s="1574">
        <f t="shared" si="140"/>
        <v>0</v>
      </c>
      <c r="BQ129" s="1577">
        <f t="shared" si="141"/>
        <v>0</v>
      </c>
      <c r="BR129" s="1576">
        <f t="shared" si="119"/>
        <v>0</v>
      </c>
      <c r="BS129" s="1574">
        <f t="shared" si="142"/>
        <v>0</v>
      </c>
      <c r="BT129" s="1577">
        <f t="shared" si="143"/>
        <v>0</v>
      </c>
      <c r="BU129" s="1576">
        <f t="shared" si="120"/>
        <v>0</v>
      </c>
      <c r="BV129" s="1574">
        <f t="shared" si="144"/>
        <v>0</v>
      </c>
      <c r="BW129" s="1577">
        <f t="shared" si="145"/>
        <v>0</v>
      </c>
      <c r="BX129" s="1576">
        <f t="shared" si="121"/>
        <v>0</v>
      </c>
      <c r="BY129" s="1574">
        <f t="shared" si="146"/>
        <v>0</v>
      </c>
      <c r="BZ129" s="1577">
        <f t="shared" si="147"/>
        <v>0</v>
      </c>
      <c r="CA129" s="1576">
        <f t="shared" si="122"/>
        <v>0</v>
      </c>
      <c r="CB129" s="1495">
        <f t="shared" si="148"/>
        <v>0</v>
      </c>
      <c r="CC129" s="1577">
        <f t="shared" si="149"/>
        <v>0</v>
      </c>
      <c r="CD129" s="1576">
        <f t="shared" si="123"/>
        <v>0</v>
      </c>
      <c r="CE129" s="1495">
        <f t="shared" si="150"/>
        <v>0</v>
      </c>
      <c r="CF129" s="1577">
        <f t="shared" si="151"/>
        <v>0</v>
      </c>
      <c r="CG129" s="1576">
        <f t="shared" si="124"/>
        <v>0</v>
      </c>
      <c r="CH129" s="1495">
        <f t="shared" si="152"/>
        <v>0</v>
      </c>
      <c r="CI129" s="1577">
        <f t="shared" si="153"/>
        <v>0</v>
      </c>
      <c r="CJ129" s="1576">
        <f t="shared" si="125"/>
        <v>0</v>
      </c>
      <c r="CK129" s="1495">
        <f t="shared" si="154"/>
        <v>0</v>
      </c>
      <c r="CL129" s="1577">
        <f t="shared" si="155"/>
        <v>0</v>
      </c>
      <c r="CM129" s="1576">
        <f t="shared" si="126"/>
        <v>0</v>
      </c>
      <c r="CN129" s="1495">
        <f t="shared" si="156"/>
        <v>0</v>
      </c>
      <c r="CO129" s="1577">
        <f t="shared" si="157"/>
        <v>0</v>
      </c>
      <c r="CP129" s="1576">
        <f t="shared" si="127"/>
        <v>0</v>
      </c>
      <c r="CQ129" s="1495">
        <f t="shared" si="158"/>
        <v>0</v>
      </c>
      <c r="CR129" s="1577">
        <f t="shared" si="159"/>
        <v>0</v>
      </c>
      <c r="CS129" s="1576">
        <f t="shared" si="128"/>
        <v>0</v>
      </c>
      <c r="CT129" s="1495">
        <f t="shared" si="160"/>
        <v>0</v>
      </c>
      <c r="CU129" s="1577">
        <f t="shared" si="161"/>
        <v>0</v>
      </c>
      <c r="CV129" s="1576">
        <f t="shared" si="129"/>
        <v>0</v>
      </c>
      <c r="CW129" s="1495">
        <f t="shared" si="162"/>
        <v>0</v>
      </c>
      <c r="CX129" s="1577">
        <f t="shared" si="163"/>
        <v>0</v>
      </c>
      <c r="CY129" s="1576">
        <f t="shared" si="130"/>
        <v>0</v>
      </c>
      <c r="CZ129" s="1574">
        <f t="shared" si="131"/>
        <v>0</v>
      </c>
      <c r="DA129" s="1578">
        <f t="shared" si="133"/>
        <v>0</v>
      </c>
      <c r="DB129" s="1579">
        <f t="shared" si="134"/>
        <v>0</v>
      </c>
      <c r="DC129" s="1578">
        <f t="shared" si="135"/>
        <v>0</v>
      </c>
      <c r="DD129" s="1578">
        <f t="shared" si="135"/>
        <v>0</v>
      </c>
      <c r="DE129" s="1578">
        <f t="shared" si="135"/>
        <v>0</v>
      </c>
      <c r="DF129" s="1578">
        <f t="shared" si="136"/>
        <v>0</v>
      </c>
      <c r="DG129" s="1467"/>
      <c r="DH129" s="1467"/>
    </row>
    <row r="130" spans="1:151" s="1458" customFormat="1" ht="22.5" customHeight="1">
      <c r="A130" s="1587"/>
      <c r="B130" s="1623" t="s">
        <v>2213</v>
      </c>
      <c r="C130" s="1624"/>
      <c r="D130" s="1624"/>
      <c r="E130" s="1624"/>
      <c r="F130" s="1624"/>
      <c r="G130" s="1624"/>
      <c r="H130" s="1624"/>
      <c r="I130" s="1624"/>
      <c r="J130" s="1624"/>
      <c r="K130" s="1624"/>
      <c r="L130" s="1624"/>
      <c r="M130" s="1624"/>
      <c r="N130" s="1624"/>
      <c r="O130" s="1624"/>
      <c r="P130" s="1624"/>
      <c r="Q130" s="1624"/>
      <c r="R130" s="1624"/>
      <c r="S130" s="1624"/>
      <c r="T130" s="1624"/>
      <c r="U130" s="1624"/>
      <c r="V130" s="1624"/>
      <c r="W130" s="1624"/>
      <c r="X130" s="1624"/>
      <c r="Y130" s="1624"/>
      <c r="Z130" s="1624"/>
      <c r="AA130" s="1624"/>
      <c r="AB130" s="1624"/>
      <c r="AC130" s="1624"/>
      <c r="AD130" s="1624"/>
      <c r="AE130" s="1624"/>
      <c r="AF130" s="1624"/>
      <c r="AG130" s="1624"/>
      <c r="AH130" s="1624"/>
      <c r="AI130" s="1624"/>
      <c r="AJ130" s="1624"/>
      <c r="AK130" s="1624"/>
      <c r="AL130" s="1624"/>
      <c r="AM130" s="1624"/>
      <c r="AN130" s="1624"/>
      <c r="AO130" s="1624"/>
      <c r="AP130" s="1624"/>
      <c r="AQ130" s="1624"/>
      <c r="AR130" s="1624"/>
      <c r="AS130" s="1624"/>
      <c r="AT130" s="1624"/>
      <c r="AU130" s="1624"/>
      <c r="AV130" s="1624"/>
      <c r="AW130" s="1624"/>
      <c r="AX130" s="1624"/>
      <c r="AY130" s="1624"/>
      <c r="AZ130" s="1624"/>
      <c r="BA130" s="1624"/>
      <c r="BB130" s="1624"/>
      <c r="BC130" s="1624"/>
      <c r="BD130" s="1686"/>
      <c r="BE130" s="1612" t="s">
        <v>1211</v>
      </c>
      <c r="BF130" s="1613">
        <v>22</v>
      </c>
      <c r="BG130" s="1613">
        <v>21</v>
      </c>
      <c r="BH130" s="1613">
        <v>3</v>
      </c>
      <c r="BI130" s="1614" t="b">
        <f t="shared" si="132"/>
        <v>1</v>
      </c>
      <c r="BJ130" s="1615" t="b">
        <f t="shared" si="138"/>
        <v>0</v>
      </c>
      <c r="BK130" s="1616">
        <f t="shared" si="139"/>
        <v>0</v>
      </c>
      <c r="BL130" s="1617">
        <f>IF(SUM(BL$110:BL129,BK130)&gt;$BM$4,0,BK130)</f>
        <v>0</v>
      </c>
      <c r="BM130" s="1613">
        <f t="shared" si="117"/>
        <v>0</v>
      </c>
      <c r="BN130" s="1614">
        <f t="shared" si="118"/>
        <v>0</v>
      </c>
      <c r="BO130" s="1618">
        <f t="shared" si="137"/>
        <v>0</v>
      </c>
      <c r="BP130" s="1574">
        <f t="shared" si="140"/>
        <v>0</v>
      </c>
      <c r="BQ130" s="1577">
        <f t="shared" si="141"/>
        <v>0</v>
      </c>
      <c r="BR130" s="1576">
        <f t="shared" si="119"/>
        <v>0</v>
      </c>
      <c r="BS130" s="1574">
        <f t="shared" si="142"/>
        <v>0</v>
      </c>
      <c r="BT130" s="1577">
        <f t="shared" si="143"/>
        <v>0</v>
      </c>
      <c r="BU130" s="1576">
        <f t="shared" si="120"/>
        <v>0</v>
      </c>
      <c r="BV130" s="1574">
        <f t="shared" si="144"/>
        <v>0</v>
      </c>
      <c r="BW130" s="1577">
        <f t="shared" si="145"/>
        <v>0</v>
      </c>
      <c r="BX130" s="1576">
        <f t="shared" si="121"/>
        <v>0</v>
      </c>
      <c r="BY130" s="1574">
        <f t="shared" si="146"/>
        <v>0</v>
      </c>
      <c r="BZ130" s="1577">
        <f t="shared" si="147"/>
        <v>0</v>
      </c>
      <c r="CA130" s="1576">
        <f t="shared" si="122"/>
        <v>0</v>
      </c>
      <c r="CB130" s="1614">
        <f t="shared" si="148"/>
        <v>0</v>
      </c>
      <c r="CC130" s="1577">
        <f t="shared" si="149"/>
        <v>0</v>
      </c>
      <c r="CD130" s="1576">
        <f t="shared" si="123"/>
        <v>0</v>
      </c>
      <c r="CE130" s="1614">
        <f t="shared" si="150"/>
        <v>0</v>
      </c>
      <c r="CF130" s="1577">
        <f t="shared" si="151"/>
        <v>0</v>
      </c>
      <c r="CG130" s="1576">
        <f t="shared" si="124"/>
        <v>0</v>
      </c>
      <c r="CH130" s="1614">
        <f t="shared" si="152"/>
        <v>0</v>
      </c>
      <c r="CI130" s="1577">
        <f t="shared" si="153"/>
        <v>0</v>
      </c>
      <c r="CJ130" s="1576">
        <f t="shared" si="125"/>
        <v>0</v>
      </c>
      <c r="CK130" s="1495">
        <f t="shared" si="154"/>
        <v>0</v>
      </c>
      <c r="CL130" s="1577">
        <f t="shared" si="155"/>
        <v>0</v>
      </c>
      <c r="CM130" s="1576">
        <f t="shared" si="126"/>
        <v>0</v>
      </c>
      <c r="CN130" s="1495">
        <f t="shared" si="156"/>
        <v>0</v>
      </c>
      <c r="CO130" s="1577">
        <f t="shared" si="157"/>
        <v>0</v>
      </c>
      <c r="CP130" s="1576">
        <f t="shared" si="127"/>
        <v>0</v>
      </c>
      <c r="CQ130" s="1495">
        <f t="shared" si="158"/>
        <v>0</v>
      </c>
      <c r="CR130" s="1577">
        <f t="shared" si="159"/>
        <v>0</v>
      </c>
      <c r="CS130" s="1576">
        <f t="shared" si="128"/>
        <v>0</v>
      </c>
      <c r="CT130" s="1495">
        <f t="shared" si="160"/>
        <v>0</v>
      </c>
      <c r="CU130" s="1577">
        <f t="shared" si="161"/>
        <v>0</v>
      </c>
      <c r="CV130" s="1576">
        <f t="shared" si="129"/>
        <v>0</v>
      </c>
      <c r="CW130" s="1495">
        <f t="shared" si="162"/>
        <v>0</v>
      </c>
      <c r="CX130" s="1577">
        <f t="shared" si="163"/>
        <v>0</v>
      </c>
      <c r="CY130" s="1576">
        <f t="shared" si="130"/>
        <v>0</v>
      </c>
      <c r="CZ130" s="1619">
        <f t="shared" si="131"/>
        <v>0</v>
      </c>
      <c r="DA130" s="1578">
        <f t="shared" si="133"/>
        <v>0</v>
      </c>
      <c r="DB130" s="1620">
        <f t="shared" si="134"/>
        <v>0</v>
      </c>
      <c r="DC130" s="1621">
        <f t="shared" si="135"/>
        <v>0</v>
      </c>
      <c r="DD130" s="1621">
        <f t="shared" si="135"/>
        <v>0</v>
      </c>
      <c r="DE130" s="1621">
        <f t="shared" si="135"/>
        <v>0</v>
      </c>
      <c r="DF130" s="1621">
        <f t="shared" si="136"/>
        <v>0</v>
      </c>
      <c r="DG130" s="1420"/>
      <c r="DH130" s="1420"/>
      <c r="DI130" s="1687"/>
      <c r="DJ130" s="1685"/>
      <c r="DK130" s="1685"/>
      <c r="DL130" s="1685"/>
      <c r="DM130" s="1685"/>
      <c r="DN130" s="1685"/>
      <c r="DO130" s="1685"/>
      <c r="DP130" s="1685"/>
      <c r="DQ130" s="1687"/>
      <c r="DR130" s="1428"/>
      <c r="DS130" s="1428"/>
      <c r="DT130" s="1428"/>
      <c r="DU130" s="1428"/>
      <c r="DV130" s="1428"/>
      <c r="DW130" s="1428"/>
      <c r="DX130" s="1428"/>
      <c r="DY130" s="1428"/>
      <c r="DZ130" s="1428"/>
      <c r="EA130" s="1428"/>
      <c r="EB130" s="1428"/>
      <c r="EC130" s="1428"/>
      <c r="ED130" s="1428"/>
      <c r="EE130" s="1428"/>
      <c r="EF130" s="1428"/>
      <c r="EG130" s="1428"/>
      <c r="EH130" s="1428"/>
      <c r="EI130" s="1428"/>
      <c r="EJ130" s="1428"/>
      <c r="EK130" s="1428"/>
      <c r="EL130" s="1428"/>
      <c r="EM130" s="1428"/>
      <c r="EN130" s="1428"/>
      <c r="EO130" s="1428"/>
      <c r="EP130" s="1428"/>
      <c r="EQ130" s="1428"/>
      <c r="ER130" s="1428"/>
      <c r="ES130" s="1428"/>
      <c r="ET130" s="1428"/>
      <c r="EU130" s="1428"/>
    </row>
    <row r="131" spans="1:151" ht="15" customHeight="1">
      <c r="A131" s="1622"/>
      <c r="B131" s="1688" t="s">
        <v>2323</v>
      </c>
      <c r="C131" s="1459"/>
      <c r="D131" s="1459"/>
      <c r="E131" s="1459"/>
      <c r="F131" s="1459"/>
      <c r="G131" s="1459"/>
      <c r="H131" s="1459"/>
      <c r="I131" s="1459"/>
      <c r="J131" s="1459"/>
      <c r="K131" s="1459"/>
      <c r="L131" s="1459"/>
      <c r="M131" s="1686"/>
      <c r="BD131" s="1475"/>
      <c r="BE131" s="1571" t="s">
        <v>1211</v>
      </c>
      <c r="BF131" s="1436">
        <v>22</v>
      </c>
      <c r="BG131" s="1436">
        <v>22</v>
      </c>
      <c r="BH131" s="1436">
        <v>4</v>
      </c>
      <c r="BI131" s="1495" t="b">
        <f t="shared" si="132"/>
        <v>1</v>
      </c>
      <c r="BJ131" s="1450" t="b">
        <f t="shared" si="138"/>
        <v>0</v>
      </c>
      <c r="BK131" s="1572">
        <f t="shared" si="139"/>
        <v>0</v>
      </c>
      <c r="BL131" s="1581">
        <f>IF(SUM(BL$110:BL130,BK131)&gt;$BM$4,0,BK131)</f>
        <v>0</v>
      </c>
      <c r="BM131" s="1436">
        <f t="shared" si="117"/>
        <v>0</v>
      </c>
      <c r="BN131" s="1495">
        <f t="shared" si="118"/>
        <v>0</v>
      </c>
      <c r="BO131" s="1437">
        <f t="shared" si="137"/>
        <v>0</v>
      </c>
      <c r="BP131" s="1574">
        <f t="shared" si="140"/>
        <v>0</v>
      </c>
      <c r="BQ131" s="1577">
        <f t="shared" si="141"/>
        <v>0</v>
      </c>
      <c r="BR131" s="1576">
        <f t="shared" si="119"/>
        <v>0</v>
      </c>
      <c r="BS131" s="1574">
        <f t="shared" si="142"/>
        <v>0</v>
      </c>
      <c r="BT131" s="1577">
        <f t="shared" si="143"/>
        <v>0</v>
      </c>
      <c r="BU131" s="1576">
        <f t="shared" si="120"/>
        <v>0</v>
      </c>
      <c r="BV131" s="1574">
        <f t="shared" si="144"/>
        <v>0</v>
      </c>
      <c r="BW131" s="1577">
        <f t="shared" si="145"/>
        <v>0</v>
      </c>
      <c r="BX131" s="1576">
        <f t="shared" si="121"/>
        <v>0</v>
      </c>
      <c r="BY131" s="1574">
        <f t="shared" si="146"/>
        <v>0</v>
      </c>
      <c r="BZ131" s="1577">
        <f t="shared" si="147"/>
        <v>0</v>
      </c>
      <c r="CA131" s="1576">
        <f t="shared" si="122"/>
        <v>0</v>
      </c>
      <c r="CB131" s="1495">
        <f t="shared" si="148"/>
        <v>0</v>
      </c>
      <c r="CC131" s="1577">
        <f t="shared" si="149"/>
        <v>0</v>
      </c>
      <c r="CD131" s="1576">
        <f t="shared" si="123"/>
        <v>0</v>
      </c>
      <c r="CE131" s="1495">
        <f t="shared" si="150"/>
        <v>0</v>
      </c>
      <c r="CF131" s="1577">
        <f t="shared" si="151"/>
        <v>0</v>
      </c>
      <c r="CG131" s="1576">
        <f t="shared" si="124"/>
        <v>0</v>
      </c>
      <c r="CH131" s="1495">
        <f t="shared" si="152"/>
        <v>0</v>
      </c>
      <c r="CI131" s="1577">
        <f t="shared" si="153"/>
        <v>0</v>
      </c>
      <c r="CJ131" s="1576">
        <f t="shared" si="125"/>
        <v>0</v>
      </c>
      <c r="CK131" s="1495">
        <f t="shared" si="154"/>
        <v>0</v>
      </c>
      <c r="CL131" s="1577">
        <f t="shared" si="155"/>
        <v>0</v>
      </c>
      <c r="CM131" s="1576">
        <f t="shared" si="126"/>
        <v>0</v>
      </c>
      <c r="CN131" s="1495">
        <f t="shared" si="156"/>
        <v>0</v>
      </c>
      <c r="CO131" s="1577">
        <f t="shared" si="157"/>
        <v>0</v>
      </c>
      <c r="CP131" s="1576">
        <f t="shared" si="127"/>
        <v>0</v>
      </c>
      <c r="CQ131" s="1495">
        <f t="shared" si="158"/>
        <v>0</v>
      </c>
      <c r="CR131" s="1577">
        <f t="shared" si="159"/>
        <v>0</v>
      </c>
      <c r="CS131" s="1576">
        <f t="shared" si="128"/>
        <v>0</v>
      </c>
      <c r="CT131" s="1495">
        <f t="shared" si="160"/>
        <v>0</v>
      </c>
      <c r="CU131" s="1577">
        <f t="shared" si="161"/>
        <v>0</v>
      </c>
      <c r="CV131" s="1576">
        <f t="shared" si="129"/>
        <v>0</v>
      </c>
      <c r="CW131" s="1495">
        <f t="shared" si="162"/>
        <v>0</v>
      </c>
      <c r="CX131" s="1577">
        <f t="shared" si="163"/>
        <v>0</v>
      </c>
      <c r="CY131" s="1576">
        <f t="shared" si="130"/>
        <v>0</v>
      </c>
      <c r="CZ131" s="1574">
        <f t="shared" si="131"/>
        <v>0</v>
      </c>
      <c r="DA131" s="1578">
        <f t="shared" si="133"/>
        <v>0</v>
      </c>
      <c r="DB131" s="1579">
        <f t="shared" si="134"/>
        <v>0</v>
      </c>
      <c r="DC131" s="1578">
        <f t="shared" si="135"/>
        <v>0</v>
      </c>
      <c r="DD131" s="1578">
        <f t="shared" si="135"/>
        <v>0</v>
      </c>
      <c r="DE131" s="1578">
        <f t="shared" si="135"/>
        <v>0</v>
      </c>
      <c r="DF131" s="1578">
        <f t="shared" si="136"/>
        <v>0</v>
      </c>
      <c r="DG131" s="1420"/>
      <c r="DH131" s="1420"/>
    </row>
    <row r="132" spans="1:151" ht="15" customHeight="1">
      <c r="A132" s="1622"/>
      <c r="B132" s="1688"/>
      <c r="C132" s="1459"/>
      <c r="D132" s="1459"/>
      <c r="E132" s="1459"/>
      <c r="F132" s="1459"/>
      <c r="G132" s="1459"/>
      <c r="H132" s="1459"/>
      <c r="I132" s="1459"/>
      <c r="J132" s="1459"/>
      <c r="K132" s="1459"/>
      <c r="L132" s="1459"/>
      <c r="M132" s="1686"/>
      <c r="N132" s="1430" t="s">
        <v>1668</v>
      </c>
      <c r="BD132" s="1475"/>
      <c r="BE132" s="1571" t="s">
        <v>1211</v>
      </c>
      <c r="BF132" s="1436">
        <v>22</v>
      </c>
      <c r="BG132" s="1436">
        <v>23</v>
      </c>
      <c r="BH132" s="1436">
        <v>5</v>
      </c>
      <c r="BI132" s="1495" t="b">
        <f t="shared" si="132"/>
        <v>1</v>
      </c>
      <c r="BJ132" s="1450" t="b">
        <f t="shared" si="138"/>
        <v>0</v>
      </c>
      <c r="BK132" s="1572">
        <f t="shared" si="139"/>
        <v>0</v>
      </c>
      <c r="BL132" s="1581">
        <f>IF(SUM(BL$110:BL131,BK132)&gt;$BM$4,0,BK132)</f>
        <v>0</v>
      </c>
      <c r="BM132" s="1436">
        <f t="shared" si="117"/>
        <v>0</v>
      </c>
      <c r="BN132" s="1495">
        <f t="shared" si="118"/>
        <v>0</v>
      </c>
      <c r="BO132" s="1437">
        <f t="shared" si="137"/>
        <v>0</v>
      </c>
      <c r="BP132" s="1574">
        <f t="shared" si="140"/>
        <v>0</v>
      </c>
      <c r="BQ132" s="1577">
        <f t="shared" si="141"/>
        <v>0</v>
      </c>
      <c r="BR132" s="1576">
        <f t="shared" si="119"/>
        <v>0</v>
      </c>
      <c r="BS132" s="1574">
        <f t="shared" si="142"/>
        <v>0</v>
      </c>
      <c r="BT132" s="1577">
        <f t="shared" si="143"/>
        <v>0</v>
      </c>
      <c r="BU132" s="1576">
        <f t="shared" si="120"/>
        <v>0</v>
      </c>
      <c r="BV132" s="1574">
        <f t="shared" si="144"/>
        <v>0</v>
      </c>
      <c r="BW132" s="1577">
        <f t="shared" si="145"/>
        <v>0</v>
      </c>
      <c r="BX132" s="1576">
        <f t="shared" si="121"/>
        <v>0</v>
      </c>
      <c r="BY132" s="1574">
        <f t="shared" si="146"/>
        <v>0</v>
      </c>
      <c r="BZ132" s="1577">
        <f t="shared" si="147"/>
        <v>0</v>
      </c>
      <c r="CA132" s="1576">
        <f t="shared" si="122"/>
        <v>0</v>
      </c>
      <c r="CB132" s="1495">
        <f t="shared" si="148"/>
        <v>0</v>
      </c>
      <c r="CC132" s="1577">
        <f t="shared" si="149"/>
        <v>0</v>
      </c>
      <c r="CD132" s="1576">
        <f t="shared" si="123"/>
        <v>0</v>
      </c>
      <c r="CE132" s="1495">
        <f t="shared" si="150"/>
        <v>0</v>
      </c>
      <c r="CF132" s="1577">
        <f t="shared" si="151"/>
        <v>0</v>
      </c>
      <c r="CG132" s="1576">
        <f t="shared" si="124"/>
        <v>0</v>
      </c>
      <c r="CH132" s="1495">
        <f t="shared" si="152"/>
        <v>0</v>
      </c>
      <c r="CI132" s="1577">
        <f t="shared" si="153"/>
        <v>0</v>
      </c>
      <c r="CJ132" s="1576">
        <f t="shared" si="125"/>
        <v>0</v>
      </c>
      <c r="CK132" s="1495">
        <f t="shared" si="154"/>
        <v>0</v>
      </c>
      <c r="CL132" s="1577">
        <f t="shared" si="155"/>
        <v>0</v>
      </c>
      <c r="CM132" s="1576">
        <f t="shared" si="126"/>
        <v>0</v>
      </c>
      <c r="CN132" s="1495">
        <f t="shared" si="156"/>
        <v>0</v>
      </c>
      <c r="CO132" s="1577">
        <f t="shared" si="157"/>
        <v>0</v>
      </c>
      <c r="CP132" s="1576">
        <f t="shared" si="127"/>
        <v>0</v>
      </c>
      <c r="CQ132" s="1495">
        <f t="shared" si="158"/>
        <v>0</v>
      </c>
      <c r="CR132" s="1577">
        <f t="shared" si="159"/>
        <v>0</v>
      </c>
      <c r="CS132" s="1576">
        <f t="shared" si="128"/>
        <v>0</v>
      </c>
      <c r="CT132" s="1495">
        <f t="shared" si="160"/>
        <v>0</v>
      </c>
      <c r="CU132" s="1577">
        <f t="shared" si="161"/>
        <v>0</v>
      </c>
      <c r="CV132" s="1576">
        <f t="shared" si="129"/>
        <v>0</v>
      </c>
      <c r="CW132" s="1495">
        <f t="shared" si="162"/>
        <v>0</v>
      </c>
      <c r="CX132" s="1577">
        <f t="shared" si="163"/>
        <v>0</v>
      </c>
      <c r="CY132" s="1576">
        <f t="shared" si="130"/>
        <v>0</v>
      </c>
      <c r="CZ132" s="1574">
        <f t="shared" si="131"/>
        <v>0</v>
      </c>
      <c r="DA132" s="1578">
        <f t="shared" si="133"/>
        <v>0</v>
      </c>
      <c r="DB132" s="1579">
        <f t="shared" si="134"/>
        <v>0</v>
      </c>
      <c r="DC132" s="1578">
        <f t="shared" si="135"/>
        <v>0</v>
      </c>
      <c r="DD132" s="1578">
        <f t="shared" si="135"/>
        <v>0</v>
      </c>
      <c r="DE132" s="1578">
        <f t="shared" si="135"/>
        <v>0</v>
      </c>
      <c r="DF132" s="1578">
        <f t="shared" si="136"/>
        <v>0</v>
      </c>
      <c r="DG132" s="1420"/>
      <c r="DH132" s="1420"/>
      <c r="DJ132" s="1689"/>
      <c r="DK132" s="1690" t="s">
        <v>337</v>
      </c>
      <c r="DL132" s="1691"/>
      <c r="DM132" s="1691"/>
      <c r="DN132" s="1691"/>
      <c r="DO132" s="1691"/>
      <c r="DP132" s="1692"/>
    </row>
    <row r="133" spans="1:151" ht="15" customHeight="1">
      <c r="A133" s="1622"/>
      <c r="B133" s="2527" t="s">
        <v>2214</v>
      </c>
      <c r="C133" s="2527"/>
      <c r="D133" s="2527"/>
      <c r="E133" s="1693"/>
      <c r="F133" s="1694" t="s">
        <v>1751</v>
      </c>
      <c r="H133" s="1459"/>
      <c r="I133" s="1459"/>
      <c r="J133" s="1459"/>
      <c r="K133" s="1459"/>
      <c r="L133" s="1459"/>
      <c r="M133" s="1686"/>
      <c r="N133" s="1430" t="s">
        <v>2215</v>
      </c>
      <c r="BD133" s="1475"/>
      <c r="BE133" s="1571" t="s">
        <v>1211</v>
      </c>
      <c r="BF133" s="1436">
        <v>22</v>
      </c>
      <c r="BG133" s="1436">
        <v>24</v>
      </c>
      <c r="BH133" s="1436">
        <v>6</v>
      </c>
      <c r="BI133" s="1495" t="b">
        <f t="shared" si="132"/>
        <v>0</v>
      </c>
      <c r="BJ133" s="1450" t="b">
        <f t="shared" si="138"/>
        <v>1</v>
      </c>
      <c r="BK133" s="1572">
        <f t="shared" si="139"/>
        <v>8.25</v>
      </c>
      <c r="BL133" s="1581">
        <f>IF(SUM(BL$110:BL132,BK133)&gt;$BM$4,0,BK133)</f>
        <v>8.25</v>
      </c>
      <c r="BM133" s="1436">
        <f t="shared" si="117"/>
        <v>0</v>
      </c>
      <c r="BN133" s="1495">
        <f t="shared" si="118"/>
        <v>0</v>
      </c>
      <c r="BO133" s="1437">
        <f t="shared" si="137"/>
        <v>0</v>
      </c>
      <c r="BP133" s="1574">
        <f t="shared" si="140"/>
        <v>0</v>
      </c>
      <c r="BQ133" s="1577">
        <f t="shared" si="141"/>
        <v>0</v>
      </c>
      <c r="BR133" s="1576">
        <f t="shared" si="119"/>
        <v>0</v>
      </c>
      <c r="BS133" s="1574">
        <f t="shared" si="142"/>
        <v>0</v>
      </c>
      <c r="BT133" s="1577">
        <f t="shared" si="143"/>
        <v>0</v>
      </c>
      <c r="BU133" s="1576">
        <f t="shared" si="120"/>
        <v>0</v>
      </c>
      <c r="BV133" s="1574">
        <f t="shared" si="144"/>
        <v>0</v>
      </c>
      <c r="BW133" s="1577">
        <f t="shared" si="145"/>
        <v>0</v>
      </c>
      <c r="BX133" s="1576">
        <f t="shared" si="121"/>
        <v>0</v>
      </c>
      <c r="BY133" s="1574">
        <f t="shared" si="146"/>
        <v>0</v>
      </c>
      <c r="BZ133" s="1577">
        <f t="shared" si="147"/>
        <v>0</v>
      </c>
      <c r="CA133" s="1576">
        <f t="shared" si="122"/>
        <v>0</v>
      </c>
      <c r="CB133" s="1495">
        <f t="shared" si="148"/>
        <v>0</v>
      </c>
      <c r="CC133" s="1577">
        <f t="shared" si="149"/>
        <v>0</v>
      </c>
      <c r="CD133" s="1576">
        <f t="shared" si="123"/>
        <v>0</v>
      </c>
      <c r="CE133" s="1495">
        <f t="shared" si="150"/>
        <v>0</v>
      </c>
      <c r="CF133" s="1577">
        <f t="shared" si="151"/>
        <v>0</v>
      </c>
      <c r="CG133" s="1576">
        <f t="shared" si="124"/>
        <v>0</v>
      </c>
      <c r="CH133" s="1495">
        <f t="shared" si="152"/>
        <v>0</v>
      </c>
      <c r="CI133" s="1577">
        <f t="shared" si="153"/>
        <v>0</v>
      </c>
      <c r="CJ133" s="1576">
        <f t="shared" si="125"/>
        <v>0</v>
      </c>
      <c r="CK133" s="1495">
        <f t="shared" si="154"/>
        <v>0</v>
      </c>
      <c r="CL133" s="1577">
        <f t="shared" si="155"/>
        <v>0</v>
      </c>
      <c r="CM133" s="1576">
        <f t="shared" si="126"/>
        <v>0</v>
      </c>
      <c r="CN133" s="1495">
        <f t="shared" si="156"/>
        <v>0</v>
      </c>
      <c r="CO133" s="1577">
        <f t="shared" si="157"/>
        <v>0</v>
      </c>
      <c r="CP133" s="1576">
        <f t="shared" si="127"/>
        <v>0</v>
      </c>
      <c r="CQ133" s="1495">
        <f t="shared" si="158"/>
        <v>0</v>
      </c>
      <c r="CR133" s="1577">
        <f t="shared" si="159"/>
        <v>0</v>
      </c>
      <c r="CS133" s="1576">
        <f t="shared" si="128"/>
        <v>0</v>
      </c>
      <c r="CT133" s="1495">
        <f t="shared" si="160"/>
        <v>0</v>
      </c>
      <c r="CU133" s="1577">
        <f t="shared" si="161"/>
        <v>0</v>
      </c>
      <c r="CV133" s="1576">
        <f t="shared" si="129"/>
        <v>0</v>
      </c>
      <c r="CW133" s="1495">
        <f t="shared" si="162"/>
        <v>0</v>
      </c>
      <c r="CX133" s="1577">
        <f t="shared" si="163"/>
        <v>0</v>
      </c>
      <c r="CY133" s="1576">
        <f t="shared" si="130"/>
        <v>0</v>
      </c>
      <c r="CZ133" s="1574">
        <f t="shared" si="131"/>
        <v>0</v>
      </c>
      <c r="DA133" s="1578">
        <f t="shared" si="133"/>
        <v>0</v>
      </c>
      <c r="DB133" s="1579">
        <f t="shared" si="134"/>
        <v>0</v>
      </c>
      <c r="DC133" s="1578">
        <f t="shared" si="135"/>
        <v>0</v>
      </c>
      <c r="DD133" s="1578">
        <f t="shared" si="135"/>
        <v>0</v>
      </c>
      <c r="DE133" s="1578">
        <f t="shared" si="135"/>
        <v>0</v>
      </c>
      <c r="DF133" s="1578">
        <f t="shared" si="136"/>
        <v>0</v>
      </c>
      <c r="DG133" s="1420"/>
      <c r="DH133" s="1420"/>
      <c r="DJ133" s="1695" t="s">
        <v>1670</v>
      </c>
      <c r="DK133" s="1696">
        <v>3.0000000000000001E-5</v>
      </c>
      <c r="DL133" s="2528" t="s">
        <v>1671</v>
      </c>
      <c r="DM133" s="2528"/>
      <c r="DN133" s="2528"/>
      <c r="DO133" s="2528"/>
      <c r="DP133" s="2528"/>
    </row>
    <row r="134" spans="1:151" ht="15" customHeight="1">
      <c r="A134" s="1587"/>
      <c r="G134" s="1455"/>
      <c r="M134" s="1475"/>
      <c r="N134" s="1430" t="s">
        <v>1672</v>
      </c>
      <c r="BD134" s="1475"/>
      <c r="BE134" s="1571" t="s">
        <v>1211</v>
      </c>
      <c r="BF134" s="1436">
        <v>22</v>
      </c>
      <c r="BG134" s="1436">
        <v>25</v>
      </c>
      <c r="BH134" s="1436">
        <v>7</v>
      </c>
      <c r="BI134" s="1495" t="b">
        <f t="shared" si="132"/>
        <v>0</v>
      </c>
      <c r="BJ134" s="1450" t="b">
        <f t="shared" si="138"/>
        <v>0</v>
      </c>
      <c r="BK134" s="1572">
        <f t="shared" si="139"/>
        <v>0</v>
      </c>
      <c r="BL134" s="1581">
        <f>IF(SUM(BL$110:BL133,BK134)&gt;$BM$4,0,BK134)</f>
        <v>0</v>
      </c>
      <c r="BM134" s="1436">
        <f t="shared" si="117"/>
        <v>0</v>
      </c>
      <c r="BN134" s="1495">
        <f t="shared" si="118"/>
        <v>0</v>
      </c>
      <c r="BO134" s="1437">
        <f t="shared" si="137"/>
        <v>0</v>
      </c>
      <c r="BP134" s="1574">
        <f t="shared" si="140"/>
        <v>0</v>
      </c>
      <c r="BQ134" s="1577">
        <f t="shared" si="141"/>
        <v>0</v>
      </c>
      <c r="BR134" s="1576">
        <f t="shared" si="119"/>
        <v>0</v>
      </c>
      <c r="BS134" s="1574">
        <f t="shared" si="142"/>
        <v>0</v>
      </c>
      <c r="BT134" s="1577">
        <f t="shared" si="143"/>
        <v>0</v>
      </c>
      <c r="BU134" s="1576">
        <f t="shared" si="120"/>
        <v>0</v>
      </c>
      <c r="BV134" s="1574">
        <f t="shared" si="144"/>
        <v>0</v>
      </c>
      <c r="BW134" s="1577">
        <f t="shared" si="145"/>
        <v>0</v>
      </c>
      <c r="BX134" s="1576">
        <f t="shared" si="121"/>
        <v>0</v>
      </c>
      <c r="BY134" s="1574">
        <f t="shared" si="146"/>
        <v>0</v>
      </c>
      <c r="BZ134" s="1577">
        <f t="shared" si="147"/>
        <v>0</v>
      </c>
      <c r="CA134" s="1576">
        <f t="shared" si="122"/>
        <v>0</v>
      </c>
      <c r="CB134" s="1495">
        <f t="shared" si="148"/>
        <v>0</v>
      </c>
      <c r="CC134" s="1577">
        <f t="shared" si="149"/>
        <v>0</v>
      </c>
      <c r="CD134" s="1576">
        <f t="shared" si="123"/>
        <v>0</v>
      </c>
      <c r="CE134" s="1495">
        <f t="shared" si="150"/>
        <v>0</v>
      </c>
      <c r="CF134" s="1577">
        <f t="shared" si="151"/>
        <v>0</v>
      </c>
      <c r="CG134" s="1576">
        <f t="shared" si="124"/>
        <v>0</v>
      </c>
      <c r="CH134" s="1495">
        <f t="shared" si="152"/>
        <v>0</v>
      </c>
      <c r="CI134" s="1577">
        <f t="shared" si="153"/>
        <v>0</v>
      </c>
      <c r="CJ134" s="1576">
        <f t="shared" si="125"/>
        <v>0</v>
      </c>
      <c r="CK134" s="1495">
        <f t="shared" si="154"/>
        <v>0</v>
      </c>
      <c r="CL134" s="1577">
        <f t="shared" si="155"/>
        <v>0</v>
      </c>
      <c r="CM134" s="1576">
        <f t="shared" si="126"/>
        <v>0</v>
      </c>
      <c r="CN134" s="1495">
        <f t="shared" si="156"/>
        <v>0</v>
      </c>
      <c r="CO134" s="1577">
        <f t="shared" si="157"/>
        <v>0</v>
      </c>
      <c r="CP134" s="1576">
        <f t="shared" si="127"/>
        <v>0</v>
      </c>
      <c r="CQ134" s="1495">
        <f t="shared" si="158"/>
        <v>0</v>
      </c>
      <c r="CR134" s="1577">
        <f t="shared" si="159"/>
        <v>0</v>
      </c>
      <c r="CS134" s="1576">
        <f t="shared" si="128"/>
        <v>0</v>
      </c>
      <c r="CT134" s="1495">
        <f t="shared" si="160"/>
        <v>0</v>
      </c>
      <c r="CU134" s="1577">
        <f t="shared" si="161"/>
        <v>0</v>
      </c>
      <c r="CV134" s="1576">
        <f t="shared" si="129"/>
        <v>0</v>
      </c>
      <c r="CW134" s="1495">
        <f t="shared" si="162"/>
        <v>0</v>
      </c>
      <c r="CX134" s="1577">
        <f t="shared" si="163"/>
        <v>0</v>
      </c>
      <c r="CY134" s="1576">
        <f t="shared" si="130"/>
        <v>0</v>
      </c>
      <c r="CZ134" s="1574">
        <f t="shared" si="131"/>
        <v>0</v>
      </c>
      <c r="DA134" s="1578">
        <f t="shared" si="133"/>
        <v>0</v>
      </c>
      <c r="DB134" s="1579">
        <f t="shared" si="134"/>
        <v>0</v>
      </c>
      <c r="DC134" s="1578">
        <f t="shared" si="135"/>
        <v>0</v>
      </c>
      <c r="DD134" s="1578">
        <f t="shared" si="135"/>
        <v>0</v>
      </c>
      <c r="DE134" s="1578">
        <f t="shared" si="135"/>
        <v>0</v>
      </c>
      <c r="DF134" s="1578">
        <f t="shared" si="136"/>
        <v>0</v>
      </c>
      <c r="DG134" s="1420"/>
      <c r="DH134" s="1420"/>
      <c r="DJ134" s="1697" t="s">
        <v>1673</v>
      </c>
      <c r="DK134" s="1698">
        <v>5.5</v>
      </c>
      <c r="DL134" s="2529" t="s">
        <v>1674</v>
      </c>
      <c r="DM134" s="2529"/>
      <c r="DN134" s="2529"/>
      <c r="DO134" s="2529"/>
      <c r="DP134" s="2529"/>
      <c r="DR134" s="1472"/>
      <c r="DS134" s="1472"/>
      <c r="DT134" s="1472"/>
      <c r="DU134" s="1472"/>
      <c r="DV134" s="1472"/>
      <c r="DW134" s="1472"/>
      <c r="DX134" s="1472"/>
      <c r="DY134" s="1472"/>
      <c r="DZ134" s="1472"/>
      <c r="EA134" s="1472"/>
      <c r="EB134" s="1472"/>
      <c r="EC134" s="1472"/>
      <c r="ED134" s="1472"/>
      <c r="EE134" s="1472"/>
      <c r="EF134" s="1472"/>
      <c r="EG134" s="1472"/>
      <c r="EH134" s="1472"/>
      <c r="EI134" s="1472"/>
      <c r="EJ134" s="1472"/>
      <c r="EK134" s="1472"/>
      <c r="EL134" s="1472"/>
      <c r="EM134" s="1472"/>
      <c r="EN134" s="1472"/>
      <c r="EO134" s="1472"/>
      <c r="EP134" s="1472"/>
      <c r="EQ134" s="1472"/>
      <c r="ER134" s="1472"/>
      <c r="ES134" s="1472"/>
      <c r="ET134" s="1472"/>
      <c r="EU134" s="1472"/>
    </row>
    <row r="135" spans="1:151" ht="15" customHeight="1">
      <c r="A135" s="1587"/>
      <c r="B135" s="1699" t="s">
        <v>121</v>
      </c>
      <c r="C135" s="1700"/>
      <c r="D135" s="1700"/>
      <c r="E135" s="1700"/>
      <c r="F135" s="1700"/>
      <c r="G135" s="1455"/>
      <c r="H135" s="2530" t="s">
        <v>337</v>
      </c>
      <c r="I135" s="2530"/>
      <c r="M135" s="1475"/>
      <c r="O135" s="1430" t="s">
        <v>1676</v>
      </c>
      <c r="BD135" s="1592"/>
      <c r="BE135" s="1571" t="s">
        <v>1211</v>
      </c>
      <c r="BF135" s="1436">
        <v>22</v>
      </c>
      <c r="BG135" s="1436">
        <v>26</v>
      </c>
      <c r="BH135" s="1436">
        <v>1</v>
      </c>
      <c r="BI135" s="1495" t="b">
        <f t="shared" si="132"/>
        <v>1</v>
      </c>
      <c r="BJ135" s="1450" t="b">
        <f t="shared" si="138"/>
        <v>0</v>
      </c>
      <c r="BK135" s="1572">
        <f t="shared" si="139"/>
        <v>0</v>
      </c>
      <c r="BL135" s="1581">
        <f>IF(SUM(BL$110:BL134,BK135)&gt;$BM$4,0,BK135)</f>
        <v>0</v>
      </c>
      <c r="BM135" s="1436">
        <f t="shared" si="117"/>
        <v>0</v>
      </c>
      <c r="BN135" s="1495">
        <f t="shared" si="118"/>
        <v>0</v>
      </c>
      <c r="BO135" s="1437">
        <f t="shared" si="137"/>
        <v>0</v>
      </c>
      <c r="BP135" s="1574">
        <f t="shared" si="140"/>
        <v>0</v>
      </c>
      <c r="BQ135" s="1577">
        <f t="shared" si="141"/>
        <v>0</v>
      </c>
      <c r="BR135" s="1576">
        <f t="shared" si="119"/>
        <v>0</v>
      </c>
      <c r="BS135" s="1574">
        <f t="shared" si="142"/>
        <v>0</v>
      </c>
      <c r="BT135" s="1577">
        <f t="shared" si="143"/>
        <v>0</v>
      </c>
      <c r="BU135" s="1576">
        <f t="shared" si="120"/>
        <v>0</v>
      </c>
      <c r="BV135" s="1574">
        <f t="shared" si="144"/>
        <v>0</v>
      </c>
      <c r="BW135" s="1577">
        <f t="shared" si="145"/>
        <v>0</v>
      </c>
      <c r="BX135" s="1576">
        <f t="shared" si="121"/>
        <v>0</v>
      </c>
      <c r="BY135" s="1574">
        <f t="shared" si="146"/>
        <v>0</v>
      </c>
      <c r="BZ135" s="1577">
        <f t="shared" si="147"/>
        <v>0</v>
      </c>
      <c r="CA135" s="1576">
        <f t="shared" si="122"/>
        <v>0</v>
      </c>
      <c r="CB135" s="1495">
        <f t="shared" si="148"/>
        <v>0</v>
      </c>
      <c r="CC135" s="1577">
        <f t="shared" si="149"/>
        <v>0</v>
      </c>
      <c r="CD135" s="1576">
        <f t="shared" si="123"/>
        <v>0</v>
      </c>
      <c r="CE135" s="1495">
        <f t="shared" si="150"/>
        <v>0</v>
      </c>
      <c r="CF135" s="1577">
        <f t="shared" si="151"/>
        <v>0</v>
      </c>
      <c r="CG135" s="1576">
        <f t="shared" si="124"/>
        <v>0</v>
      </c>
      <c r="CH135" s="1495">
        <f t="shared" si="152"/>
        <v>0</v>
      </c>
      <c r="CI135" s="1577">
        <f t="shared" si="153"/>
        <v>0</v>
      </c>
      <c r="CJ135" s="1576">
        <f t="shared" si="125"/>
        <v>0</v>
      </c>
      <c r="CK135" s="1495">
        <f t="shared" si="154"/>
        <v>0</v>
      </c>
      <c r="CL135" s="1577">
        <f t="shared" si="155"/>
        <v>0</v>
      </c>
      <c r="CM135" s="1576">
        <f t="shared" si="126"/>
        <v>0</v>
      </c>
      <c r="CN135" s="1495">
        <f t="shared" si="156"/>
        <v>0</v>
      </c>
      <c r="CO135" s="1577">
        <f t="shared" si="157"/>
        <v>0</v>
      </c>
      <c r="CP135" s="1576">
        <f t="shared" si="127"/>
        <v>0</v>
      </c>
      <c r="CQ135" s="1495">
        <f t="shared" si="158"/>
        <v>0</v>
      </c>
      <c r="CR135" s="1577">
        <f t="shared" si="159"/>
        <v>0</v>
      </c>
      <c r="CS135" s="1576">
        <f t="shared" si="128"/>
        <v>0</v>
      </c>
      <c r="CT135" s="1495">
        <f t="shared" si="160"/>
        <v>0</v>
      </c>
      <c r="CU135" s="1577">
        <f t="shared" si="161"/>
        <v>0</v>
      </c>
      <c r="CV135" s="1576">
        <f t="shared" si="129"/>
        <v>0</v>
      </c>
      <c r="CW135" s="1495">
        <f t="shared" si="162"/>
        <v>0</v>
      </c>
      <c r="CX135" s="1577">
        <f t="shared" si="163"/>
        <v>0</v>
      </c>
      <c r="CY135" s="1576">
        <f t="shared" si="130"/>
        <v>0</v>
      </c>
      <c r="CZ135" s="1574">
        <f t="shared" si="131"/>
        <v>0</v>
      </c>
      <c r="DA135" s="1578">
        <f t="shared" si="133"/>
        <v>0</v>
      </c>
      <c r="DB135" s="1579">
        <f t="shared" si="134"/>
        <v>0</v>
      </c>
      <c r="DC135" s="1578">
        <f t="shared" si="135"/>
        <v>0</v>
      </c>
      <c r="DD135" s="1578">
        <f t="shared" si="135"/>
        <v>0</v>
      </c>
      <c r="DE135" s="1578">
        <f t="shared" si="135"/>
        <v>0</v>
      </c>
      <c r="DF135" s="1578">
        <f t="shared" si="136"/>
        <v>0</v>
      </c>
      <c r="DG135" s="1420"/>
      <c r="DH135" s="1420"/>
      <c r="DJ135" s="1697" t="s">
        <v>1677</v>
      </c>
      <c r="DK135" s="1701">
        <v>6</v>
      </c>
      <c r="DL135" s="2531" t="s">
        <v>1678</v>
      </c>
      <c r="DM135" s="2531"/>
      <c r="DN135" s="2531"/>
      <c r="DO135" s="2531"/>
      <c r="DP135" s="2531"/>
    </row>
    <row r="136" spans="1:151" ht="15" customHeight="1">
      <c r="A136" s="1627"/>
      <c r="B136" s="2494" t="s">
        <v>2216</v>
      </c>
      <c r="C136" s="2494"/>
      <c r="D136" s="2494"/>
      <c r="E136" s="2519" t="s">
        <v>2215</v>
      </c>
      <c r="F136" s="2520"/>
      <c r="G136" s="1455"/>
      <c r="H136" s="1702" t="s">
        <v>1940</v>
      </c>
      <c r="I136" s="1703" t="str">
        <f>IF(E133&gt;=2000,N133,N134)</f>
        <v>Air cooled chiller</v>
      </c>
      <c r="M136" s="1475"/>
      <c r="N136" s="1704" t="s">
        <v>2217</v>
      </c>
      <c r="O136" s="1430" t="b">
        <f>E133&gt;2000</f>
        <v>0</v>
      </c>
      <c r="BD136" s="1592"/>
      <c r="BE136" s="1571" t="s">
        <v>1211</v>
      </c>
      <c r="BF136" s="1436">
        <v>22</v>
      </c>
      <c r="BG136" s="1436">
        <v>27</v>
      </c>
      <c r="BH136" s="1436">
        <v>2</v>
      </c>
      <c r="BI136" s="1495" t="b">
        <f t="shared" si="132"/>
        <v>1</v>
      </c>
      <c r="BJ136" s="1450" t="b">
        <f t="shared" si="138"/>
        <v>0</v>
      </c>
      <c r="BK136" s="1572">
        <f t="shared" si="139"/>
        <v>0</v>
      </c>
      <c r="BL136" s="1581">
        <f>IF(SUM(BL$110:BL135,BK136)&gt;$BM$4,0,BK136)</f>
        <v>0</v>
      </c>
      <c r="BM136" s="1436">
        <f t="shared" si="117"/>
        <v>0</v>
      </c>
      <c r="BN136" s="1495">
        <f t="shared" si="118"/>
        <v>0</v>
      </c>
      <c r="BO136" s="1437">
        <f t="shared" si="137"/>
        <v>0</v>
      </c>
      <c r="BP136" s="1574">
        <f t="shared" si="140"/>
        <v>0</v>
      </c>
      <c r="BQ136" s="1577">
        <f t="shared" si="141"/>
        <v>0</v>
      </c>
      <c r="BR136" s="1576">
        <f t="shared" si="119"/>
        <v>0</v>
      </c>
      <c r="BS136" s="1574">
        <f t="shared" si="142"/>
        <v>0</v>
      </c>
      <c r="BT136" s="1577">
        <f t="shared" si="143"/>
        <v>0</v>
      </c>
      <c r="BU136" s="1576">
        <f t="shared" si="120"/>
        <v>0</v>
      </c>
      <c r="BV136" s="1574">
        <f t="shared" si="144"/>
        <v>0</v>
      </c>
      <c r="BW136" s="1577">
        <f t="shared" si="145"/>
        <v>0</v>
      </c>
      <c r="BX136" s="1576">
        <f t="shared" si="121"/>
        <v>0</v>
      </c>
      <c r="BY136" s="1574">
        <f t="shared" si="146"/>
        <v>0</v>
      </c>
      <c r="BZ136" s="1577">
        <f t="shared" si="147"/>
        <v>0</v>
      </c>
      <c r="CA136" s="1576">
        <f t="shared" si="122"/>
        <v>0</v>
      </c>
      <c r="CB136" s="1495">
        <f t="shared" si="148"/>
        <v>0</v>
      </c>
      <c r="CC136" s="1577">
        <f t="shared" si="149"/>
        <v>0</v>
      </c>
      <c r="CD136" s="1576">
        <f t="shared" si="123"/>
        <v>0</v>
      </c>
      <c r="CE136" s="1495">
        <f t="shared" si="150"/>
        <v>0</v>
      </c>
      <c r="CF136" s="1577">
        <f t="shared" si="151"/>
        <v>0</v>
      </c>
      <c r="CG136" s="1576">
        <f t="shared" si="124"/>
        <v>0</v>
      </c>
      <c r="CH136" s="1495">
        <f t="shared" si="152"/>
        <v>0</v>
      </c>
      <c r="CI136" s="1577">
        <f t="shared" si="153"/>
        <v>0</v>
      </c>
      <c r="CJ136" s="1576">
        <f t="shared" si="125"/>
        <v>0</v>
      </c>
      <c r="CK136" s="1495">
        <f t="shared" si="154"/>
        <v>0</v>
      </c>
      <c r="CL136" s="1577">
        <f t="shared" si="155"/>
        <v>0</v>
      </c>
      <c r="CM136" s="1576">
        <f t="shared" si="126"/>
        <v>0</v>
      </c>
      <c r="CN136" s="1495">
        <f t="shared" si="156"/>
        <v>0</v>
      </c>
      <c r="CO136" s="1577">
        <f t="shared" si="157"/>
        <v>0</v>
      </c>
      <c r="CP136" s="1576">
        <f t="shared" si="127"/>
        <v>0</v>
      </c>
      <c r="CQ136" s="1495">
        <f t="shared" si="158"/>
        <v>0</v>
      </c>
      <c r="CR136" s="1577">
        <f t="shared" si="159"/>
        <v>0</v>
      </c>
      <c r="CS136" s="1576">
        <f t="shared" si="128"/>
        <v>0</v>
      </c>
      <c r="CT136" s="1495">
        <f t="shared" si="160"/>
        <v>0</v>
      </c>
      <c r="CU136" s="1577">
        <f t="shared" si="161"/>
        <v>0</v>
      </c>
      <c r="CV136" s="1576">
        <f t="shared" si="129"/>
        <v>0</v>
      </c>
      <c r="CW136" s="1495">
        <f t="shared" si="162"/>
        <v>0</v>
      </c>
      <c r="CX136" s="1577">
        <f t="shared" si="163"/>
        <v>0</v>
      </c>
      <c r="CY136" s="1576">
        <f t="shared" si="130"/>
        <v>0</v>
      </c>
      <c r="CZ136" s="1574">
        <f t="shared" si="131"/>
        <v>0</v>
      </c>
      <c r="DA136" s="1578">
        <f t="shared" si="133"/>
        <v>0</v>
      </c>
      <c r="DB136" s="1579">
        <f t="shared" si="134"/>
        <v>0</v>
      </c>
      <c r="DC136" s="1578">
        <f t="shared" si="135"/>
        <v>0</v>
      </c>
      <c r="DD136" s="1578">
        <f t="shared" si="135"/>
        <v>0</v>
      </c>
      <c r="DE136" s="1578">
        <f t="shared" si="135"/>
        <v>0</v>
      </c>
      <c r="DF136" s="1578">
        <f t="shared" si="136"/>
        <v>0</v>
      </c>
      <c r="DG136" s="1420"/>
      <c r="DH136" s="1420"/>
      <c r="DI136" s="1458"/>
      <c r="DJ136" s="1705"/>
      <c r="DK136" s="1705"/>
      <c r="DL136" s="1705"/>
      <c r="DM136" s="1705"/>
      <c r="DN136" s="1705"/>
      <c r="DO136" s="1705"/>
      <c r="DP136" s="1705"/>
      <c r="DQ136" s="1458"/>
    </row>
    <row r="137" spans="1:151" ht="15" customHeight="1">
      <c r="B137" s="1706" t="s">
        <v>1675</v>
      </c>
      <c r="C137" s="1706"/>
      <c r="D137" s="1706"/>
      <c r="E137" s="1706"/>
      <c r="F137" s="1706"/>
      <c r="G137" s="1455"/>
      <c r="H137" s="1702" t="s">
        <v>1670</v>
      </c>
      <c r="I137" s="1707">
        <f>DK133</f>
        <v>3.0000000000000001E-5</v>
      </c>
      <c r="M137" s="1475"/>
      <c r="N137" s="1704" t="s">
        <v>1679</v>
      </c>
      <c r="O137" s="1430" t="b">
        <f>E136=N133</f>
        <v>1</v>
      </c>
      <c r="BD137" s="1592"/>
      <c r="BE137" s="1571" t="s">
        <v>1211</v>
      </c>
      <c r="BF137" s="1436">
        <v>22</v>
      </c>
      <c r="BG137" s="1436">
        <v>28</v>
      </c>
      <c r="BH137" s="1436">
        <v>3</v>
      </c>
      <c r="BI137" s="1495" t="b">
        <f t="shared" si="132"/>
        <v>1</v>
      </c>
      <c r="BJ137" s="1450" t="b">
        <f t="shared" si="138"/>
        <v>0</v>
      </c>
      <c r="BK137" s="1572">
        <f t="shared" si="139"/>
        <v>0</v>
      </c>
      <c r="BL137" s="1581">
        <f>IF(SUM(BL$110:BL136,BK137)&gt;$BM$4,0,BK137)</f>
        <v>0</v>
      </c>
      <c r="BM137" s="1436">
        <f t="shared" si="117"/>
        <v>0</v>
      </c>
      <c r="BN137" s="1495">
        <f t="shared" si="118"/>
        <v>0</v>
      </c>
      <c r="BO137" s="1437">
        <f t="shared" si="137"/>
        <v>0</v>
      </c>
      <c r="BP137" s="1574">
        <f t="shared" si="140"/>
        <v>0</v>
      </c>
      <c r="BQ137" s="1577">
        <f t="shared" si="141"/>
        <v>0</v>
      </c>
      <c r="BR137" s="1576">
        <f t="shared" si="119"/>
        <v>0</v>
      </c>
      <c r="BS137" s="1574">
        <f t="shared" si="142"/>
        <v>0</v>
      </c>
      <c r="BT137" s="1577">
        <f t="shared" si="143"/>
        <v>0</v>
      </c>
      <c r="BU137" s="1576">
        <f t="shared" si="120"/>
        <v>0</v>
      </c>
      <c r="BV137" s="1574">
        <f t="shared" si="144"/>
        <v>0</v>
      </c>
      <c r="BW137" s="1577">
        <f t="shared" si="145"/>
        <v>0</v>
      </c>
      <c r="BX137" s="1576">
        <f t="shared" si="121"/>
        <v>0</v>
      </c>
      <c r="BY137" s="1574">
        <f t="shared" si="146"/>
        <v>0</v>
      </c>
      <c r="BZ137" s="1577">
        <f t="shared" si="147"/>
        <v>0</v>
      </c>
      <c r="CA137" s="1576">
        <f t="shared" si="122"/>
        <v>0</v>
      </c>
      <c r="CB137" s="1495">
        <f t="shared" si="148"/>
        <v>0</v>
      </c>
      <c r="CC137" s="1577">
        <f t="shared" si="149"/>
        <v>0</v>
      </c>
      <c r="CD137" s="1576">
        <f t="shared" si="123"/>
        <v>0</v>
      </c>
      <c r="CE137" s="1495">
        <f t="shared" si="150"/>
        <v>0</v>
      </c>
      <c r="CF137" s="1577">
        <f t="shared" si="151"/>
        <v>0</v>
      </c>
      <c r="CG137" s="1576">
        <f t="shared" si="124"/>
        <v>0</v>
      </c>
      <c r="CH137" s="1495">
        <f t="shared" si="152"/>
        <v>0</v>
      </c>
      <c r="CI137" s="1577">
        <f t="shared" si="153"/>
        <v>0</v>
      </c>
      <c r="CJ137" s="1576">
        <f t="shared" si="125"/>
        <v>0</v>
      </c>
      <c r="CK137" s="1495">
        <f t="shared" si="154"/>
        <v>0</v>
      </c>
      <c r="CL137" s="1577">
        <f t="shared" si="155"/>
        <v>0</v>
      </c>
      <c r="CM137" s="1576">
        <f t="shared" si="126"/>
        <v>0</v>
      </c>
      <c r="CN137" s="1495">
        <f t="shared" si="156"/>
        <v>0</v>
      </c>
      <c r="CO137" s="1577">
        <f t="shared" si="157"/>
        <v>0</v>
      </c>
      <c r="CP137" s="1576">
        <f t="shared" si="127"/>
        <v>0</v>
      </c>
      <c r="CQ137" s="1495">
        <f t="shared" si="158"/>
        <v>0</v>
      </c>
      <c r="CR137" s="1577">
        <f t="shared" si="159"/>
        <v>0</v>
      </c>
      <c r="CS137" s="1576">
        <f t="shared" si="128"/>
        <v>0</v>
      </c>
      <c r="CT137" s="1495">
        <f t="shared" si="160"/>
        <v>0</v>
      </c>
      <c r="CU137" s="1577">
        <f t="shared" si="161"/>
        <v>0</v>
      </c>
      <c r="CV137" s="1576">
        <f t="shared" si="129"/>
        <v>0</v>
      </c>
      <c r="CW137" s="1495">
        <f t="shared" si="162"/>
        <v>0</v>
      </c>
      <c r="CX137" s="1577">
        <f t="shared" si="163"/>
        <v>0</v>
      </c>
      <c r="CY137" s="1576">
        <f t="shared" si="130"/>
        <v>0</v>
      </c>
      <c r="CZ137" s="1574">
        <f t="shared" si="131"/>
        <v>0</v>
      </c>
      <c r="DA137" s="1578">
        <f t="shared" si="133"/>
        <v>0</v>
      </c>
      <c r="DB137" s="1579">
        <f t="shared" si="134"/>
        <v>0</v>
      </c>
      <c r="DC137" s="1578">
        <f t="shared" si="135"/>
        <v>0</v>
      </c>
      <c r="DD137" s="1578">
        <f t="shared" si="135"/>
        <v>0</v>
      </c>
      <c r="DE137" s="1578">
        <f t="shared" si="135"/>
        <v>0</v>
      </c>
      <c r="DF137" s="1578">
        <f t="shared" si="136"/>
        <v>0</v>
      </c>
      <c r="DG137" s="1420"/>
      <c r="DH137" s="1420"/>
      <c r="DJ137" s="1689" t="s">
        <v>1680</v>
      </c>
      <c r="DK137" s="1708"/>
      <c r="DL137" s="1709"/>
      <c r="DM137" s="1705"/>
      <c r="DN137" s="1705"/>
      <c r="DO137" s="1705"/>
      <c r="DP137" s="1705"/>
    </row>
    <row r="138" spans="1:151" ht="15" customHeight="1">
      <c r="A138" s="1594"/>
      <c r="B138" s="1702" t="s">
        <v>1670</v>
      </c>
      <c r="C138" s="1710">
        <v>3.0000000000000001E-5</v>
      </c>
      <c r="H138" s="1702" t="s">
        <v>1681</v>
      </c>
      <c r="I138" s="1711">
        <f>DK134</f>
        <v>5.5</v>
      </c>
      <c r="M138" s="1475"/>
      <c r="N138" s="1712" t="s">
        <v>1933</v>
      </c>
      <c r="O138" s="1461" t="b">
        <f>F158="yes"</f>
        <v>0</v>
      </c>
      <c r="P138" s="1461"/>
      <c r="Q138" s="1461"/>
      <c r="R138" s="1461"/>
      <c r="S138" s="1461"/>
      <c r="T138" s="1461"/>
      <c r="U138" s="1461"/>
      <c r="V138" s="1461"/>
      <c r="W138" s="1461"/>
      <c r="X138" s="1461"/>
      <c r="Y138" s="1461"/>
      <c r="Z138" s="1461"/>
      <c r="AA138" s="1461"/>
      <c r="AB138" s="1461"/>
      <c r="AC138" s="1461"/>
      <c r="AD138" s="1461"/>
      <c r="AE138" s="1461"/>
      <c r="AF138" s="1461"/>
      <c r="AG138" s="1461"/>
      <c r="AH138" s="1461"/>
      <c r="AI138" s="1461"/>
      <c r="AJ138" s="1461"/>
      <c r="AK138" s="1461"/>
      <c r="AL138" s="1461"/>
      <c r="AM138" s="1461"/>
      <c r="AN138" s="1461"/>
      <c r="AO138" s="1461"/>
      <c r="AP138" s="1461"/>
      <c r="AQ138" s="1461"/>
      <c r="AR138" s="1461"/>
      <c r="AS138" s="1461"/>
      <c r="AT138" s="1461"/>
      <c r="AU138" s="1461"/>
      <c r="AV138" s="1461"/>
      <c r="AW138" s="1461"/>
      <c r="AX138" s="1461"/>
      <c r="AY138" s="1461"/>
      <c r="AZ138" s="1461"/>
      <c r="BA138" s="1461"/>
      <c r="BB138" s="1461"/>
      <c r="BC138" s="1461"/>
      <c r="BD138" s="1592"/>
      <c r="BE138" s="1571" t="s">
        <v>1211</v>
      </c>
      <c r="BF138" s="1436">
        <v>22</v>
      </c>
      <c r="BG138" s="1436">
        <v>29</v>
      </c>
      <c r="BH138" s="1436">
        <v>4</v>
      </c>
      <c r="BI138" s="1495" t="b">
        <f t="shared" si="132"/>
        <v>1</v>
      </c>
      <c r="BJ138" s="1450" t="b">
        <f t="shared" si="138"/>
        <v>0</v>
      </c>
      <c r="BK138" s="1572">
        <f t="shared" si="139"/>
        <v>0</v>
      </c>
      <c r="BL138" s="1581">
        <f>IF(SUM(BL$110:BL137,BK138)&gt;$BM$4,0,BK138)</f>
        <v>0</v>
      </c>
      <c r="BM138" s="1436">
        <f t="shared" si="117"/>
        <v>0</v>
      </c>
      <c r="BN138" s="1495">
        <f t="shared" si="118"/>
        <v>0</v>
      </c>
      <c r="BO138" s="1437">
        <f t="shared" si="137"/>
        <v>0</v>
      </c>
      <c r="BP138" s="1574">
        <f t="shared" si="140"/>
        <v>0</v>
      </c>
      <c r="BQ138" s="1577">
        <f t="shared" si="141"/>
        <v>0</v>
      </c>
      <c r="BR138" s="1576">
        <f t="shared" si="119"/>
        <v>0</v>
      </c>
      <c r="BS138" s="1574">
        <f t="shared" si="142"/>
        <v>0</v>
      </c>
      <c r="BT138" s="1577">
        <f t="shared" si="143"/>
        <v>0</v>
      </c>
      <c r="BU138" s="1576">
        <f t="shared" si="120"/>
        <v>0</v>
      </c>
      <c r="BV138" s="1574">
        <f t="shared" si="144"/>
        <v>0</v>
      </c>
      <c r="BW138" s="1577">
        <f t="shared" si="145"/>
        <v>0</v>
      </c>
      <c r="BX138" s="1576">
        <f t="shared" si="121"/>
        <v>0</v>
      </c>
      <c r="BY138" s="1574">
        <f t="shared" si="146"/>
        <v>0</v>
      </c>
      <c r="BZ138" s="1577">
        <f t="shared" si="147"/>
        <v>0</v>
      </c>
      <c r="CA138" s="1576">
        <f t="shared" si="122"/>
        <v>0</v>
      </c>
      <c r="CB138" s="1495">
        <f t="shared" si="148"/>
        <v>0</v>
      </c>
      <c r="CC138" s="1577">
        <f t="shared" si="149"/>
        <v>0</v>
      </c>
      <c r="CD138" s="1576">
        <f t="shared" si="123"/>
        <v>0</v>
      </c>
      <c r="CE138" s="1495">
        <f t="shared" si="150"/>
        <v>0</v>
      </c>
      <c r="CF138" s="1577">
        <f t="shared" si="151"/>
        <v>0</v>
      </c>
      <c r="CG138" s="1576">
        <f t="shared" si="124"/>
        <v>0</v>
      </c>
      <c r="CH138" s="1495">
        <f t="shared" si="152"/>
        <v>0</v>
      </c>
      <c r="CI138" s="1577">
        <f t="shared" si="153"/>
        <v>0</v>
      </c>
      <c r="CJ138" s="1576">
        <f t="shared" si="125"/>
        <v>0</v>
      </c>
      <c r="CK138" s="1495">
        <f t="shared" si="154"/>
        <v>0</v>
      </c>
      <c r="CL138" s="1577">
        <f t="shared" si="155"/>
        <v>0</v>
      </c>
      <c r="CM138" s="1576">
        <f t="shared" si="126"/>
        <v>0</v>
      </c>
      <c r="CN138" s="1495">
        <f t="shared" si="156"/>
        <v>0</v>
      </c>
      <c r="CO138" s="1577">
        <f t="shared" si="157"/>
        <v>0</v>
      </c>
      <c r="CP138" s="1576">
        <f t="shared" si="127"/>
        <v>0</v>
      </c>
      <c r="CQ138" s="1495">
        <f t="shared" si="158"/>
        <v>0</v>
      </c>
      <c r="CR138" s="1577">
        <f t="shared" si="159"/>
        <v>0</v>
      </c>
      <c r="CS138" s="1576">
        <f t="shared" si="128"/>
        <v>0</v>
      </c>
      <c r="CT138" s="1495">
        <f t="shared" si="160"/>
        <v>0</v>
      </c>
      <c r="CU138" s="1577">
        <f t="shared" si="161"/>
        <v>0</v>
      </c>
      <c r="CV138" s="1576">
        <f t="shared" si="129"/>
        <v>0</v>
      </c>
      <c r="CW138" s="1495">
        <f t="shared" si="162"/>
        <v>0</v>
      </c>
      <c r="CX138" s="1577">
        <f t="shared" si="163"/>
        <v>0</v>
      </c>
      <c r="CY138" s="1576">
        <f t="shared" si="130"/>
        <v>0</v>
      </c>
      <c r="CZ138" s="1574">
        <f t="shared" si="131"/>
        <v>0</v>
      </c>
      <c r="DA138" s="1578">
        <f t="shared" si="133"/>
        <v>0</v>
      </c>
      <c r="DB138" s="1579">
        <f t="shared" si="134"/>
        <v>0</v>
      </c>
      <c r="DC138" s="1578">
        <f t="shared" si="135"/>
        <v>0</v>
      </c>
      <c r="DD138" s="1578">
        <f t="shared" si="135"/>
        <v>0</v>
      </c>
      <c r="DE138" s="1578">
        <f t="shared" si="135"/>
        <v>0</v>
      </c>
      <c r="DF138" s="1578">
        <f t="shared" si="136"/>
        <v>0</v>
      </c>
      <c r="DG138" s="1420"/>
      <c r="DH138" s="1420"/>
      <c r="DJ138" s="2521" t="s">
        <v>1682</v>
      </c>
      <c r="DK138" s="2521"/>
      <c r="DL138" s="1713">
        <v>2256</v>
      </c>
      <c r="DM138" s="1705"/>
      <c r="DN138" s="1705"/>
      <c r="DO138" s="1705"/>
      <c r="DP138" s="1705"/>
    </row>
    <row r="139" spans="1:151">
      <c r="A139" s="1594"/>
      <c r="B139" s="1702" t="s">
        <v>1681</v>
      </c>
      <c r="C139" s="1507">
        <v>5.5</v>
      </c>
      <c r="H139" s="1702" t="s">
        <v>1683</v>
      </c>
      <c r="I139" s="1714">
        <f>DK135</f>
        <v>6</v>
      </c>
      <c r="M139" s="1475"/>
      <c r="N139" s="1704" t="s">
        <v>2310</v>
      </c>
      <c r="O139" s="1430">
        <v>0.9</v>
      </c>
      <c r="BD139" s="1592"/>
      <c r="BE139" s="1571" t="s">
        <v>1211</v>
      </c>
      <c r="BF139" s="1436">
        <v>22</v>
      </c>
      <c r="BG139" s="1436">
        <v>30</v>
      </c>
      <c r="BH139" s="1436">
        <v>5</v>
      </c>
      <c r="BI139" s="1495" t="b">
        <f t="shared" si="132"/>
        <v>1</v>
      </c>
      <c r="BJ139" s="1450" t="b">
        <f t="shared" si="138"/>
        <v>0</v>
      </c>
      <c r="BK139" s="1572">
        <f t="shared" si="139"/>
        <v>0</v>
      </c>
      <c r="BL139" s="1573">
        <f>$BM$4-SUM(BL110:BL138)</f>
        <v>8.25</v>
      </c>
      <c r="BM139" s="1436">
        <f t="shared" si="117"/>
        <v>0</v>
      </c>
      <c r="BN139" s="1495">
        <f t="shared" si="118"/>
        <v>0</v>
      </c>
      <c r="BO139" s="1437">
        <f t="shared" si="137"/>
        <v>0</v>
      </c>
      <c r="BP139" s="1574">
        <f t="shared" si="140"/>
        <v>0</v>
      </c>
      <c r="BQ139" s="1577">
        <f t="shared" si="141"/>
        <v>0</v>
      </c>
      <c r="BR139" s="1576">
        <f t="shared" si="119"/>
        <v>0</v>
      </c>
      <c r="BS139" s="1574">
        <f t="shared" si="142"/>
        <v>0</v>
      </c>
      <c r="BT139" s="1577">
        <f t="shared" si="143"/>
        <v>0</v>
      </c>
      <c r="BU139" s="1576">
        <f t="shared" si="120"/>
        <v>0</v>
      </c>
      <c r="BV139" s="1574">
        <f t="shared" si="144"/>
        <v>0</v>
      </c>
      <c r="BW139" s="1577">
        <f t="shared" si="145"/>
        <v>0</v>
      </c>
      <c r="BX139" s="1576">
        <f t="shared" si="121"/>
        <v>0</v>
      </c>
      <c r="BY139" s="1574">
        <f t="shared" si="146"/>
        <v>0</v>
      </c>
      <c r="BZ139" s="1577">
        <f t="shared" si="147"/>
        <v>0</v>
      </c>
      <c r="CA139" s="1576">
        <f t="shared" si="122"/>
        <v>0</v>
      </c>
      <c r="CB139" s="1495">
        <f t="shared" si="148"/>
        <v>0</v>
      </c>
      <c r="CC139" s="1577">
        <f t="shared" si="149"/>
        <v>0</v>
      </c>
      <c r="CD139" s="1576">
        <f t="shared" si="123"/>
        <v>0</v>
      </c>
      <c r="CE139" s="1495">
        <f t="shared" si="150"/>
        <v>0</v>
      </c>
      <c r="CF139" s="1577">
        <f t="shared" si="151"/>
        <v>0</v>
      </c>
      <c r="CG139" s="1576">
        <f t="shared" si="124"/>
        <v>0</v>
      </c>
      <c r="CH139" s="1495">
        <f t="shared" si="152"/>
        <v>0</v>
      </c>
      <c r="CI139" s="1577">
        <f t="shared" si="153"/>
        <v>0</v>
      </c>
      <c r="CJ139" s="1576">
        <f t="shared" si="125"/>
        <v>0</v>
      </c>
      <c r="CK139" s="1495">
        <f t="shared" si="154"/>
        <v>0</v>
      </c>
      <c r="CL139" s="1577">
        <f t="shared" si="155"/>
        <v>0</v>
      </c>
      <c r="CM139" s="1576">
        <f t="shared" si="126"/>
        <v>0</v>
      </c>
      <c r="CN139" s="1495">
        <f t="shared" si="156"/>
        <v>0</v>
      </c>
      <c r="CO139" s="1577">
        <f t="shared" si="157"/>
        <v>0</v>
      </c>
      <c r="CP139" s="1576">
        <f t="shared" si="127"/>
        <v>0</v>
      </c>
      <c r="CQ139" s="1495">
        <f t="shared" si="158"/>
        <v>0</v>
      </c>
      <c r="CR139" s="1577">
        <f t="shared" si="159"/>
        <v>0</v>
      </c>
      <c r="CS139" s="1576">
        <f t="shared" si="128"/>
        <v>0</v>
      </c>
      <c r="CT139" s="1495">
        <f t="shared" si="160"/>
        <v>0</v>
      </c>
      <c r="CU139" s="1577">
        <f t="shared" si="161"/>
        <v>0</v>
      </c>
      <c r="CV139" s="1576">
        <f t="shared" si="129"/>
        <v>0</v>
      </c>
      <c r="CW139" s="1495">
        <f t="shared" si="162"/>
        <v>0</v>
      </c>
      <c r="CX139" s="1577">
        <f t="shared" si="163"/>
        <v>0</v>
      </c>
      <c r="CY139" s="1576">
        <f t="shared" si="130"/>
        <v>0</v>
      </c>
      <c r="CZ139" s="1574">
        <f t="shared" si="131"/>
        <v>0</v>
      </c>
      <c r="DA139" s="1578">
        <f t="shared" si="133"/>
        <v>0</v>
      </c>
      <c r="DB139" s="1579">
        <f t="shared" si="134"/>
        <v>0</v>
      </c>
      <c r="DC139" s="1578">
        <f t="shared" si="135"/>
        <v>0</v>
      </c>
      <c r="DD139" s="1578">
        <f t="shared" si="135"/>
        <v>0</v>
      </c>
      <c r="DE139" s="1578">
        <f t="shared" si="135"/>
        <v>0</v>
      </c>
      <c r="DF139" s="1578">
        <f t="shared" si="136"/>
        <v>0</v>
      </c>
      <c r="DG139" s="1420"/>
      <c r="DH139" s="1420"/>
      <c r="DJ139" s="2522" t="s">
        <v>1684</v>
      </c>
      <c r="DK139" s="2522"/>
      <c r="DL139" s="1715">
        <v>1</v>
      </c>
      <c r="DM139" s="1705"/>
      <c r="DN139" s="1705"/>
      <c r="DO139" s="1705"/>
      <c r="DP139" s="1705"/>
    </row>
    <row r="140" spans="1:151" ht="15.75" customHeight="1">
      <c r="A140" s="1594"/>
      <c r="B140" s="1702" t="s">
        <v>1683</v>
      </c>
      <c r="C140" s="1506">
        <v>6</v>
      </c>
      <c r="G140" s="1475"/>
      <c r="M140" s="1475"/>
      <c r="N140" s="1704"/>
      <c r="O140" s="1704"/>
      <c r="BD140" s="1592"/>
      <c r="BE140" s="1571" t="s">
        <v>1212</v>
      </c>
      <c r="BF140" s="1436">
        <v>21</v>
      </c>
      <c r="BG140" s="1436">
        <v>1</v>
      </c>
      <c r="BH140" s="1436">
        <v>6</v>
      </c>
      <c r="BI140" s="1495" t="b">
        <f t="shared" si="132"/>
        <v>0</v>
      </c>
      <c r="BJ140" s="1450" t="b">
        <f t="shared" ref="BJ140:BJ170" si="164">MOD(BG140,$BN$7)=0</f>
        <v>0</v>
      </c>
      <c r="BK140" s="1572">
        <f t="shared" ref="BK140:BK170" si="165">IF(BJ140,BN$8,0)</f>
        <v>0</v>
      </c>
      <c r="BL140" s="1573">
        <f>BK140</f>
        <v>0</v>
      </c>
      <c r="BM140" s="1436">
        <f t="shared" si="117"/>
        <v>0</v>
      </c>
      <c r="BN140" s="1495">
        <f t="shared" si="118"/>
        <v>0</v>
      </c>
      <c r="BO140" s="1437">
        <f t="shared" si="137"/>
        <v>0</v>
      </c>
      <c r="BP140" s="1574">
        <f t="shared" ref="BP140:BP170" si="166">$Q$338/$BF$140*BR$16*$BI140</f>
        <v>0</v>
      </c>
      <c r="BQ140" s="1577">
        <f t="shared" ref="BQ140:BQ170" si="167">AQ$373/$BF140*$BI140</f>
        <v>0</v>
      </c>
      <c r="BR140" s="1576">
        <f t="shared" si="119"/>
        <v>0</v>
      </c>
      <c r="BS140" s="1574">
        <f t="shared" ref="BS140:BS170" si="168">$R$338/$BF140*BU$16*$BI140</f>
        <v>0</v>
      </c>
      <c r="BT140" s="1577">
        <f t="shared" ref="BT140:BT170" si="169">AR$373/$BF140*$BI140</f>
        <v>0</v>
      </c>
      <c r="BU140" s="1576">
        <f t="shared" si="120"/>
        <v>0</v>
      </c>
      <c r="BV140" s="1574">
        <f t="shared" ref="BV140:BV170" si="170">$S$338/$BF140*BX$16*$BI140</f>
        <v>0</v>
      </c>
      <c r="BW140" s="1577">
        <f t="shared" ref="BW140:BW170" si="171">AS$373/$BF140*$BI140</f>
        <v>0</v>
      </c>
      <c r="BX140" s="1576">
        <f t="shared" si="121"/>
        <v>0</v>
      </c>
      <c r="BY140" s="1574">
        <f t="shared" ref="BY140:BY170" si="172">$T$338/$BF140*CA$16*$BI140</f>
        <v>0</v>
      </c>
      <c r="BZ140" s="1577">
        <f t="shared" ref="BZ140:BZ170" si="173">AT$373/$BF140*$BI140</f>
        <v>0</v>
      </c>
      <c r="CA140" s="1576">
        <f t="shared" si="122"/>
        <v>0</v>
      </c>
      <c r="CB140" s="1495">
        <f t="shared" ref="CB140:CB170" si="174">$W$338/BF140*BI140*$C$419</f>
        <v>0</v>
      </c>
      <c r="CC140" s="1577">
        <f t="shared" ref="CC140:CC170" si="175">AU$373/$BF140*$BI140</f>
        <v>0</v>
      </c>
      <c r="CD140" s="1576">
        <f t="shared" si="123"/>
        <v>0</v>
      </c>
      <c r="CE140" s="1495">
        <f t="shared" ref="CE140:CE170" si="176">$X$338/BF140*BI140*$C$420</f>
        <v>0</v>
      </c>
      <c r="CF140" s="1577">
        <f t="shared" ref="CF140:CF170" si="177">AV$373/$BF140*$BI140</f>
        <v>0</v>
      </c>
      <c r="CG140" s="1576">
        <f t="shared" si="124"/>
        <v>0</v>
      </c>
      <c r="CH140" s="1495">
        <f t="shared" ref="CH140:CH170" si="178">$Y$338/BF140*BI140*$C$421</f>
        <v>0</v>
      </c>
      <c r="CI140" s="1577">
        <f t="shared" ref="CI140:CI170" si="179">AW$373/$BF140*$BI140</f>
        <v>0</v>
      </c>
      <c r="CJ140" s="1576">
        <f t="shared" si="125"/>
        <v>0</v>
      </c>
      <c r="CK140" s="1495">
        <f t="shared" ref="CK140:CK170" si="180">$Z$338/BF140*BI140*$CM$16</f>
        <v>0</v>
      </c>
      <c r="CL140" s="1577">
        <f t="shared" ref="CL140:CL170" si="181">AX$373/$BF140*$BI140</f>
        <v>0</v>
      </c>
      <c r="CM140" s="1576">
        <f t="shared" si="126"/>
        <v>0</v>
      </c>
      <c r="CN140" s="1495">
        <f t="shared" ref="CN140:CN170" si="182">$AA$338/BF140*BI140*$CP$16</f>
        <v>0</v>
      </c>
      <c r="CO140" s="1577">
        <f t="shared" ref="CO140:CO170" si="183">$AY$373/$BF140*$BI140</f>
        <v>0</v>
      </c>
      <c r="CP140" s="1576">
        <f t="shared" si="127"/>
        <v>0</v>
      </c>
      <c r="CQ140" s="1495">
        <f t="shared" ref="CQ140:CQ170" si="184">$AB$338/BF140*BI140*$CS$16</f>
        <v>0</v>
      </c>
      <c r="CR140" s="1577">
        <f t="shared" ref="CR140:CR170" si="185">AZ$373/$BF140*$BI140</f>
        <v>0</v>
      </c>
      <c r="CS140" s="1576">
        <f t="shared" si="128"/>
        <v>0</v>
      </c>
      <c r="CT140" s="1495">
        <f t="shared" ref="CT140:CT170" si="186">$AC$338/BF140*BI140*$CV$16</f>
        <v>0</v>
      </c>
      <c r="CU140" s="1577">
        <f t="shared" ref="CU140:CU170" si="187">BA$373/$BF140*$BI140</f>
        <v>0</v>
      </c>
      <c r="CV140" s="1576">
        <f t="shared" si="129"/>
        <v>0</v>
      </c>
      <c r="CW140" s="1495">
        <f t="shared" ref="CW140:CW170" si="188">$AD$338/BF140*BI140*$CY$16</f>
        <v>0</v>
      </c>
      <c r="CX140" s="1577">
        <f t="shared" ref="CX140:CX170" si="189">BB$373/$BF140*$BI140</f>
        <v>0</v>
      </c>
      <c r="CY140" s="1576">
        <f t="shared" si="130"/>
        <v>0</v>
      </c>
      <c r="CZ140" s="1574">
        <f t="shared" si="131"/>
        <v>0</v>
      </c>
      <c r="DA140" s="1578">
        <f t="shared" si="133"/>
        <v>0</v>
      </c>
      <c r="DB140" s="1579">
        <f t="shared" si="134"/>
        <v>0</v>
      </c>
      <c r="DC140" s="1578">
        <f t="shared" si="135"/>
        <v>0</v>
      </c>
      <c r="DD140" s="1578">
        <f t="shared" si="135"/>
        <v>0</v>
      </c>
      <c r="DE140" s="1578">
        <f t="shared" si="135"/>
        <v>0</v>
      </c>
      <c r="DF140" s="1578">
        <f>IF(DA140-(DE139+CZ140)&lt;0,0,DA140-(DE139+CZ140))</f>
        <v>0</v>
      </c>
      <c r="DG140" s="1420"/>
      <c r="DH140" s="1420"/>
      <c r="DJ140" s="2522" t="s">
        <v>1685</v>
      </c>
      <c r="DK140" s="2522"/>
      <c r="DL140" s="1716">
        <v>4.18</v>
      </c>
      <c r="DM140" s="1705"/>
      <c r="DN140" s="1705"/>
      <c r="DO140" s="1705"/>
      <c r="DP140" s="1705"/>
    </row>
    <row r="141" spans="1:151" ht="28.5" customHeight="1">
      <c r="A141" s="1422"/>
      <c r="B141" s="1627"/>
      <c r="C141" s="1475"/>
      <c r="D141" s="1475"/>
      <c r="E141" s="1475"/>
      <c r="F141" s="1475"/>
      <c r="G141" s="1475"/>
      <c r="H141" s="1475"/>
      <c r="I141" s="1475"/>
      <c r="J141" s="1475"/>
      <c r="K141" s="1475"/>
      <c r="L141" s="1475"/>
      <c r="M141" s="1475"/>
      <c r="N141" s="1704"/>
      <c r="P141" s="2523" t="str">
        <f>C142</f>
        <v>Actual Building</v>
      </c>
      <c r="Q141" s="2523"/>
      <c r="R141" s="2523"/>
      <c r="S141" s="2523"/>
      <c r="T141" s="2523"/>
      <c r="V141" s="2524" t="str">
        <f>I142</f>
        <v>Notional Building</v>
      </c>
      <c r="W141" s="2524"/>
      <c r="X141" s="2524"/>
      <c r="Y141" s="2524"/>
      <c r="Z141" s="2524"/>
      <c r="BD141" s="1592"/>
      <c r="BE141" s="1571" t="s">
        <v>1212</v>
      </c>
      <c r="BF141" s="1436">
        <v>21</v>
      </c>
      <c r="BG141" s="1436">
        <v>2</v>
      </c>
      <c r="BH141" s="1436">
        <v>7</v>
      </c>
      <c r="BI141" s="1495" t="b">
        <f t="shared" si="132"/>
        <v>0</v>
      </c>
      <c r="BJ141" s="1450" t="b">
        <f t="shared" si="164"/>
        <v>0</v>
      </c>
      <c r="BK141" s="1572">
        <f t="shared" si="165"/>
        <v>0</v>
      </c>
      <c r="BL141" s="1581">
        <f>IF(SUM(BL$140:BL140,BK141)&gt;$BN$4,0,BK141)</f>
        <v>0</v>
      </c>
      <c r="BM141" s="1436">
        <f t="shared" si="117"/>
        <v>0</v>
      </c>
      <c r="BN141" s="1495">
        <f t="shared" si="118"/>
        <v>0</v>
      </c>
      <c r="BO141" s="1437">
        <f t="shared" si="137"/>
        <v>0</v>
      </c>
      <c r="BP141" s="1574">
        <f t="shared" si="166"/>
        <v>0</v>
      </c>
      <c r="BQ141" s="1577">
        <f t="shared" si="167"/>
        <v>0</v>
      </c>
      <c r="BR141" s="1576">
        <f t="shared" si="119"/>
        <v>0</v>
      </c>
      <c r="BS141" s="1574">
        <f t="shared" si="168"/>
        <v>0</v>
      </c>
      <c r="BT141" s="1577">
        <f t="shared" si="169"/>
        <v>0</v>
      </c>
      <c r="BU141" s="1576">
        <f t="shared" si="120"/>
        <v>0</v>
      </c>
      <c r="BV141" s="1574">
        <f t="shared" si="170"/>
        <v>0</v>
      </c>
      <c r="BW141" s="1577">
        <f t="shared" si="171"/>
        <v>0</v>
      </c>
      <c r="BX141" s="1576">
        <f t="shared" si="121"/>
        <v>0</v>
      </c>
      <c r="BY141" s="1574">
        <f t="shared" si="172"/>
        <v>0</v>
      </c>
      <c r="BZ141" s="1577">
        <f t="shared" si="173"/>
        <v>0</v>
      </c>
      <c r="CA141" s="1576">
        <f t="shared" si="122"/>
        <v>0</v>
      </c>
      <c r="CB141" s="1495">
        <f t="shared" si="174"/>
        <v>0</v>
      </c>
      <c r="CC141" s="1577">
        <f t="shared" si="175"/>
        <v>0</v>
      </c>
      <c r="CD141" s="1576">
        <f t="shared" si="123"/>
        <v>0</v>
      </c>
      <c r="CE141" s="1495">
        <f t="shared" si="176"/>
        <v>0</v>
      </c>
      <c r="CF141" s="1577">
        <f t="shared" si="177"/>
        <v>0</v>
      </c>
      <c r="CG141" s="1576">
        <f t="shared" si="124"/>
        <v>0</v>
      </c>
      <c r="CH141" s="1495">
        <f t="shared" si="178"/>
        <v>0</v>
      </c>
      <c r="CI141" s="1577">
        <f t="shared" si="179"/>
        <v>0</v>
      </c>
      <c r="CJ141" s="1576">
        <f t="shared" si="125"/>
        <v>0</v>
      </c>
      <c r="CK141" s="1495">
        <f t="shared" si="180"/>
        <v>0</v>
      </c>
      <c r="CL141" s="1577">
        <f t="shared" si="181"/>
        <v>0</v>
      </c>
      <c r="CM141" s="1576">
        <f t="shared" si="126"/>
        <v>0</v>
      </c>
      <c r="CN141" s="1495">
        <f t="shared" si="182"/>
        <v>0</v>
      </c>
      <c r="CO141" s="1577">
        <f t="shared" si="183"/>
        <v>0</v>
      </c>
      <c r="CP141" s="1576">
        <f t="shared" si="127"/>
        <v>0</v>
      </c>
      <c r="CQ141" s="1495">
        <f t="shared" si="184"/>
        <v>0</v>
      </c>
      <c r="CR141" s="1577">
        <f t="shared" si="185"/>
        <v>0</v>
      </c>
      <c r="CS141" s="1576">
        <f t="shared" si="128"/>
        <v>0</v>
      </c>
      <c r="CT141" s="1495">
        <f t="shared" si="186"/>
        <v>0</v>
      </c>
      <c r="CU141" s="1577">
        <f t="shared" si="187"/>
        <v>0</v>
      </c>
      <c r="CV141" s="1576">
        <f t="shared" si="129"/>
        <v>0</v>
      </c>
      <c r="CW141" s="1495">
        <f t="shared" si="188"/>
        <v>0</v>
      </c>
      <c r="CX141" s="1577">
        <f t="shared" si="189"/>
        <v>0</v>
      </c>
      <c r="CY141" s="1576">
        <f t="shared" si="130"/>
        <v>0</v>
      </c>
      <c r="CZ141" s="1574">
        <f t="shared" si="131"/>
        <v>0</v>
      </c>
      <c r="DA141" s="1578">
        <f t="shared" si="133"/>
        <v>0</v>
      </c>
      <c r="DB141" s="1579">
        <f t="shared" si="134"/>
        <v>0</v>
      </c>
      <c r="DC141" s="1578">
        <f t="shared" si="135"/>
        <v>0</v>
      </c>
      <c r="DD141" s="1578">
        <f t="shared" si="135"/>
        <v>0</v>
      </c>
      <c r="DE141" s="1578">
        <f t="shared" si="135"/>
        <v>0</v>
      </c>
      <c r="DF141" s="1578">
        <f t="shared" si="136"/>
        <v>0</v>
      </c>
      <c r="DG141" s="1420"/>
      <c r="DH141" s="1420"/>
    </row>
    <row r="142" spans="1:151" ht="15" customHeight="1">
      <c r="A142" s="1587"/>
      <c r="B142" s="1475"/>
      <c r="C142" s="1717" t="str">
        <f>B135</f>
        <v>Actual Building</v>
      </c>
      <c r="D142" s="1717"/>
      <c r="G142" s="1475"/>
      <c r="H142" s="1475"/>
      <c r="I142" s="1718" t="str">
        <f>H135</f>
        <v>Notional Building</v>
      </c>
      <c r="J142" s="1718"/>
      <c r="K142" s="1475"/>
      <c r="L142" s="1475"/>
      <c r="M142" s="1475"/>
      <c r="N142" s="1704"/>
      <c r="P142" s="2514" t="s">
        <v>1686</v>
      </c>
      <c r="Q142" s="2517" t="s">
        <v>1687</v>
      </c>
      <c r="R142" s="2518"/>
      <c r="S142" s="2514" t="s">
        <v>1688</v>
      </c>
      <c r="T142" s="2514" t="s">
        <v>1689</v>
      </c>
      <c r="V142" s="2514" t="s">
        <v>1686</v>
      </c>
      <c r="W142" s="2514" t="s">
        <v>1687</v>
      </c>
      <c r="X142" s="2514"/>
      <c r="Y142" s="2514" t="s">
        <v>1688</v>
      </c>
      <c r="Z142" s="2514" t="s">
        <v>1689</v>
      </c>
      <c r="BD142" s="1592"/>
      <c r="BE142" s="1571" t="s">
        <v>1212</v>
      </c>
      <c r="BF142" s="1436">
        <v>21</v>
      </c>
      <c r="BG142" s="1436">
        <v>3</v>
      </c>
      <c r="BH142" s="1436">
        <v>1</v>
      </c>
      <c r="BI142" s="1495" t="b">
        <f t="shared" si="132"/>
        <v>1</v>
      </c>
      <c r="BJ142" s="1450" t="b">
        <f t="shared" si="164"/>
        <v>0</v>
      </c>
      <c r="BK142" s="1572">
        <f t="shared" si="165"/>
        <v>0</v>
      </c>
      <c r="BL142" s="1581">
        <f>IF(SUM(BL$140:BL141,BK142)&gt;$BN$4,0,BK142)</f>
        <v>0</v>
      </c>
      <c r="BM142" s="1436">
        <f t="shared" si="117"/>
        <v>0</v>
      </c>
      <c r="BN142" s="1495">
        <f t="shared" si="118"/>
        <v>0</v>
      </c>
      <c r="BO142" s="1437">
        <f t="shared" si="137"/>
        <v>0</v>
      </c>
      <c r="BP142" s="1574">
        <f t="shared" si="166"/>
        <v>0</v>
      </c>
      <c r="BQ142" s="1577">
        <f t="shared" si="167"/>
        <v>0</v>
      </c>
      <c r="BR142" s="1576">
        <f t="shared" si="119"/>
        <v>0</v>
      </c>
      <c r="BS142" s="1574">
        <f t="shared" si="168"/>
        <v>0</v>
      </c>
      <c r="BT142" s="1577">
        <f t="shared" si="169"/>
        <v>0</v>
      </c>
      <c r="BU142" s="1576">
        <f t="shared" si="120"/>
        <v>0</v>
      </c>
      <c r="BV142" s="1574">
        <f t="shared" si="170"/>
        <v>0</v>
      </c>
      <c r="BW142" s="1577">
        <f t="shared" si="171"/>
        <v>0</v>
      </c>
      <c r="BX142" s="1576">
        <f t="shared" si="121"/>
        <v>0</v>
      </c>
      <c r="BY142" s="1574">
        <f t="shared" si="172"/>
        <v>0</v>
      </c>
      <c r="BZ142" s="1577">
        <f t="shared" si="173"/>
        <v>0</v>
      </c>
      <c r="CA142" s="1576">
        <f t="shared" si="122"/>
        <v>0</v>
      </c>
      <c r="CB142" s="1495">
        <f t="shared" si="174"/>
        <v>0</v>
      </c>
      <c r="CC142" s="1577">
        <f t="shared" si="175"/>
        <v>0</v>
      </c>
      <c r="CD142" s="1576">
        <f t="shared" si="123"/>
        <v>0</v>
      </c>
      <c r="CE142" s="1495">
        <f t="shared" si="176"/>
        <v>0</v>
      </c>
      <c r="CF142" s="1577">
        <f t="shared" si="177"/>
        <v>0</v>
      </c>
      <c r="CG142" s="1576">
        <f t="shared" si="124"/>
        <v>0</v>
      </c>
      <c r="CH142" s="1495">
        <f t="shared" si="178"/>
        <v>0</v>
      </c>
      <c r="CI142" s="1577">
        <f t="shared" si="179"/>
        <v>0</v>
      </c>
      <c r="CJ142" s="1576">
        <f t="shared" si="125"/>
        <v>0</v>
      </c>
      <c r="CK142" s="1495">
        <f t="shared" si="180"/>
        <v>0</v>
      </c>
      <c r="CL142" s="1577">
        <f t="shared" si="181"/>
        <v>0</v>
      </c>
      <c r="CM142" s="1576">
        <f t="shared" si="126"/>
        <v>0</v>
      </c>
      <c r="CN142" s="1495">
        <f t="shared" si="182"/>
        <v>0</v>
      </c>
      <c r="CO142" s="1577">
        <f t="shared" si="183"/>
        <v>0</v>
      </c>
      <c r="CP142" s="1576">
        <f t="shared" si="127"/>
        <v>0</v>
      </c>
      <c r="CQ142" s="1495">
        <f t="shared" si="184"/>
        <v>0</v>
      </c>
      <c r="CR142" s="1577">
        <f t="shared" si="185"/>
        <v>0</v>
      </c>
      <c r="CS142" s="1576">
        <f t="shared" si="128"/>
        <v>0</v>
      </c>
      <c r="CT142" s="1495">
        <f t="shared" si="186"/>
        <v>0</v>
      </c>
      <c r="CU142" s="1577">
        <f t="shared" si="187"/>
        <v>0</v>
      </c>
      <c r="CV142" s="1576">
        <f t="shared" si="129"/>
        <v>0</v>
      </c>
      <c r="CW142" s="1495">
        <f t="shared" si="188"/>
        <v>0</v>
      </c>
      <c r="CX142" s="1577">
        <f t="shared" si="189"/>
        <v>0</v>
      </c>
      <c r="CY142" s="1576">
        <f t="shared" si="130"/>
        <v>0</v>
      </c>
      <c r="CZ142" s="1574">
        <f t="shared" si="131"/>
        <v>0</v>
      </c>
      <c r="DA142" s="1578">
        <f t="shared" si="133"/>
        <v>0</v>
      </c>
      <c r="DB142" s="1579">
        <f t="shared" si="134"/>
        <v>0</v>
      </c>
      <c r="DC142" s="1578">
        <f t="shared" si="135"/>
        <v>0</v>
      </c>
      <c r="DD142" s="1578">
        <f t="shared" si="135"/>
        <v>0</v>
      </c>
      <c r="DE142" s="1578">
        <f t="shared" si="135"/>
        <v>0</v>
      </c>
      <c r="DF142" s="1578">
        <f t="shared" si="136"/>
        <v>0</v>
      </c>
      <c r="DG142" s="1420"/>
      <c r="DH142" s="1420"/>
    </row>
    <row r="143" spans="1:151" ht="27" customHeight="1">
      <c r="A143" s="1719"/>
      <c r="B143" s="1475"/>
      <c r="C143" s="1596" t="s">
        <v>2218</v>
      </c>
      <c r="D143" s="1596" t="s">
        <v>1690</v>
      </c>
      <c r="E143" s="1720"/>
      <c r="F143" s="1720"/>
      <c r="G143" s="1721"/>
      <c r="H143" s="1721"/>
      <c r="I143" s="1596" t="s">
        <v>2218</v>
      </c>
      <c r="J143" s="1596" t="s">
        <v>1690</v>
      </c>
      <c r="K143" s="1475"/>
      <c r="L143" s="1475"/>
      <c r="M143" s="1475"/>
      <c r="N143" s="1704" t="s">
        <v>1692</v>
      </c>
      <c r="O143" s="1430" t="b">
        <f>I136=N133</f>
        <v>0</v>
      </c>
      <c r="P143" s="2514"/>
      <c r="Q143" s="1722" t="s">
        <v>1693</v>
      </c>
      <c r="R143" s="1722" t="s">
        <v>1694</v>
      </c>
      <c r="S143" s="2514"/>
      <c r="T143" s="2514"/>
      <c r="V143" s="2514"/>
      <c r="W143" s="1722" t="s">
        <v>1693</v>
      </c>
      <c r="X143" s="1722" t="s">
        <v>1694</v>
      </c>
      <c r="Y143" s="2514"/>
      <c r="Z143" s="2514"/>
      <c r="BD143" s="1592"/>
      <c r="BE143" s="1571" t="s">
        <v>1212</v>
      </c>
      <c r="BF143" s="1436">
        <v>21</v>
      </c>
      <c r="BG143" s="1436">
        <v>4</v>
      </c>
      <c r="BH143" s="1436">
        <v>2</v>
      </c>
      <c r="BI143" s="1495" t="b">
        <f t="shared" si="132"/>
        <v>1</v>
      </c>
      <c r="BJ143" s="1450" t="b">
        <f t="shared" si="164"/>
        <v>0</v>
      </c>
      <c r="BK143" s="1572">
        <f t="shared" si="165"/>
        <v>0</v>
      </c>
      <c r="BL143" s="1581">
        <f>IF(SUM(BL$140:BL142,BK143)&gt;$BN$4,0,BK143)</f>
        <v>0</v>
      </c>
      <c r="BM143" s="1436">
        <f t="shared" si="117"/>
        <v>0</v>
      </c>
      <c r="BN143" s="1495">
        <f t="shared" si="118"/>
        <v>0</v>
      </c>
      <c r="BO143" s="1437">
        <f t="shared" si="137"/>
        <v>0</v>
      </c>
      <c r="BP143" s="1574">
        <f t="shared" si="166"/>
        <v>0</v>
      </c>
      <c r="BQ143" s="1577">
        <f t="shared" si="167"/>
        <v>0</v>
      </c>
      <c r="BR143" s="1576">
        <f t="shared" si="119"/>
        <v>0</v>
      </c>
      <c r="BS143" s="1574">
        <f t="shared" si="168"/>
        <v>0</v>
      </c>
      <c r="BT143" s="1577">
        <f t="shared" si="169"/>
        <v>0</v>
      </c>
      <c r="BU143" s="1576">
        <f t="shared" si="120"/>
        <v>0</v>
      </c>
      <c r="BV143" s="1574">
        <f t="shared" si="170"/>
        <v>0</v>
      </c>
      <c r="BW143" s="1577">
        <f t="shared" si="171"/>
        <v>0</v>
      </c>
      <c r="BX143" s="1576">
        <f t="shared" si="121"/>
        <v>0</v>
      </c>
      <c r="BY143" s="1574">
        <f t="shared" si="172"/>
        <v>0</v>
      </c>
      <c r="BZ143" s="1577">
        <f t="shared" si="173"/>
        <v>0</v>
      </c>
      <c r="CA143" s="1576">
        <f t="shared" si="122"/>
        <v>0</v>
      </c>
      <c r="CB143" s="1495">
        <f t="shared" si="174"/>
        <v>0</v>
      </c>
      <c r="CC143" s="1577">
        <f t="shared" si="175"/>
        <v>0</v>
      </c>
      <c r="CD143" s="1576">
        <f t="shared" si="123"/>
        <v>0</v>
      </c>
      <c r="CE143" s="1495">
        <f t="shared" si="176"/>
        <v>0</v>
      </c>
      <c r="CF143" s="1577">
        <f t="shared" si="177"/>
        <v>0</v>
      </c>
      <c r="CG143" s="1576">
        <f t="shared" si="124"/>
        <v>0</v>
      </c>
      <c r="CH143" s="1495">
        <f t="shared" si="178"/>
        <v>0</v>
      </c>
      <c r="CI143" s="1577">
        <f t="shared" si="179"/>
        <v>0</v>
      </c>
      <c r="CJ143" s="1576">
        <f t="shared" si="125"/>
        <v>0</v>
      </c>
      <c r="CK143" s="1495">
        <f t="shared" si="180"/>
        <v>0</v>
      </c>
      <c r="CL143" s="1577">
        <f t="shared" si="181"/>
        <v>0</v>
      </c>
      <c r="CM143" s="1576">
        <f t="shared" si="126"/>
        <v>0</v>
      </c>
      <c r="CN143" s="1495">
        <f t="shared" si="182"/>
        <v>0</v>
      </c>
      <c r="CO143" s="1577">
        <f t="shared" si="183"/>
        <v>0</v>
      </c>
      <c r="CP143" s="1576">
        <f t="shared" si="127"/>
        <v>0</v>
      </c>
      <c r="CQ143" s="1495">
        <f t="shared" si="184"/>
        <v>0</v>
      </c>
      <c r="CR143" s="1577">
        <f t="shared" si="185"/>
        <v>0</v>
      </c>
      <c r="CS143" s="1576">
        <f t="shared" si="128"/>
        <v>0</v>
      </c>
      <c r="CT143" s="1495">
        <f t="shared" si="186"/>
        <v>0</v>
      </c>
      <c r="CU143" s="1577">
        <f t="shared" si="187"/>
        <v>0</v>
      </c>
      <c r="CV143" s="1576">
        <f t="shared" si="129"/>
        <v>0</v>
      </c>
      <c r="CW143" s="1495">
        <f t="shared" si="188"/>
        <v>0</v>
      </c>
      <c r="CX143" s="1577">
        <f t="shared" si="189"/>
        <v>0</v>
      </c>
      <c r="CY143" s="1576">
        <f t="shared" si="130"/>
        <v>0</v>
      </c>
      <c r="CZ143" s="1574">
        <f t="shared" si="131"/>
        <v>0</v>
      </c>
      <c r="DA143" s="1578">
        <f t="shared" si="133"/>
        <v>0</v>
      </c>
      <c r="DB143" s="1579">
        <f t="shared" si="134"/>
        <v>0</v>
      </c>
      <c r="DC143" s="1578">
        <f t="shared" si="135"/>
        <v>0</v>
      </c>
      <c r="DD143" s="1578">
        <f t="shared" si="135"/>
        <v>0</v>
      </c>
      <c r="DE143" s="1578">
        <f t="shared" si="135"/>
        <v>0</v>
      </c>
      <c r="DF143" s="1578">
        <f t="shared" si="136"/>
        <v>0</v>
      </c>
      <c r="DG143" s="1420"/>
      <c r="DH143" s="1420"/>
    </row>
    <row r="144" spans="1:151" ht="15" customHeight="1">
      <c r="A144" s="1603"/>
      <c r="B144" s="1600" t="s">
        <v>800</v>
      </c>
      <c r="C144" s="1723"/>
      <c r="D144" s="1724">
        <f t="shared" ref="D144:D155" si="190">T144</f>
        <v>0</v>
      </c>
      <c r="G144" s="1475"/>
      <c r="H144" s="1600" t="s">
        <v>800</v>
      </c>
      <c r="I144" s="1723"/>
      <c r="J144" s="1725">
        <f t="shared" ref="J144:J155" si="191">Z144</f>
        <v>0</v>
      </c>
      <c r="K144" s="1475"/>
      <c r="L144" s="1475"/>
      <c r="M144" s="1475"/>
      <c r="O144" s="1440" t="s">
        <v>1208</v>
      </c>
      <c r="P144" s="1436">
        <f t="shared" ref="P144:P155" si="192">C144*3600/($DL$138*$DL$139)*$O$137</f>
        <v>0</v>
      </c>
      <c r="Q144" s="1726">
        <f t="shared" ref="Q144:Q155" si="193">(C144*3600)/($DL$140*$C$139)*$O$137</f>
        <v>0</v>
      </c>
      <c r="R144" s="1436">
        <f t="shared" ref="R144:R155" si="194">Q144*$C$138</f>
        <v>0</v>
      </c>
      <c r="S144" s="1436">
        <f t="shared" ref="S144:S155" si="195">P144/($C$140-1)</f>
        <v>0</v>
      </c>
      <c r="T144" s="1436">
        <f t="shared" ref="T144:T155" si="196">SUM(S144,R144,P144)/1000</f>
        <v>0</v>
      </c>
      <c r="V144" s="1727">
        <f>I144*3600/($DL$138*$DL$139)*$O$143*$O$139</f>
        <v>0</v>
      </c>
      <c r="W144" s="1728">
        <f>(I144*3600)/($DL$140*$I$138)*$O$143*$O$139</f>
        <v>0</v>
      </c>
      <c r="X144" s="1727">
        <f t="shared" ref="X144:X155" si="197">W144*$I$137*$O$143</f>
        <v>0</v>
      </c>
      <c r="Y144" s="1727">
        <f t="shared" ref="Y144:Y155" si="198">V144/($I$139-1)</f>
        <v>0</v>
      </c>
      <c r="Z144" s="1727">
        <f t="shared" ref="Z144:Z155" si="199">SUM(Y144,X144,V144)/1000</f>
        <v>0</v>
      </c>
      <c r="BD144" s="1592"/>
      <c r="BE144" s="1571" t="s">
        <v>1212</v>
      </c>
      <c r="BF144" s="1436">
        <v>21</v>
      </c>
      <c r="BG144" s="1436">
        <v>5</v>
      </c>
      <c r="BH144" s="1436">
        <v>3</v>
      </c>
      <c r="BI144" s="1495" t="b">
        <f t="shared" si="132"/>
        <v>1</v>
      </c>
      <c r="BJ144" s="1450" t="b">
        <f t="shared" si="164"/>
        <v>0</v>
      </c>
      <c r="BK144" s="1572">
        <f t="shared" si="165"/>
        <v>0</v>
      </c>
      <c r="BL144" s="1581">
        <f>IF(SUM(BL$140:BL143,BK144)&gt;$BN$4,0,BK144)</f>
        <v>0</v>
      </c>
      <c r="BM144" s="1436">
        <f t="shared" si="117"/>
        <v>0</v>
      </c>
      <c r="BN144" s="1495">
        <f t="shared" si="118"/>
        <v>0</v>
      </c>
      <c r="BO144" s="1437">
        <f t="shared" si="137"/>
        <v>0</v>
      </c>
      <c r="BP144" s="1574">
        <f t="shared" si="166"/>
        <v>0</v>
      </c>
      <c r="BQ144" s="1577">
        <f t="shared" si="167"/>
        <v>0</v>
      </c>
      <c r="BR144" s="1576">
        <f t="shared" si="119"/>
        <v>0</v>
      </c>
      <c r="BS144" s="1574">
        <f t="shared" si="168"/>
        <v>0</v>
      </c>
      <c r="BT144" s="1577">
        <f t="shared" si="169"/>
        <v>0</v>
      </c>
      <c r="BU144" s="1576">
        <f t="shared" si="120"/>
        <v>0</v>
      </c>
      <c r="BV144" s="1574">
        <f t="shared" si="170"/>
        <v>0</v>
      </c>
      <c r="BW144" s="1577">
        <f t="shared" si="171"/>
        <v>0</v>
      </c>
      <c r="BX144" s="1576">
        <f t="shared" si="121"/>
        <v>0</v>
      </c>
      <c r="BY144" s="1574">
        <f t="shared" si="172"/>
        <v>0</v>
      </c>
      <c r="BZ144" s="1577">
        <f t="shared" si="173"/>
        <v>0</v>
      </c>
      <c r="CA144" s="1576">
        <f t="shared" si="122"/>
        <v>0</v>
      </c>
      <c r="CB144" s="1495">
        <f t="shared" si="174"/>
        <v>0</v>
      </c>
      <c r="CC144" s="1577">
        <f t="shared" si="175"/>
        <v>0</v>
      </c>
      <c r="CD144" s="1576">
        <f t="shared" si="123"/>
        <v>0</v>
      </c>
      <c r="CE144" s="1495">
        <f t="shared" si="176"/>
        <v>0</v>
      </c>
      <c r="CF144" s="1577">
        <f t="shared" si="177"/>
        <v>0</v>
      </c>
      <c r="CG144" s="1576">
        <f t="shared" si="124"/>
        <v>0</v>
      </c>
      <c r="CH144" s="1495">
        <f t="shared" si="178"/>
        <v>0</v>
      </c>
      <c r="CI144" s="1577">
        <f t="shared" si="179"/>
        <v>0</v>
      </c>
      <c r="CJ144" s="1576">
        <f t="shared" si="125"/>
        <v>0</v>
      </c>
      <c r="CK144" s="1495">
        <f t="shared" si="180"/>
        <v>0</v>
      </c>
      <c r="CL144" s="1577">
        <f t="shared" si="181"/>
        <v>0</v>
      </c>
      <c r="CM144" s="1576">
        <f t="shared" si="126"/>
        <v>0</v>
      </c>
      <c r="CN144" s="1495">
        <f t="shared" si="182"/>
        <v>0</v>
      </c>
      <c r="CO144" s="1577">
        <f t="shared" si="183"/>
        <v>0</v>
      </c>
      <c r="CP144" s="1576">
        <f t="shared" si="127"/>
        <v>0</v>
      </c>
      <c r="CQ144" s="1495">
        <f t="shared" si="184"/>
        <v>0</v>
      </c>
      <c r="CR144" s="1577">
        <f t="shared" si="185"/>
        <v>0</v>
      </c>
      <c r="CS144" s="1576">
        <f t="shared" si="128"/>
        <v>0</v>
      </c>
      <c r="CT144" s="1495">
        <f t="shared" si="186"/>
        <v>0</v>
      </c>
      <c r="CU144" s="1577">
        <f t="shared" si="187"/>
        <v>0</v>
      </c>
      <c r="CV144" s="1576">
        <f t="shared" si="129"/>
        <v>0</v>
      </c>
      <c r="CW144" s="1495">
        <f t="shared" si="188"/>
        <v>0</v>
      </c>
      <c r="CX144" s="1577">
        <f t="shared" si="189"/>
        <v>0</v>
      </c>
      <c r="CY144" s="1576">
        <f t="shared" si="130"/>
        <v>0</v>
      </c>
      <c r="CZ144" s="1574">
        <f t="shared" si="131"/>
        <v>0</v>
      </c>
      <c r="DA144" s="1578">
        <f t="shared" si="133"/>
        <v>0</v>
      </c>
      <c r="DB144" s="1579">
        <f t="shared" si="134"/>
        <v>0</v>
      </c>
      <c r="DC144" s="1578">
        <f t="shared" si="135"/>
        <v>0</v>
      </c>
      <c r="DD144" s="1578">
        <f t="shared" si="135"/>
        <v>0</v>
      </c>
      <c r="DE144" s="1578">
        <f t="shared" si="135"/>
        <v>0</v>
      </c>
      <c r="DF144" s="1578">
        <f t="shared" si="136"/>
        <v>0</v>
      </c>
      <c r="DG144" s="1420"/>
      <c r="DH144" s="1420"/>
    </row>
    <row r="145" spans="1:112" ht="15" customHeight="1">
      <c r="A145" s="1603"/>
      <c r="B145" s="1600" t="s">
        <v>801</v>
      </c>
      <c r="C145" s="1723"/>
      <c r="D145" s="1724">
        <f t="shared" si="190"/>
        <v>0</v>
      </c>
      <c r="G145" s="1475"/>
      <c r="H145" s="1600" t="s">
        <v>801</v>
      </c>
      <c r="I145" s="1723"/>
      <c r="J145" s="1601">
        <f t="shared" si="191"/>
        <v>0</v>
      </c>
      <c r="K145" s="1475"/>
      <c r="L145" s="1475"/>
      <c r="M145" s="1475"/>
      <c r="O145" s="1440" t="s">
        <v>1209</v>
      </c>
      <c r="P145" s="1436">
        <f t="shared" si="192"/>
        <v>0</v>
      </c>
      <c r="Q145" s="1726">
        <f t="shared" si="193"/>
        <v>0</v>
      </c>
      <c r="R145" s="1436">
        <f t="shared" si="194"/>
        <v>0</v>
      </c>
      <c r="S145" s="1436">
        <f t="shared" si="195"/>
        <v>0</v>
      </c>
      <c r="T145" s="1436">
        <f t="shared" si="196"/>
        <v>0</v>
      </c>
      <c r="V145" s="1727">
        <f t="shared" ref="V145:V155" si="200">I145*3600/($DL$138*$DL$139)*$O$143*$O$139</f>
        <v>0</v>
      </c>
      <c r="W145" s="1728">
        <f t="shared" ref="W145:W155" si="201">(I145*3600)/($DL$140*$I$138)*$O$143*$O$139</f>
        <v>0</v>
      </c>
      <c r="X145" s="1434">
        <f t="shared" si="197"/>
        <v>0</v>
      </c>
      <c r="Y145" s="1434">
        <f t="shared" si="198"/>
        <v>0</v>
      </c>
      <c r="Z145" s="1434">
        <f t="shared" si="199"/>
        <v>0</v>
      </c>
      <c r="BD145" s="1592"/>
      <c r="BE145" s="1571" t="s">
        <v>1212</v>
      </c>
      <c r="BF145" s="1436">
        <v>21</v>
      </c>
      <c r="BG145" s="1436">
        <v>6</v>
      </c>
      <c r="BH145" s="1436">
        <v>4</v>
      </c>
      <c r="BI145" s="1495" t="b">
        <f t="shared" si="132"/>
        <v>1</v>
      </c>
      <c r="BJ145" s="1450" t="b">
        <f t="shared" si="164"/>
        <v>0</v>
      </c>
      <c r="BK145" s="1572">
        <f t="shared" si="165"/>
        <v>0</v>
      </c>
      <c r="BL145" s="1581">
        <f>IF(SUM(BL$140:BL144,BK145)&gt;$BN$4,0,BK145)</f>
        <v>0</v>
      </c>
      <c r="BM145" s="1436">
        <f t="shared" si="117"/>
        <v>0</v>
      </c>
      <c r="BN145" s="1495">
        <f t="shared" si="118"/>
        <v>0</v>
      </c>
      <c r="BO145" s="1437">
        <f t="shared" si="137"/>
        <v>0</v>
      </c>
      <c r="BP145" s="1574">
        <f t="shared" si="166"/>
        <v>0</v>
      </c>
      <c r="BQ145" s="1577">
        <f t="shared" si="167"/>
        <v>0</v>
      </c>
      <c r="BR145" s="1576">
        <f t="shared" si="119"/>
        <v>0</v>
      </c>
      <c r="BS145" s="1574">
        <f t="shared" si="168"/>
        <v>0</v>
      </c>
      <c r="BT145" s="1577">
        <f t="shared" si="169"/>
        <v>0</v>
      </c>
      <c r="BU145" s="1576">
        <f t="shared" si="120"/>
        <v>0</v>
      </c>
      <c r="BV145" s="1574">
        <f t="shared" si="170"/>
        <v>0</v>
      </c>
      <c r="BW145" s="1577">
        <f t="shared" si="171"/>
        <v>0</v>
      </c>
      <c r="BX145" s="1576">
        <f t="shared" si="121"/>
        <v>0</v>
      </c>
      <c r="BY145" s="1574">
        <f t="shared" si="172"/>
        <v>0</v>
      </c>
      <c r="BZ145" s="1577">
        <f t="shared" si="173"/>
        <v>0</v>
      </c>
      <c r="CA145" s="1576">
        <f t="shared" si="122"/>
        <v>0</v>
      </c>
      <c r="CB145" s="1495">
        <f t="shared" si="174"/>
        <v>0</v>
      </c>
      <c r="CC145" s="1577">
        <f t="shared" si="175"/>
        <v>0</v>
      </c>
      <c r="CD145" s="1576">
        <f t="shared" si="123"/>
        <v>0</v>
      </c>
      <c r="CE145" s="1495">
        <f t="shared" si="176"/>
        <v>0</v>
      </c>
      <c r="CF145" s="1577">
        <f t="shared" si="177"/>
        <v>0</v>
      </c>
      <c r="CG145" s="1576">
        <f t="shared" si="124"/>
        <v>0</v>
      </c>
      <c r="CH145" s="1495">
        <f t="shared" si="178"/>
        <v>0</v>
      </c>
      <c r="CI145" s="1577">
        <f t="shared" si="179"/>
        <v>0</v>
      </c>
      <c r="CJ145" s="1576">
        <f t="shared" si="125"/>
        <v>0</v>
      </c>
      <c r="CK145" s="1495">
        <f t="shared" si="180"/>
        <v>0</v>
      </c>
      <c r="CL145" s="1577">
        <f t="shared" si="181"/>
        <v>0</v>
      </c>
      <c r="CM145" s="1576">
        <f t="shared" si="126"/>
        <v>0</v>
      </c>
      <c r="CN145" s="1495">
        <f t="shared" si="182"/>
        <v>0</v>
      </c>
      <c r="CO145" s="1577">
        <f t="shared" si="183"/>
        <v>0</v>
      </c>
      <c r="CP145" s="1576">
        <f t="shared" si="127"/>
        <v>0</v>
      </c>
      <c r="CQ145" s="1495">
        <f t="shared" si="184"/>
        <v>0</v>
      </c>
      <c r="CR145" s="1577">
        <f t="shared" si="185"/>
        <v>0</v>
      </c>
      <c r="CS145" s="1576">
        <f t="shared" si="128"/>
        <v>0</v>
      </c>
      <c r="CT145" s="1495">
        <f t="shared" si="186"/>
        <v>0</v>
      </c>
      <c r="CU145" s="1577">
        <f t="shared" si="187"/>
        <v>0</v>
      </c>
      <c r="CV145" s="1576">
        <f t="shared" si="129"/>
        <v>0</v>
      </c>
      <c r="CW145" s="1495">
        <f t="shared" si="188"/>
        <v>0</v>
      </c>
      <c r="CX145" s="1577">
        <f t="shared" si="189"/>
        <v>0</v>
      </c>
      <c r="CY145" s="1576">
        <f t="shared" si="130"/>
        <v>0</v>
      </c>
      <c r="CZ145" s="1574">
        <f t="shared" si="131"/>
        <v>0</v>
      </c>
      <c r="DA145" s="1578">
        <f t="shared" si="133"/>
        <v>0</v>
      </c>
      <c r="DB145" s="1579">
        <f t="shared" si="134"/>
        <v>0</v>
      </c>
      <c r="DC145" s="1578">
        <f t="shared" si="135"/>
        <v>0</v>
      </c>
      <c r="DD145" s="1578">
        <f t="shared" si="135"/>
        <v>0</v>
      </c>
      <c r="DE145" s="1578">
        <f t="shared" si="135"/>
        <v>0</v>
      </c>
      <c r="DF145" s="1578">
        <f t="shared" si="136"/>
        <v>0</v>
      </c>
      <c r="DG145" s="1420"/>
      <c r="DH145" s="1420"/>
    </row>
    <row r="146" spans="1:112" ht="15" customHeight="1">
      <c r="A146" s="1587"/>
      <c r="B146" s="1600" t="s">
        <v>881</v>
      </c>
      <c r="C146" s="1723"/>
      <c r="D146" s="1724">
        <f t="shared" si="190"/>
        <v>0</v>
      </c>
      <c r="G146" s="1475"/>
      <c r="H146" s="1600" t="s">
        <v>881</v>
      </c>
      <c r="I146" s="1723"/>
      <c r="J146" s="1601">
        <f t="shared" si="191"/>
        <v>0</v>
      </c>
      <c r="K146" s="1475"/>
      <c r="L146" s="1475"/>
      <c r="M146" s="1475"/>
      <c r="O146" s="1440" t="s">
        <v>1210</v>
      </c>
      <c r="P146" s="1436">
        <f t="shared" si="192"/>
        <v>0</v>
      </c>
      <c r="Q146" s="1726">
        <f t="shared" si="193"/>
        <v>0</v>
      </c>
      <c r="R146" s="1436">
        <f t="shared" si="194"/>
        <v>0</v>
      </c>
      <c r="S146" s="1436">
        <f t="shared" si="195"/>
        <v>0</v>
      </c>
      <c r="T146" s="1436">
        <f t="shared" si="196"/>
        <v>0</v>
      </c>
      <c r="V146" s="1727">
        <f t="shared" si="200"/>
        <v>0</v>
      </c>
      <c r="W146" s="1728">
        <f t="shared" si="201"/>
        <v>0</v>
      </c>
      <c r="X146" s="1434">
        <f t="shared" si="197"/>
        <v>0</v>
      </c>
      <c r="Y146" s="1434">
        <f t="shared" si="198"/>
        <v>0</v>
      </c>
      <c r="Z146" s="1434">
        <f t="shared" si="199"/>
        <v>0</v>
      </c>
      <c r="BD146" s="1592"/>
      <c r="BE146" s="1571" t="s">
        <v>1212</v>
      </c>
      <c r="BF146" s="1436">
        <v>21</v>
      </c>
      <c r="BG146" s="1436">
        <v>7</v>
      </c>
      <c r="BH146" s="1436">
        <v>5</v>
      </c>
      <c r="BI146" s="1495" t="b">
        <f t="shared" si="132"/>
        <v>1</v>
      </c>
      <c r="BJ146" s="1450" t="b">
        <f t="shared" si="164"/>
        <v>0</v>
      </c>
      <c r="BK146" s="1572">
        <f t="shared" si="165"/>
        <v>0</v>
      </c>
      <c r="BL146" s="1581">
        <f>IF(SUM(BL$140:BL145,BK146)&gt;$BN$4,0,BK146)</f>
        <v>0</v>
      </c>
      <c r="BM146" s="1436">
        <f t="shared" si="117"/>
        <v>0</v>
      </c>
      <c r="BN146" s="1495">
        <f t="shared" si="118"/>
        <v>0</v>
      </c>
      <c r="BO146" s="1437">
        <f t="shared" si="137"/>
        <v>0</v>
      </c>
      <c r="BP146" s="1574">
        <f t="shared" si="166"/>
        <v>0</v>
      </c>
      <c r="BQ146" s="1577">
        <f t="shared" si="167"/>
        <v>0</v>
      </c>
      <c r="BR146" s="1576">
        <f t="shared" si="119"/>
        <v>0</v>
      </c>
      <c r="BS146" s="1574">
        <f t="shared" si="168"/>
        <v>0</v>
      </c>
      <c r="BT146" s="1577">
        <f t="shared" si="169"/>
        <v>0</v>
      </c>
      <c r="BU146" s="1576">
        <f t="shared" si="120"/>
        <v>0</v>
      </c>
      <c r="BV146" s="1574">
        <f t="shared" si="170"/>
        <v>0</v>
      </c>
      <c r="BW146" s="1577">
        <f t="shared" si="171"/>
        <v>0</v>
      </c>
      <c r="BX146" s="1576">
        <f t="shared" si="121"/>
        <v>0</v>
      </c>
      <c r="BY146" s="1574">
        <f t="shared" si="172"/>
        <v>0</v>
      </c>
      <c r="BZ146" s="1577">
        <f t="shared" si="173"/>
        <v>0</v>
      </c>
      <c r="CA146" s="1576">
        <f t="shared" si="122"/>
        <v>0</v>
      </c>
      <c r="CB146" s="1495">
        <f t="shared" si="174"/>
        <v>0</v>
      </c>
      <c r="CC146" s="1577">
        <f t="shared" si="175"/>
        <v>0</v>
      </c>
      <c r="CD146" s="1576">
        <f t="shared" si="123"/>
        <v>0</v>
      </c>
      <c r="CE146" s="1495">
        <f t="shared" si="176"/>
        <v>0</v>
      </c>
      <c r="CF146" s="1577">
        <f t="shared" si="177"/>
        <v>0</v>
      </c>
      <c r="CG146" s="1576">
        <f t="shared" si="124"/>
        <v>0</v>
      </c>
      <c r="CH146" s="1495">
        <f t="shared" si="178"/>
        <v>0</v>
      </c>
      <c r="CI146" s="1577">
        <f t="shared" si="179"/>
        <v>0</v>
      </c>
      <c r="CJ146" s="1576">
        <f t="shared" si="125"/>
        <v>0</v>
      </c>
      <c r="CK146" s="1495">
        <f t="shared" si="180"/>
        <v>0</v>
      </c>
      <c r="CL146" s="1577">
        <f t="shared" si="181"/>
        <v>0</v>
      </c>
      <c r="CM146" s="1576">
        <f t="shared" si="126"/>
        <v>0</v>
      </c>
      <c r="CN146" s="1495">
        <f t="shared" si="182"/>
        <v>0</v>
      </c>
      <c r="CO146" s="1577">
        <f t="shared" si="183"/>
        <v>0</v>
      </c>
      <c r="CP146" s="1576">
        <f t="shared" si="127"/>
        <v>0</v>
      </c>
      <c r="CQ146" s="1495">
        <f t="shared" si="184"/>
        <v>0</v>
      </c>
      <c r="CR146" s="1577">
        <f t="shared" si="185"/>
        <v>0</v>
      </c>
      <c r="CS146" s="1576">
        <f t="shared" si="128"/>
        <v>0</v>
      </c>
      <c r="CT146" s="1495">
        <f t="shared" si="186"/>
        <v>0</v>
      </c>
      <c r="CU146" s="1577">
        <f t="shared" si="187"/>
        <v>0</v>
      </c>
      <c r="CV146" s="1576">
        <f t="shared" si="129"/>
        <v>0</v>
      </c>
      <c r="CW146" s="1495">
        <f t="shared" si="188"/>
        <v>0</v>
      </c>
      <c r="CX146" s="1577">
        <f t="shared" si="189"/>
        <v>0</v>
      </c>
      <c r="CY146" s="1576">
        <f t="shared" si="130"/>
        <v>0</v>
      </c>
      <c r="CZ146" s="1574">
        <f t="shared" si="131"/>
        <v>0</v>
      </c>
      <c r="DA146" s="1578">
        <f t="shared" si="133"/>
        <v>0</v>
      </c>
      <c r="DB146" s="1579">
        <f t="shared" si="134"/>
        <v>0</v>
      </c>
      <c r="DC146" s="1578">
        <f t="shared" si="135"/>
        <v>0</v>
      </c>
      <c r="DD146" s="1578">
        <f t="shared" si="135"/>
        <v>0</v>
      </c>
      <c r="DE146" s="1578">
        <f t="shared" si="135"/>
        <v>0</v>
      </c>
      <c r="DF146" s="1578">
        <f t="shared" si="136"/>
        <v>0</v>
      </c>
      <c r="DG146" s="1420"/>
      <c r="DH146" s="1420"/>
    </row>
    <row r="147" spans="1:112" ht="15" customHeight="1">
      <c r="A147" s="1636"/>
      <c r="B147" s="1600" t="s">
        <v>882</v>
      </c>
      <c r="C147" s="1723"/>
      <c r="D147" s="1724">
        <f t="shared" si="190"/>
        <v>0</v>
      </c>
      <c r="E147" s="1475"/>
      <c r="F147" s="1475"/>
      <c r="G147" s="1592"/>
      <c r="H147" s="1600" t="s">
        <v>882</v>
      </c>
      <c r="I147" s="1723"/>
      <c r="J147" s="1601">
        <f t="shared" si="191"/>
        <v>0</v>
      </c>
      <c r="K147" s="1592"/>
      <c r="L147" s="1592"/>
      <c r="M147" s="1475"/>
      <c r="O147" s="1440" t="s">
        <v>1211</v>
      </c>
      <c r="P147" s="1436">
        <f t="shared" si="192"/>
        <v>0</v>
      </c>
      <c r="Q147" s="1726">
        <f t="shared" si="193"/>
        <v>0</v>
      </c>
      <c r="R147" s="1436">
        <f t="shared" si="194"/>
        <v>0</v>
      </c>
      <c r="S147" s="1436">
        <f t="shared" si="195"/>
        <v>0</v>
      </c>
      <c r="T147" s="1436">
        <f t="shared" si="196"/>
        <v>0</v>
      </c>
      <c r="V147" s="1727">
        <f t="shared" si="200"/>
        <v>0</v>
      </c>
      <c r="W147" s="1728">
        <f t="shared" si="201"/>
        <v>0</v>
      </c>
      <c r="X147" s="1434">
        <f t="shared" si="197"/>
        <v>0</v>
      </c>
      <c r="Y147" s="1434">
        <f t="shared" si="198"/>
        <v>0</v>
      </c>
      <c r="Z147" s="1434">
        <f t="shared" si="199"/>
        <v>0</v>
      </c>
      <c r="BD147" s="1592"/>
      <c r="BE147" s="1571" t="s">
        <v>1212</v>
      </c>
      <c r="BF147" s="1436">
        <v>21</v>
      </c>
      <c r="BG147" s="1436">
        <v>8</v>
      </c>
      <c r="BH147" s="1436">
        <v>6</v>
      </c>
      <c r="BI147" s="1495" t="b">
        <f t="shared" si="132"/>
        <v>0</v>
      </c>
      <c r="BJ147" s="1450" t="b">
        <f t="shared" si="164"/>
        <v>0</v>
      </c>
      <c r="BK147" s="1572">
        <f t="shared" si="165"/>
        <v>0</v>
      </c>
      <c r="BL147" s="1581">
        <f>IF(SUM(BL$140:BL146,BK147)&gt;$BN$4,0,BK147)</f>
        <v>0</v>
      </c>
      <c r="BM147" s="1436">
        <f t="shared" si="117"/>
        <v>0</v>
      </c>
      <c r="BN147" s="1495">
        <f t="shared" si="118"/>
        <v>0</v>
      </c>
      <c r="BO147" s="1437">
        <f t="shared" si="137"/>
        <v>0</v>
      </c>
      <c r="BP147" s="1574">
        <f t="shared" si="166"/>
        <v>0</v>
      </c>
      <c r="BQ147" s="1577">
        <f t="shared" si="167"/>
        <v>0</v>
      </c>
      <c r="BR147" s="1576">
        <f t="shared" si="119"/>
        <v>0</v>
      </c>
      <c r="BS147" s="1574">
        <f t="shared" si="168"/>
        <v>0</v>
      </c>
      <c r="BT147" s="1577">
        <f t="shared" si="169"/>
        <v>0</v>
      </c>
      <c r="BU147" s="1576">
        <f t="shared" si="120"/>
        <v>0</v>
      </c>
      <c r="BV147" s="1574">
        <f t="shared" si="170"/>
        <v>0</v>
      </c>
      <c r="BW147" s="1577">
        <f t="shared" si="171"/>
        <v>0</v>
      </c>
      <c r="BX147" s="1576">
        <f t="shared" si="121"/>
        <v>0</v>
      </c>
      <c r="BY147" s="1574">
        <f t="shared" si="172"/>
        <v>0</v>
      </c>
      <c r="BZ147" s="1577">
        <f t="shared" si="173"/>
        <v>0</v>
      </c>
      <c r="CA147" s="1576">
        <f t="shared" si="122"/>
        <v>0</v>
      </c>
      <c r="CB147" s="1495">
        <f t="shared" si="174"/>
        <v>0</v>
      </c>
      <c r="CC147" s="1577">
        <f t="shared" si="175"/>
        <v>0</v>
      </c>
      <c r="CD147" s="1576">
        <f t="shared" si="123"/>
        <v>0</v>
      </c>
      <c r="CE147" s="1495">
        <f t="shared" si="176"/>
        <v>0</v>
      </c>
      <c r="CF147" s="1577">
        <f t="shared" si="177"/>
        <v>0</v>
      </c>
      <c r="CG147" s="1576">
        <f t="shared" si="124"/>
        <v>0</v>
      </c>
      <c r="CH147" s="1495">
        <f t="shared" si="178"/>
        <v>0</v>
      </c>
      <c r="CI147" s="1577">
        <f t="shared" si="179"/>
        <v>0</v>
      </c>
      <c r="CJ147" s="1576">
        <f t="shared" si="125"/>
        <v>0</v>
      </c>
      <c r="CK147" s="1495">
        <f t="shared" si="180"/>
        <v>0</v>
      </c>
      <c r="CL147" s="1577">
        <f t="shared" si="181"/>
        <v>0</v>
      </c>
      <c r="CM147" s="1576">
        <f t="shared" si="126"/>
        <v>0</v>
      </c>
      <c r="CN147" s="1495">
        <f t="shared" si="182"/>
        <v>0</v>
      </c>
      <c r="CO147" s="1577">
        <f t="shared" si="183"/>
        <v>0</v>
      </c>
      <c r="CP147" s="1576">
        <f t="shared" si="127"/>
        <v>0</v>
      </c>
      <c r="CQ147" s="1495">
        <f t="shared" si="184"/>
        <v>0</v>
      </c>
      <c r="CR147" s="1577">
        <f t="shared" si="185"/>
        <v>0</v>
      </c>
      <c r="CS147" s="1576">
        <f t="shared" si="128"/>
        <v>0</v>
      </c>
      <c r="CT147" s="1495">
        <f t="shared" si="186"/>
        <v>0</v>
      </c>
      <c r="CU147" s="1577">
        <f t="shared" si="187"/>
        <v>0</v>
      </c>
      <c r="CV147" s="1576">
        <f t="shared" si="129"/>
        <v>0</v>
      </c>
      <c r="CW147" s="1495">
        <f t="shared" si="188"/>
        <v>0</v>
      </c>
      <c r="CX147" s="1577">
        <f t="shared" si="189"/>
        <v>0</v>
      </c>
      <c r="CY147" s="1576">
        <f t="shared" si="130"/>
        <v>0</v>
      </c>
      <c r="CZ147" s="1574">
        <f t="shared" si="131"/>
        <v>0</v>
      </c>
      <c r="DA147" s="1578">
        <f t="shared" si="133"/>
        <v>0</v>
      </c>
      <c r="DB147" s="1579">
        <f t="shared" si="134"/>
        <v>0</v>
      </c>
      <c r="DC147" s="1578">
        <f t="shared" si="135"/>
        <v>0</v>
      </c>
      <c r="DD147" s="1578">
        <f t="shared" si="135"/>
        <v>0</v>
      </c>
      <c r="DE147" s="1578">
        <f t="shared" si="135"/>
        <v>0</v>
      </c>
      <c r="DF147" s="1578">
        <f t="shared" si="136"/>
        <v>0</v>
      </c>
      <c r="DG147" s="1420"/>
      <c r="DH147" s="1420"/>
    </row>
    <row r="148" spans="1:112" ht="15" customHeight="1">
      <c r="A148" s="1587"/>
      <c r="B148" s="1600" t="s">
        <v>1212</v>
      </c>
      <c r="C148" s="1723"/>
      <c r="D148" s="1724">
        <f t="shared" si="190"/>
        <v>0</v>
      </c>
      <c r="H148" s="1600" t="s">
        <v>1212</v>
      </c>
      <c r="I148" s="1723"/>
      <c r="J148" s="1601">
        <f t="shared" si="191"/>
        <v>0</v>
      </c>
      <c r="K148" s="1592"/>
      <c r="L148" s="1592"/>
      <c r="M148" s="1475"/>
      <c r="O148" s="1440" t="s">
        <v>1212</v>
      </c>
      <c r="P148" s="1436">
        <f t="shared" si="192"/>
        <v>0</v>
      </c>
      <c r="Q148" s="1726">
        <f t="shared" si="193"/>
        <v>0</v>
      </c>
      <c r="R148" s="1436">
        <f t="shared" si="194"/>
        <v>0</v>
      </c>
      <c r="S148" s="1436">
        <f t="shared" si="195"/>
        <v>0</v>
      </c>
      <c r="T148" s="1436">
        <f t="shared" si="196"/>
        <v>0</v>
      </c>
      <c r="V148" s="1727">
        <f t="shared" si="200"/>
        <v>0</v>
      </c>
      <c r="W148" s="1728">
        <f t="shared" si="201"/>
        <v>0</v>
      </c>
      <c r="X148" s="1434">
        <f t="shared" si="197"/>
        <v>0</v>
      </c>
      <c r="Y148" s="1434">
        <f t="shared" si="198"/>
        <v>0</v>
      </c>
      <c r="Z148" s="1434">
        <f t="shared" si="199"/>
        <v>0</v>
      </c>
      <c r="BD148" s="1592"/>
      <c r="BE148" s="1571" t="s">
        <v>1212</v>
      </c>
      <c r="BF148" s="1436">
        <v>21</v>
      </c>
      <c r="BG148" s="1436">
        <v>9</v>
      </c>
      <c r="BH148" s="1436">
        <v>7</v>
      </c>
      <c r="BI148" s="1495" t="b">
        <f t="shared" si="132"/>
        <v>0</v>
      </c>
      <c r="BJ148" s="1450" t="b">
        <f t="shared" si="164"/>
        <v>0</v>
      </c>
      <c r="BK148" s="1572">
        <f t="shared" si="165"/>
        <v>0</v>
      </c>
      <c r="BL148" s="1581">
        <f>IF(SUM(BL$140:BL147,BK148)&gt;$BN$4,0,BK148)</f>
        <v>0</v>
      </c>
      <c r="BM148" s="1436">
        <f t="shared" ref="BM148:BM211" si="202">BL148*$BJ$13</f>
        <v>0</v>
      </c>
      <c r="BN148" s="1495">
        <f t="shared" ref="BN148:BN211" si="203">$BJ$14*(BL148&gt;0)</f>
        <v>0</v>
      </c>
      <c r="BO148" s="1437">
        <f t="shared" si="137"/>
        <v>0</v>
      </c>
      <c r="BP148" s="1574">
        <f t="shared" si="166"/>
        <v>0</v>
      </c>
      <c r="BQ148" s="1577">
        <f t="shared" si="167"/>
        <v>0</v>
      </c>
      <c r="BR148" s="1576">
        <f t="shared" ref="BR148:BR211" si="204">IF(BP148-(BQ148*$BR$17)&gt;0,BP148-(BQ148*$BR$17),0)</f>
        <v>0</v>
      </c>
      <c r="BS148" s="1574">
        <f t="shared" si="168"/>
        <v>0</v>
      </c>
      <c r="BT148" s="1577">
        <f t="shared" si="169"/>
        <v>0</v>
      </c>
      <c r="BU148" s="1576">
        <f t="shared" ref="BU148:BU211" si="205">IF(BS148-(BT148*BU$17)&gt;0,BS148-(BT148*BU$17),0)</f>
        <v>0</v>
      </c>
      <c r="BV148" s="1574">
        <f t="shared" si="170"/>
        <v>0</v>
      </c>
      <c r="BW148" s="1577">
        <f t="shared" si="171"/>
        <v>0</v>
      </c>
      <c r="BX148" s="1576">
        <f t="shared" ref="BX148:BX211" si="206">IF(BV148-(BW148*BX$17)&gt;0,BV148-(BW148*BX$17),0)</f>
        <v>0</v>
      </c>
      <c r="BY148" s="1574">
        <f t="shared" si="172"/>
        <v>0</v>
      </c>
      <c r="BZ148" s="1577">
        <f t="shared" si="173"/>
        <v>0</v>
      </c>
      <c r="CA148" s="1576">
        <f t="shared" ref="CA148:CA211" si="207">IF(BY148-(BZ148*CA$17)&gt;0,BY148-(BZ148*CA$17),0)</f>
        <v>0</v>
      </c>
      <c r="CB148" s="1495">
        <f t="shared" si="174"/>
        <v>0</v>
      </c>
      <c r="CC148" s="1577">
        <f t="shared" si="175"/>
        <v>0</v>
      </c>
      <c r="CD148" s="1576">
        <f t="shared" ref="CD148:CD211" si="208">IF(CB148-(CC148*CD$17)&gt;0,CB148-(CC148*CD$17),0)</f>
        <v>0</v>
      </c>
      <c r="CE148" s="1495">
        <f t="shared" si="176"/>
        <v>0</v>
      </c>
      <c r="CF148" s="1577">
        <f t="shared" si="177"/>
        <v>0</v>
      </c>
      <c r="CG148" s="1576">
        <f t="shared" ref="CG148:CG211" si="209">IF(CE148-(CF148*CG$17)&gt;0,CE148-(CF148*CG$17),0)</f>
        <v>0</v>
      </c>
      <c r="CH148" s="1495">
        <f t="shared" si="178"/>
        <v>0</v>
      </c>
      <c r="CI148" s="1577">
        <f t="shared" si="179"/>
        <v>0</v>
      </c>
      <c r="CJ148" s="1576">
        <f t="shared" ref="CJ148:CJ211" si="210">IF(CH148-(CI148*CJ$17)&gt;0,CH148-(CI148*CJ$17),0)</f>
        <v>0</v>
      </c>
      <c r="CK148" s="1495">
        <f t="shared" si="180"/>
        <v>0</v>
      </c>
      <c r="CL148" s="1577">
        <f t="shared" si="181"/>
        <v>0</v>
      </c>
      <c r="CM148" s="1576">
        <f t="shared" ref="CM148:CM211" si="211">IF(CK148-(CL148*CM$17)&gt;0,CK148-(CL148*CM$17),0)</f>
        <v>0</v>
      </c>
      <c r="CN148" s="1495">
        <f t="shared" si="182"/>
        <v>0</v>
      </c>
      <c r="CO148" s="1577">
        <f t="shared" si="183"/>
        <v>0</v>
      </c>
      <c r="CP148" s="1576">
        <f t="shared" ref="CP148:CP211" si="212">IF(CN148-(CO148*CP$17)&gt;0,CN148-(CO148*CP$17),0)</f>
        <v>0</v>
      </c>
      <c r="CQ148" s="1495">
        <f t="shared" si="184"/>
        <v>0</v>
      </c>
      <c r="CR148" s="1577">
        <f t="shared" si="185"/>
        <v>0</v>
      </c>
      <c r="CS148" s="1576">
        <f t="shared" ref="CS148:CS211" si="213">IF(CQ148-(CR148*CS$17)&gt;0,CQ148-(CR148*CS$17),0)</f>
        <v>0</v>
      </c>
      <c r="CT148" s="1495">
        <f t="shared" si="186"/>
        <v>0</v>
      </c>
      <c r="CU148" s="1577">
        <f t="shared" si="187"/>
        <v>0</v>
      </c>
      <c r="CV148" s="1576">
        <f t="shared" ref="CV148:CV211" si="214">IF(CT148-(CU148*CV$17)&gt;0,CT148-(CU148*CV$17),0)</f>
        <v>0</v>
      </c>
      <c r="CW148" s="1495">
        <f t="shared" si="188"/>
        <v>0</v>
      </c>
      <c r="CX148" s="1577">
        <f t="shared" si="189"/>
        <v>0</v>
      </c>
      <c r="CY148" s="1576">
        <f t="shared" ref="CY148:CY211" si="215">IF(CW148-(CX148*CY$17)&gt;0,CW148-(CX148*CY$17),0)</f>
        <v>0</v>
      </c>
      <c r="CZ148" s="1574">
        <f t="shared" ref="CZ148:CZ211" si="216">BO148</f>
        <v>0</v>
      </c>
      <c r="DA148" s="1578">
        <f t="shared" si="133"/>
        <v>0</v>
      </c>
      <c r="DB148" s="1579">
        <f t="shared" si="134"/>
        <v>0</v>
      </c>
      <c r="DC148" s="1578">
        <f t="shared" si="135"/>
        <v>0</v>
      </c>
      <c r="DD148" s="1578">
        <f t="shared" si="135"/>
        <v>0</v>
      </c>
      <c r="DE148" s="1578">
        <f t="shared" si="135"/>
        <v>0</v>
      </c>
      <c r="DF148" s="1578">
        <f t="shared" si="136"/>
        <v>0</v>
      </c>
      <c r="DG148" s="1420"/>
      <c r="DH148" s="1420"/>
    </row>
    <row r="149" spans="1:112" ht="15" customHeight="1">
      <c r="A149" s="1587"/>
      <c r="B149" s="1600" t="s">
        <v>883</v>
      </c>
      <c r="C149" s="1723"/>
      <c r="D149" s="1724">
        <f t="shared" si="190"/>
        <v>0</v>
      </c>
      <c r="H149" s="1600" t="s">
        <v>883</v>
      </c>
      <c r="I149" s="1723"/>
      <c r="J149" s="1601">
        <f t="shared" si="191"/>
        <v>0</v>
      </c>
      <c r="K149" s="1592"/>
      <c r="L149" s="1592"/>
      <c r="M149" s="1475"/>
      <c r="O149" s="1440" t="s">
        <v>1213</v>
      </c>
      <c r="P149" s="1436">
        <f t="shared" si="192"/>
        <v>0</v>
      </c>
      <c r="Q149" s="1726">
        <f t="shared" si="193"/>
        <v>0</v>
      </c>
      <c r="R149" s="1436">
        <f t="shared" si="194"/>
        <v>0</v>
      </c>
      <c r="S149" s="1436">
        <f t="shared" si="195"/>
        <v>0</v>
      </c>
      <c r="T149" s="1436">
        <f t="shared" si="196"/>
        <v>0</v>
      </c>
      <c r="V149" s="1727">
        <f t="shared" si="200"/>
        <v>0</v>
      </c>
      <c r="W149" s="1728">
        <f t="shared" si="201"/>
        <v>0</v>
      </c>
      <c r="X149" s="1434">
        <f t="shared" si="197"/>
        <v>0</v>
      </c>
      <c r="Y149" s="1434">
        <f t="shared" si="198"/>
        <v>0</v>
      </c>
      <c r="Z149" s="1434">
        <f t="shared" si="199"/>
        <v>0</v>
      </c>
      <c r="BD149" s="1592"/>
      <c r="BE149" s="1571" t="s">
        <v>1212</v>
      </c>
      <c r="BF149" s="1436">
        <v>21</v>
      </c>
      <c r="BG149" s="1436">
        <v>10</v>
      </c>
      <c r="BH149" s="1436">
        <v>1</v>
      </c>
      <c r="BI149" s="1495" t="b">
        <f t="shared" ref="BI149:BI212" si="217">BH149&lt;=5</f>
        <v>1</v>
      </c>
      <c r="BJ149" s="1450" t="b">
        <f t="shared" si="164"/>
        <v>0</v>
      </c>
      <c r="BK149" s="1572">
        <f t="shared" si="165"/>
        <v>0</v>
      </c>
      <c r="BL149" s="1581">
        <f>IF(SUM(BL$140:BL148,BK149)&gt;$BN$4,0,BK149)</f>
        <v>0</v>
      </c>
      <c r="BM149" s="1436">
        <f t="shared" si="202"/>
        <v>0</v>
      </c>
      <c r="BN149" s="1495">
        <f t="shared" si="203"/>
        <v>0</v>
      </c>
      <c r="BO149" s="1437">
        <f t="shared" si="137"/>
        <v>0</v>
      </c>
      <c r="BP149" s="1574">
        <f t="shared" si="166"/>
        <v>0</v>
      </c>
      <c r="BQ149" s="1577">
        <f t="shared" si="167"/>
        <v>0</v>
      </c>
      <c r="BR149" s="1576">
        <f t="shared" si="204"/>
        <v>0</v>
      </c>
      <c r="BS149" s="1574">
        <f t="shared" si="168"/>
        <v>0</v>
      </c>
      <c r="BT149" s="1577">
        <f t="shared" si="169"/>
        <v>0</v>
      </c>
      <c r="BU149" s="1576">
        <f t="shared" si="205"/>
        <v>0</v>
      </c>
      <c r="BV149" s="1574">
        <f t="shared" si="170"/>
        <v>0</v>
      </c>
      <c r="BW149" s="1577">
        <f t="shared" si="171"/>
        <v>0</v>
      </c>
      <c r="BX149" s="1576">
        <f t="shared" si="206"/>
        <v>0</v>
      </c>
      <c r="BY149" s="1574">
        <f t="shared" si="172"/>
        <v>0</v>
      </c>
      <c r="BZ149" s="1577">
        <f t="shared" si="173"/>
        <v>0</v>
      </c>
      <c r="CA149" s="1576">
        <f t="shared" si="207"/>
        <v>0</v>
      </c>
      <c r="CB149" s="1495">
        <f t="shared" si="174"/>
        <v>0</v>
      </c>
      <c r="CC149" s="1577">
        <f t="shared" si="175"/>
        <v>0</v>
      </c>
      <c r="CD149" s="1576">
        <f t="shared" si="208"/>
        <v>0</v>
      </c>
      <c r="CE149" s="1495">
        <f t="shared" si="176"/>
        <v>0</v>
      </c>
      <c r="CF149" s="1577">
        <f t="shared" si="177"/>
        <v>0</v>
      </c>
      <c r="CG149" s="1576">
        <f t="shared" si="209"/>
        <v>0</v>
      </c>
      <c r="CH149" s="1495">
        <f t="shared" si="178"/>
        <v>0</v>
      </c>
      <c r="CI149" s="1577">
        <f t="shared" si="179"/>
        <v>0</v>
      </c>
      <c r="CJ149" s="1576">
        <f t="shared" si="210"/>
        <v>0</v>
      </c>
      <c r="CK149" s="1495">
        <f t="shared" si="180"/>
        <v>0</v>
      </c>
      <c r="CL149" s="1577">
        <f t="shared" si="181"/>
        <v>0</v>
      </c>
      <c r="CM149" s="1576">
        <f t="shared" si="211"/>
        <v>0</v>
      </c>
      <c r="CN149" s="1495">
        <f t="shared" si="182"/>
        <v>0</v>
      </c>
      <c r="CO149" s="1577">
        <f t="shared" si="183"/>
        <v>0</v>
      </c>
      <c r="CP149" s="1576">
        <f t="shared" si="212"/>
        <v>0</v>
      </c>
      <c r="CQ149" s="1495">
        <f t="shared" si="184"/>
        <v>0</v>
      </c>
      <c r="CR149" s="1577">
        <f t="shared" si="185"/>
        <v>0</v>
      </c>
      <c r="CS149" s="1576">
        <f t="shared" si="213"/>
        <v>0</v>
      </c>
      <c r="CT149" s="1495">
        <f t="shared" si="186"/>
        <v>0</v>
      </c>
      <c r="CU149" s="1577">
        <f t="shared" si="187"/>
        <v>0</v>
      </c>
      <c r="CV149" s="1576">
        <f t="shared" si="214"/>
        <v>0</v>
      </c>
      <c r="CW149" s="1495">
        <f t="shared" si="188"/>
        <v>0</v>
      </c>
      <c r="CX149" s="1577">
        <f t="shared" si="189"/>
        <v>0</v>
      </c>
      <c r="CY149" s="1576">
        <f t="shared" si="215"/>
        <v>0</v>
      </c>
      <c r="CZ149" s="1574">
        <f t="shared" si="216"/>
        <v>0</v>
      </c>
      <c r="DA149" s="1578">
        <f t="shared" ref="DA149:DA212" si="218">BR149+BU149+BX149+CA149+CD149+CG149+CJ149+CM149+CP149+CS149+CV149+CY149</f>
        <v>0</v>
      </c>
      <c r="DB149" s="1579">
        <f t="shared" ref="DB149:DB212" si="219">CZ149-DA149</f>
        <v>0</v>
      </c>
      <c r="DC149" s="1578">
        <f t="shared" ref="DC149:DE212" si="220">IF(DC148+$DB149&lt;0,0,IF(DC148+$DB149&gt;$F$405,$F$405,DC148+$DB149))</f>
        <v>0</v>
      </c>
      <c r="DD149" s="1578">
        <f t="shared" si="220"/>
        <v>0</v>
      </c>
      <c r="DE149" s="1578">
        <f t="shared" si="220"/>
        <v>0</v>
      </c>
      <c r="DF149" s="1578">
        <f t="shared" si="136"/>
        <v>0</v>
      </c>
      <c r="DG149" s="1420"/>
      <c r="DH149" s="1420"/>
    </row>
    <row r="150" spans="1:112" ht="15" customHeight="1">
      <c r="A150" s="1587"/>
      <c r="B150" s="1600" t="s">
        <v>884</v>
      </c>
      <c r="C150" s="1723"/>
      <c r="D150" s="1724">
        <f t="shared" si="190"/>
        <v>0</v>
      </c>
      <c r="H150" s="1600" t="s">
        <v>884</v>
      </c>
      <c r="I150" s="1723"/>
      <c r="J150" s="1601">
        <f t="shared" si="191"/>
        <v>0</v>
      </c>
      <c r="K150" s="1592"/>
      <c r="L150" s="1592"/>
      <c r="M150" s="1475"/>
      <c r="O150" s="1440" t="s">
        <v>1214</v>
      </c>
      <c r="P150" s="1436">
        <f t="shared" si="192"/>
        <v>0</v>
      </c>
      <c r="Q150" s="1726">
        <f t="shared" si="193"/>
        <v>0</v>
      </c>
      <c r="R150" s="1436">
        <f t="shared" si="194"/>
        <v>0</v>
      </c>
      <c r="S150" s="1436">
        <f t="shared" si="195"/>
        <v>0</v>
      </c>
      <c r="T150" s="1436">
        <f t="shared" si="196"/>
        <v>0</v>
      </c>
      <c r="V150" s="1727">
        <f t="shared" si="200"/>
        <v>0</v>
      </c>
      <c r="W150" s="1728">
        <f t="shared" si="201"/>
        <v>0</v>
      </c>
      <c r="X150" s="1434">
        <f t="shared" si="197"/>
        <v>0</v>
      </c>
      <c r="Y150" s="1434">
        <f t="shared" si="198"/>
        <v>0</v>
      </c>
      <c r="Z150" s="1434">
        <f t="shared" si="199"/>
        <v>0</v>
      </c>
      <c r="BD150" s="1592"/>
      <c r="BE150" s="1571" t="s">
        <v>1212</v>
      </c>
      <c r="BF150" s="1436">
        <v>21</v>
      </c>
      <c r="BG150" s="1436">
        <v>11</v>
      </c>
      <c r="BH150" s="1436">
        <v>2</v>
      </c>
      <c r="BI150" s="1495" t="b">
        <f t="shared" si="217"/>
        <v>1</v>
      </c>
      <c r="BJ150" s="1450" t="b">
        <f t="shared" si="164"/>
        <v>0</v>
      </c>
      <c r="BK150" s="1572">
        <f t="shared" si="165"/>
        <v>0</v>
      </c>
      <c r="BL150" s="1581">
        <f>IF(SUM(BL$140:BL149,BK150)&gt;$BN$4,0,BK150)</f>
        <v>0</v>
      </c>
      <c r="BM150" s="1436">
        <f t="shared" si="202"/>
        <v>0</v>
      </c>
      <c r="BN150" s="1495">
        <f t="shared" si="203"/>
        <v>0</v>
      </c>
      <c r="BO150" s="1437">
        <f t="shared" si="137"/>
        <v>0</v>
      </c>
      <c r="BP150" s="1574">
        <f t="shared" si="166"/>
        <v>0</v>
      </c>
      <c r="BQ150" s="1577">
        <f t="shared" si="167"/>
        <v>0</v>
      </c>
      <c r="BR150" s="1576">
        <f t="shared" si="204"/>
        <v>0</v>
      </c>
      <c r="BS150" s="1574">
        <f t="shared" si="168"/>
        <v>0</v>
      </c>
      <c r="BT150" s="1577">
        <f t="shared" si="169"/>
        <v>0</v>
      </c>
      <c r="BU150" s="1576">
        <f t="shared" si="205"/>
        <v>0</v>
      </c>
      <c r="BV150" s="1574">
        <f t="shared" si="170"/>
        <v>0</v>
      </c>
      <c r="BW150" s="1577">
        <f t="shared" si="171"/>
        <v>0</v>
      </c>
      <c r="BX150" s="1576">
        <f t="shared" si="206"/>
        <v>0</v>
      </c>
      <c r="BY150" s="1574">
        <f t="shared" si="172"/>
        <v>0</v>
      </c>
      <c r="BZ150" s="1577">
        <f t="shared" si="173"/>
        <v>0</v>
      </c>
      <c r="CA150" s="1576">
        <f t="shared" si="207"/>
        <v>0</v>
      </c>
      <c r="CB150" s="1495">
        <f t="shared" si="174"/>
        <v>0</v>
      </c>
      <c r="CC150" s="1577">
        <f t="shared" si="175"/>
        <v>0</v>
      </c>
      <c r="CD150" s="1576">
        <f t="shared" si="208"/>
        <v>0</v>
      </c>
      <c r="CE150" s="1495">
        <f t="shared" si="176"/>
        <v>0</v>
      </c>
      <c r="CF150" s="1577">
        <f t="shared" si="177"/>
        <v>0</v>
      </c>
      <c r="CG150" s="1576">
        <f t="shared" si="209"/>
        <v>0</v>
      </c>
      <c r="CH150" s="1495">
        <f t="shared" si="178"/>
        <v>0</v>
      </c>
      <c r="CI150" s="1577">
        <f t="shared" si="179"/>
        <v>0</v>
      </c>
      <c r="CJ150" s="1576">
        <f t="shared" si="210"/>
        <v>0</v>
      </c>
      <c r="CK150" s="1495">
        <f t="shared" si="180"/>
        <v>0</v>
      </c>
      <c r="CL150" s="1577">
        <f t="shared" si="181"/>
        <v>0</v>
      </c>
      <c r="CM150" s="1576">
        <f t="shared" si="211"/>
        <v>0</v>
      </c>
      <c r="CN150" s="1495">
        <f t="shared" si="182"/>
        <v>0</v>
      </c>
      <c r="CO150" s="1577">
        <f t="shared" si="183"/>
        <v>0</v>
      </c>
      <c r="CP150" s="1576">
        <f t="shared" si="212"/>
        <v>0</v>
      </c>
      <c r="CQ150" s="1495">
        <f t="shared" si="184"/>
        <v>0</v>
      </c>
      <c r="CR150" s="1577">
        <f t="shared" si="185"/>
        <v>0</v>
      </c>
      <c r="CS150" s="1576">
        <f t="shared" si="213"/>
        <v>0</v>
      </c>
      <c r="CT150" s="1495">
        <f t="shared" si="186"/>
        <v>0</v>
      </c>
      <c r="CU150" s="1577">
        <f t="shared" si="187"/>
        <v>0</v>
      </c>
      <c r="CV150" s="1576">
        <f t="shared" si="214"/>
        <v>0</v>
      </c>
      <c r="CW150" s="1495">
        <f t="shared" si="188"/>
        <v>0</v>
      </c>
      <c r="CX150" s="1577">
        <f t="shared" si="189"/>
        <v>0</v>
      </c>
      <c r="CY150" s="1576">
        <f t="shared" si="215"/>
        <v>0</v>
      </c>
      <c r="CZ150" s="1574">
        <f t="shared" si="216"/>
        <v>0</v>
      </c>
      <c r="DA150" s="1578">
        <f t="shared" si="218"/>
        <v>0</v>
      </c>
      <c r="DB150" s="1579">
        <f t="shared" si="219"/>
        <v>0</v>
      </c>
      <c r="DC150" s="1578">
        <f t="shared" si="220"/>
        <v>0</v>
      </c>
      <c r="DD150" s="1578">
        <f t="shared" si="220"/>
        <v>0</v>
      </c>
      <c r="DE150" s="1578">
        <f t="shared" si="220"/>
        <v>0</v>
      </c>
      <c r="DF150" s="1578">
        <f t="shared" ref="DF150:DF213" si="221">IF(DA150-(DE149+CZ150)&lt;0,0,DA150-(DE149+CZ150))</f>
        <v>0</v>
      </c>
      <c r="DG150" s="1420"/>
      <c r="DH150" s="1420"/>
    </row>
    <row r="151" spans="1:112" ht="15" customHeight="1">
      <c r="A151" s="1603"/>
      <c r="B151" s="1600" t="s">
        <v>885</v>
      </c>
      <c r="C151" s="1723"/>
      <c r="D151" s="1724">
        <f t="shared" si="190"/>
        <v>0</v>
      </c>
      <c r="H151" s="1600" t="s">
        <v>885</v>
      </c>
      <c r="I151" s="1723"/>
      <c r="J151" s="1601">
        <f t="shared" si="191"/>
        <v>0</v>
      </c>
      <c r="K151" s="1592"/>
      <c r="L151" s="1592"/>
      <c r="M151" s="1475"/>
      <c r="O151" s="1440" t="s">
        <v>1215</v>
      </c>
      <c r="P151" s="1436">
        <f t="shared" si="192"/>
        <v>0</v>
      </c>
      <c r="Q151" s="1726">
        <f t="shared" si="193"/>
        <v>0</v>
      </c>
      <c r="R151" s="1436">
        <f t="shared" si="194"/>
        <v>0</v>
      </c>
      <c r="S151" s="1436">
        <f t="shared" si="195"/>
        <v>0</v>
      </c>
      <c r="T151" s="1436">
        <f t="shared" si="196"/>
        <v>0</v>
      </c>
      <c r="V151" s="1727">
        <f t="shared" si="200"/>
        <v>0</v>
      </c>
      <c r="W151" s="1728">
        <f t="shared" si="201"/>
        <v>0</v>
      </c>
      <c r="X151" s="1434">
        <f t="shared" si="197"/>
        <v>0</v>
      </c>
      <c r="Y151" s="1434">
        <f t="shared" si="198"/>
        <v>0</v>
      </c>
      <c r="Z151" s="1434">
        <f t="shared" si="199"/>
        <v>0</v>
      </c>
      <c r="BD151" s="1592"/>
      <c r="BE151" s="1571" t="s">
        <v>1212</v>
      </c>
      <c r="BF151" s="1436">
        <v>21</v>
      </c>
      <c r="BG151" s="1436">
        <v>12</v>
      </c>
      <c r="BH151" s="1436">
        <v>3</v>
      </c>
      <c r="BI151" s="1495" t="b">
        <f t="shared" si="217"/>
        <v>1</v>
      </c>
      <c r="BJ151" s="1450" t="b">
        <f t="shared" si="164"/>
        <v>0</v>
      </c>
      <c r="BK151" s="1572">
        <f t="shared" si="165"/>
        <v>0</v>
      </c>
      <c r="BL151" s="1581">
        <f>IF(SUM(BL$140:BL150,BK151)&gt;$BN$4,0,BK151)</f>
        <v>0</v>
      </c>
      <c r="BM151" s="1436">
        <f t="shared" si="202"/>
        <v>0</v>
      </c>
      <c r="BN151" s="1495">
        <f t="shared" si="203"/>
        <v>0</v>
      </c>
      <c r="BO151" s="1437">
        <f t="shared" si="137"/>
        <v>0</v>
      </c>
      <c r="BP151" s="1574">
        <f t="shared" si="166"/>
        <v>0</v>
      </c>
      <c r="BQ151" s="1577">
        <f t="shared" si="167"/>
        <v>0</v>
      </c>
      <c r="BR151" s="1576">
        <f t="shared" si="204"/>
        <v>0</v>
      </c>
      <c r="BS151" s="1574">
        <f t="shared" si="168"/>
        <v>0</v>
      </c>
      <c r="BT151" s="1577">
        <f t="shared" si="169"/>
        <v>0</v>
      </c>
      <c r="BU151" s="1576">
        <f t="shared" si="205"/>
        <v>0</v>
      </c>
      <c r="BV151" s="1574">
        <f t="shared" si="170"/>
        <v>0</v>
      </c>
      <c r="BW151" s="1577">
        <f t="shared" si="171"/>
        <v>0</v>
      </c>
      <c r="BX151" s="1576">
        <f t="shared" si="206"/>
        <v>0</v>
      </c>
      <c r="BY151" s="1574">
        <f t="shared" si="172"/>
        <v>0</v>
      </c>
      <c r="BZ151" s="1577">
        <f t="shared" si="173"/>
        <v>0</v>
      </c>
      <c r="CA151" s="1576">
        <f t="shared" si="207"/>
        <v>0</v>
      </c>
      <c r="CB151" s="1495">
        <f t="shared" si="174"/>
        <v>0</v>
      </c>
      <c r="CC151" s="1577">
        <f t="shared" si="175"/>
        <v>0</v>
      </c>
      <c r="CD151" s="1576">
        <f t="shared" si="208"/>
        <v>0</v>
      </c>
      <c r="CE151" s="1495">
        <f t="shared" si="176"/>
        <v>0</v>
      </c>
      <c r="CF151" s="1577">
        <f t="shared" si="177"/>
        <v>0</v>
      </c>
      <c r="CG151" s="1576">
        <f t="shared" si="209"/>
        <v>0</v>
      </c>
      <c r="CH151" s="1495">
        <f t="shared" si="178"/>
        <v>0</v>
      </c>
      <c r="CI151" s="1577">
        <f t="shared" si="179"/>
        <v>0</v>
      </c>
      <c r="CJ151" s="1576">
        <f t="shared" si="210"/>
        <v>0</v>
      </c>
      <c r="CK151" s="1495">
        <f t="shared" si="180"/>
        <v>0</v>
      </c>
      <c r="CL151" s="1577">
        <f t="shared" si="181"/>
        <v>0</v>
      </c>
      <c r="CM151" s="1576">
        <f t="shared" si="211"/>
        <v>0</v>
      </c>
      <c r="CN151" s="1495">
        <f t="shared" si="182"/>
        <v>0</v>
      </c>
      <c r="CO151" s="1577">
        <f t="shared" si="183"/>
        <v>0</v>
      </c>
      <c r="CP151" s="1576">
        <f t="shared" si="212"/>
        <v>0</v>
      </c>
      <c r="CQ151" s="1495">
        <f t="shared" si="184"/>
        <v>0</v>
      </c>
      <c r="CR151" s="1577">
        <f t="shared" si="185"/>
        <v>0</v>
      </c>
      <c r="CS151" s="1576">
        <f t="shared" si="213"/>
        <v>0</v>
      </c>
      <c r="CT151" s="1495">
        <f t="shared" si="186"/>
        <v>0</v>
      </c>
      <c r="CU151" s="1577">
        <f t="shared" si="187"/>
        <v>0</v>
      </c>
      <c r="CV151" s="1576">
        <f t="shared" si="214"/>
        <v>0</v>
      </c>
      <c r="CW151" s="1495">
        <f t="shared" si="188"/>
        <v>0</v>
      </c>
      <c r="CX151" s="1577">
        <f t="shared" si="189"/>
        <v>0</v>
      </c>
      <c r="CY151" s="1576">
        <f t="shared" si="215"/>
        <v>0</v>
      </c>
      <c r="CZ151" s="1574">
        <f t="shared" si="216"/>
        <v>0</v>
      </c>
      <c r="DA151" s="1578">
        <f t="shared" si="218"/>
        <v>0</v>
      </c>
      <c r="DB151" s="1579">
        <f t="shared" si="219"/>
        <v>0</v>
      </c>
      <c r="DC151" s="1578">
        <f t="shared" si="220"/>
        <v>0</v>
      </c>
      <c r="DD151" s="1578">
        <f t="shared" si="220"/>
        <v>0</v>
      </c>
      <c r="DE151" s="1578">
        <f t="shared" si="220"/>
        <v>0</v>
      </c>
      <c r="DF151" s="1578">
        <f>IF(DA151-(DE150+CZ151)&lt;0,0,DA151-(DE150+CZ151))</f>
        <v>0</v>
      </c>
      <c r="DG151" s="1420"/>
      <c r="DH151" s="1420"/>
    </row>
    <row r="152" spans="1:112" ht="15" customHeight="1">
      <c r="A152" s="1603"/>
      <c r="B152" s="1600" t="s">
        <v>802</v>
      </c>
      <c r="C152" s="1723"/>
      <c r="D152" s="1724">
        <f t="shared" si="190"/>
        <v>0</v>
      </c>
      <c r="H152" s="1600" t="s">
        <v>802</v>
      </c>
      <c r="I152" s="1723"/>
      <c r="J152" s="1601">
        <f t="shared" si="191"/>
        <v>0</v>
      </c>
      <c r="K152" s="1592"/>
      <c r="L152" s="1592"/>
      <c r="M152" s="1475"/>
      <c r="O152" s="1440" t="s">
        <v>1216</v>
      </c>
      <c r="P152" s="1436">
        <f t="shared" si="192"/>
        <v>0</v>
      </c>
      <c r="Q152" s="1726">
        <f t="shared" si="193"/>
        <v>0</v>
      </c>
      <c r="R152" s="1436">
        <f t="shared" si="194"/>
        <v>0</v>
      </c>
      <c r="S152" s="1436">
        <f t="shared" si="195"/>
        <v>0</v>
      </c>
      <c r="T152" s="1436">
        <f t="shared" si="196"/>
        <v>0</v>
      </c>
      <c r="V152" s="1727">
        <f t="shared" si="200"/>
        <v>0</v>
      </c>
      <c r="W152" s="1728">
        <f t="shared" si="201"/>
        <v>0</v>
      </c>
      <c r="X152" s="1434">
        <f t="shared" si="197"/>
        <v>0</v>
      </c>
      <c r="Y152" s="1434">
        <f t="shared" si="198"/>
        <v>0</v>
      </c>
      <c r="Z152" s="1434">
        <f t="shared" si="199"/>
        <v>0</v>
      </c>
      <c r="BD152" s="1592"/>
      <c r="BE152" s="1571" t="s">
        <v>1212</v>
      </c>
      <c r="BF152" s="1436">
        <v>21</v>
      </c>
      <c r="BG152" s="1436">
        <v>13</v>
      </c>
      <c r="BH152" s="1436">
        <v>4</v>
      </c>
      <c r="BI152" s="1495" t="b">
        <f t="shared" si="217"/>
        <v>1</v>
      </c>
      <c r="BJ152" s="1450" t="b">
        <f t="shared" si="164"/>
        <v>0</v>
      </c>
      <c r="BK152" s="1572">
        <f t="shared" si="165"/>
        <v>0</v>
      </c>
      <c r="BL152" s="1581">
        <f>IF(SUM(BL$140:BL151,BK152)&gt;$BN$4,0,BK152)</f>
        <v>0</v>
      </c>
      <c r="BM152" s="1436">
        <f t="shared" si="202"/>
        <v>0</v>
      </c>
      <c r="BN152" s="1495">
        <f t="shared" si="203"/>
        <v>0</v>
      </c>
      <c r="BO152" s="1437">
        <f t="shared" si="137"/>
        <v>0</v>
      </c>
      <c r="BP152" s="1574">
        <f t="shared" si="166"/>
        <v>0</v>
      </c>
      <c r="BQ152" s="1577">
        <f t="shared" si="167"/>
        <v>0</v>
      </c>
      <c r="BR152" s="1576">
        <f t="shared" si="204"/>
        <v>0</v>
      </c>
      <c r="BS152" s="1574">
        <f t="shared" si="168"/>
        <v>0</v>
      </c>
      <c r="BT152" s="1577">
        <f t="shared" si="169"/>
        <v>0</v>
      </c>
      <c r="BU152" s="1576">
        <f t="shared" si="205"/>
        <v>0</v>
      </c>
      <c r="BV152" s="1574">
        <f t="shared" si="170"/>
        <v>0</v>
      </c>
      <c r="BW152" s="1577">
        <f t="shared" si="171"/>
        <v>0</v>
      </c>
      <c r="BX152" s="1576">
        <f t="shared" si="206"/>
        <v>0</v>
      </c>
      <c r="BY152" s="1574">
        <f t="shared" si="172"/>
        <v>0</v>
      </c>
      <c r="BZ152" s="1577">
        <f t="shared" si="173"/>
        <v>0</v>
      </c>
      <c r="CA152" s="1576">
        <f t="shared" si="207"/>
        <v>0</v>
      </c>
      <c r="CB152" s="1495">
        <f t="shared" si="174"/>
        <v>0</v>
      </c>
      <c r="CC152" s="1577">
        <f t="shared" si="175"/>
        <v>0</v>
      </c>
      <c r="CD152" s="1576">
        <f t="shared" si="208"/>
        <v>0</v>
      </c>
      <c r="CE152" s="1495">
        <f t="shared" si="176"/>
        <v>0</v>
      </c>
      <c r="CF152" s="1577">
        <f t="shared" si="177"/>
        <v>0</v>
      </c>
      <c r="CG152" s="1576">
        <f t="shared" si="209"/>
        <v>0</v>
      </c>
      <c r="CH152" s="1495">
        <f t="shared" si="178"/>
        <v>0</v>
      </c>
      <c r="CI152" s="1577">
        <f t="shared" si="179"/>
        <v>0</v>
      </c>
      <c r="CJ152" s="1576">
        <f t="shared" si="210"/>
        <v>0</v>
      </c>
      <c r="CK152" s="1495">
        <f t="shared" si="180"/>
        <v>0</v>
      </c>
      <c r="CL152" s="1577">
        <f t="shared" si="181"/>
        <v>0</v>
      </c>
      <c r="CM152" s="1576">
        <f t="shared" si="211"/>
        <v>0</v>
      </c>
      <c r="CN152" s="1495">
        <f t="shared" si="182"/>
        <v>0</v>
      </c>
      <c r="CO152" s="1577">
        <f t="shared" si="183"/>
        <v>0</v>
      </c>
      <c r="CP152" s="1576">
        <f t="shared" si="212"/>
        <v>0</v>
      </c>
      <c r="CQ152" s="1495">
        <f t="shared" si="184"/>
        <v>0</v>
      </c>
      <c r="CR152" s="1577">
        <f t="shared" si="185"/>
        <v>0</v>
      </c>
      <c r="CS152" s="1576">
        <f t="shared" si="213"/>
        <v>0</v>
      </c>
      <c r="CT152" s="1495">
        <f t="shared" si="186"/>
        <v>0</v>
      </c>
      <c r="CU152" s="1577">
        <f t="shared" si="187"/>
        <v>0</v>
      </c>
      <c r="CV152" s="1576">
        <f t="shared" si="214"/>
        <v>0</v>
      </c>
      <c r="CW152" s="1495">
        <f t="shared" si="188"/>
        <v>0</v>
      </c>
      <c r="CX152" s="1577">
        <f t="shared" si="189"/>
        <v>0</v>
      </c>
      <c r="CY152" s="1576">
        <f t="shared" si="215"/>
        <v>0</v>
      </c>
      <c r="CZ152" s="1574">
        <f t="shared" si="216"/>
        <v>0</v>
      </c>
      <c r="DA152" s="1578">
        <f t="shared" si="218"/>
        <v>0</v>
      </c>
      <c r="DB152" s="1579">
        <f t="shared" si="219"/>
        <v>0</v>
      </c>
      <c r="DC152" s="1578">
        <f t="shared" si="220"/>
        <v>0</v>
      </c>
      <c r="DD152" s="1578">
        <f t="shared" si="220"/>
        <v>0</v>
      </c>
      <c r="DE152" s="1578">
        <f t="shared" si="220"/>
        <v>0</v>
      </c>
      <c r="DF152" s="1578">
        <f t="shared" si="221"/>
        <v>0</v>
      </c>
      <c r="DG152" s="1420"/>
      <c r="DH152" s="1420"/>
    </row>
    <row r="153" spans="1:112" ht="15" customHeight="1">
      <c r="A153" s="1603"/>
      <c r="B153" s="1600" t="s">
        <v>803</v>
      </c>
      <c r="C153" s="1723"/>
      <c r="D153" s="1724">
        <f t="shared" si="190"/>
        <v>0</v>
      </c>
      <c r="H153" s="1600" t="s">
        <v>803</v>
      </c>
      <c r="I153" s="1723"/>
      <c r="J153" s="1601">
        <f t="shared" si="191"/>
        <v>0</v>
      </c>
      <c r="K153" s="1592"/>
      <c r="L153" s="1592"/>
      <c r="M153" s="1475"/>
      <c r="O153" s="1440" t="s">
        <v>1217</v>
      </c>
      <c r="P153" s="1436">
        <f t="shared" si="192"/>
        <v>0</v>
      </c>
      <c r="Q153" s="1726">
        <f t="shared" si="193"/>
        <v>0</v>
      </c>
      <c r="R153" s="1436">
        <f t="shared" si="194"/>
        <v>0</v>
      </c>
      <c r="S153" s="1436">
        <f t="shared" si="195"/>
        <v>0</v>
      </c>
      <c r="T153" s="1436">
        <f t="shared" si="196"/>
        <v>0</v>
      </c>
      <c r="V153" s="1727">
        <f t="shared" si="200"/>
        <v>0</v>
      </c>
      <c r="W153" s="1728">
        <f t="shared" si="201"/>
        <v>0</v>
      </c>
      <c r="X153" s="1434">
        <f t="shared" si="197"/>
        <v>0</v>
      </c>
      <c r="Y153" s="1434">
        <f t="shared" si="198"/>
        <v>0</v>
      </c>
      <c r="Z153" s="1434">
        <f t="shared" si="199"/>
        <v>0</v>
      </c>
      <c r="BD153" s="1687"/>
      <c r="BE153" s="1571" t="s">
        <v>1212</v>
      </c>
      <c r="BF153" s="1436">
        <v>21</v>
      </c>
      <c r="BG153" s="1436">
        <v>14</v>
      </c>
      <c r="BH153" s="1436">
        <v>5</v>
      </c>
      <c r="BI153" s="1495" t="b">
        <f t="shared" si="217"/>
        <v>1</v>
      </c>
      <c r="BJ153" s="1450" t="b">
        <f t="shared" si="164"/>
        <v>0</v>
      </c>
      <c r="BK153" s="1572">
        <f t="shared" si="165"/>
        <v>0</v>
      </c>
      <c r="BL153" s="1581">
        <f>IF(SUM(BL$140:BL152,BK153)&gt;$BN$4,0,BK153)</f>
        <v>0</v>
      </c>
      <c r="BM153" s="1436">
        <f t="shared" si="202"/>
        <v>0</v>
      </c>
      <c r="BN153" s="1495">
        <f t="shared" si="203"/>
        <v>0</v>
      </c>
      <c r="BO153" s="1437">
        <f t="shared" ref="BO153:BO216" si="222">BM153-BN153</f>
        <v>0</v>
      </c>
      <c r="BP153" s="1574">
        <f t="shared" si="166"/>
        <v>0</v>
      </c>
      <c r="BQ153" s="1577">
        <f t="shared" si="167"/>
        <v>0</v>
      </c>
      <c r="BR153" s="1576">
        <f t="shared" si="204"/>
        <v>0</v>
      </c>
      <c r="BS153" s="1574">
        <f t="shared" si="168"/>
        <v>0</v>
      </c>
      <c r="BT153" s="1577">
        <f t="shared" si="169"/>
        <v>0</v>
      </c>
      <c r="BU153" s="1576">
        <f t="shared" si="205"/>
        <v>0</v>
      </c>
      <c r="BV153" s="1574">
        <f t="shared" si="170"/>
        <v>0</v>
      </c>
      <c r="BW153" s="1577">
        <f t="shared" si="171"/>
        <v>0</v>
      </c>
      <c r="BX153" s="1576">
        <f t="shared" si="206"/>
        <v>0</v>
      </c>
      <c r="BY153" s="1574">
        <f t="shared" si="172"/>
        <v>0</v>
      </c>
      <c r="BZ153" s="1577">
        <f t="shared" si="173"/>
        <v>0</v>
      </c>
      <c r="CA153" s="1576">
        <f t="shared" si="207"/>
        <v>0</v>
      </c>
      <c r="CB153" s="1495">
        <f t="shared" si="174"/>
        <v>0</v>
      </c>
      <c r="CC153" s="1577">
        <f t="shared" si="175"/>
        <v>0</v>
      </c>
      <c r="CD153" s="1576">
        <f t="shared" si="208"/>
        <v>0</v>
      </c>
      <c r="CE153" s="1495">
        <f t="shared" si="176"/>
        <v>0</v>
      </c>
      <c r="CF153" s="1577">
        <f t="shared" si="177"/>
        <v>0</v>
      </c>
      <c r="CG153" s="1576">
        <f t="shared" si="209"/>
        <v>0</v>
      </c>
      <c r="CH153" s="1495">
        <f t="shared" si="178"/>
        <v>0</v>
      </c>
      <c r="CI153" s="1577">
        <f t="shared" si="179"/>
        <v>0</v>
      </c>
      <c r="CJ153" s="1576">
        <f t="shared" si="210"/>
        <v>0</v>
      </c>
      <c r="CK153" s="1495">
        <f t="shared" si="180"/>
        <v>0</v>
      </c>
      <c r="CL153" s="1577">
        <f t="shared" si="181"/>
        <v>0</v>
      </c>
      <c r="CM153" s="1576">
        <f t="shared" si="211"/>
        <v>0</v>
      </c>
      <c r="CN153" s="1495">
        <f t="shared" si="182"/>
        <v>0</v>
      </c>
      <c r="CO153" s="1577">
        <f t="shared" si="183"/>
        <v>0</v>
      </c>
      <c r="CP153" s="1576">
        <f t="shared" si="212"/>
        <v>0</v>
      </c>
      <c r="CQ153" s="1495">
        <f t="shared" si="184"/>
        <v>0</v>
      </c>
      <c r="CR153" s="1577">
        <f t="shared" si="185"/>
        <v>0</v>
      </c>
      <c r="CS153" s="1576">
        <f t="shared" si="213"/>
        <v>0</v>
      </c>
      <c r="CT153" s="1495">
        <f t="shared" si="186"/>
        <v>0</v>
      </c>
      <c r="CU153" s="1577">
        <f t="shared" si="187"/>
        <v>0</v>
      </c>
      <c r="CV153" s="1576">
        <f t="shared" si="214"/>
        <v>0</v>
      </c>
      <c r="CW153" s="1495">
        <f t="shared" si="188"/>
        <v>0</v>
      </c>
      <c r="CX153" s="1577">
        <f t="shared" si="189"/>
        <v>0</v>
      </c>
      <c r="CY153" s="1576">
        <f t="shared" si="215"/>
        <v>0</v>
      </c>
      <c r="CZ153" s="1574">
        <f t="shared" si="216"/>
        <v>0</v>
      </c>
      <c r="DA153" s="1578">
        <f t="shared" si="218"/>
        <v>0</v>
      </c>
      <c r="DB153" s="1579">
        <f t="shared" si="219"/>
        <v>0</v>
      </c>
      <c r="DC153" s="1578">
        <f t="shared" si="220"/>
        <v>0</v>
      </c>
      <c r="DD153" s="1578">
        <f t="shared" si="220"/>
        <v>0</v>
      </c>
      <c r="DE153" s="1578">
        <f t="shared" si="220"/>
        <v>0</v>
      </c>
      <c r="DF153" s="1578">
        <f t="shared" si="221"/>
        <v>0</v>
      </c>
      <c r="DG153" s="1420"/>
      <c r="DH153" s="1420"/>
    </row>
    <row r="154" spans="1:112" ht="15" customHeight="1">
      <c r="A154" s="1603"/>
      <c r="B154" s="1600" t="s">
        <v>804</v>
      </c>
      <c r="C154" s="1723"/>
      <c r="D154" s="1724">
        <f t="shared" si="190"/>
        <v>0</v>
      </c>
      <c r="H154" s="1600" t="s">
        <v>804</v>
      </c>
      <c r="I154" s="1723"/>
      <c r="J154" s="1601">
        <f t="shared" si="191"/>
        <v>0</v>
      </c>
      <c r="K154" s="1592"/>
      <c r="L154" s="1592"/>
      <c r="M154" s="1475"/>
      <c r="O154" s="1440" t="s">
        <v>1218</v>
      </c>
      <c r="P154" s="1436">
        <f t="shared" si="192"/>
        <v>0</v>
      </c>
      <c r="Q154" s="1726">
        <f t="shared" si="193"/>
        <v>0</v>
      </c>
      <c r="R154" s="1436">
        <f t="shared" si="194"/>
        <v>0</v>
      </c>
      <c r="S154" s="1436">
        <f t="shared" si="195"/>
        <v>0</v>
      </c>
      <c r="T154" s="1436">
        <f t="shared" si="196"/>
        <v>0</v>
      </c>
      <c r="V154" s="1727">
        <f t="shared" si="200"/>
        <v>0</v>
      </c>
      <c r="W154" s="1728">
        <f t="shared" si="201"/>
        <v>0</v>
      </c>
      <c r="X154" s="1434">
        <f t="shared" si="197"/>
        <v>0</v>
      </c>
      <c r="Y154" s="1434">
        <f t="shared" si="198"/>
        <v>0</v>
      </c>
      <c r="Z154" s="1434">
        <f t="shared" si="199"/>
        <v>0</v>
      </c>
      <c r="BD154" s="1475"/>
      <c r="BE154" s="1571" t="s">
        <v>1212</v>
      </c>
      <c r="BF154" s="1436">
        <v>21</v>
      </c>
      <c r="BG154" s="1436">
        <v>15</v>
      </c>
      <c r="BH154" s="1436">
        <v>6</v>
      </c>
      <c r="BI154" s="1495" t="b">
        <f t="shared" si="217"/>
        <v>0</v>
      </c>
      <c r="BJ154" s="1450" t="b">
        <f t="shared" si="164"/>
        <v>0</v>
      </c>
      <c r="BK154" s="1572">
        <f t="shared" si="165"/>
        <v>0</v>
      </c>
      <c r="BL154" s="1581">
        <f>IF(SUM(BL$140:BL153,BK154)&gt;$BN$4,0,BK154)</f>
        <v>0</v>
      </c>
      <c r="BM154" s="1436">
        <f t="shared" si="202"/>
        <v>0</v>
      </c>
      <c r="BN154" s="1495">
        <f t="shared" si="203"/>
        <v>0</v>
      </c>
      <c r="BO154" s="1437">
        <f t="shared" si="222"/>
        <v>0</v>
      </c>
      <c r="BP154" s="1574">
        <f t="shared" si="166"/>
        <v>0</v>
      </c>
      <c r="BQ154" s="1577">
        <f t="shared" si="167"/>
        <v>0</v>
      </c>
      <c r="BR154" s="1576">
        <f t="shared" si="204"/>
        <v>0</v>
      </c>
      <c r="BS154" s="1574">
        <f t="shared" si="168"/>
        <v>0</v>
      </c>
      <c r="BT154" s="1577">
        <f t="shared" si="169"/>
        <v>0</v>
      </c>
      <c r="BU154" s="1576">
        <f t="shared" si="205"/>
        <v>0</v>
      </c>
      <c r="BV154" s="1574">
        <f t="shared" si="170"/>
        <v>0</v>
      </c>
      <c r="BW154" s="1577">
        <f t="shared" si="171"/>
        <v>0</v>
      </c>
      <c r="BX154" s="1576">
        <f t="shared" si="206"/>
        <v>0</v>
      </c>
      <c r="BY154" s="1574">
        <f t="shared" si="172"/>
        <v>0</v>
      </c>
      <c r="BZ154" s="1577">
        <f t="shared" si="173"/>
        <v>0</v>
      </c>
      <c r="CA154" s="1576">
        <f t="shared" si="207"/>
        <v>0</v>
      </c>
      <c r="CB154" s="1495">
        <f t="shared" si="174"/>
        <v>0</v>
      </c>
      <c r="CC154" s="1577">
        <f t="shared" si="175"/>
        <v>0</v>
      </c>
      <c r="CD154" s="1576">
        <f t="shared" si="208"/>
        <v>0</v>
      </c>
      <c r="CE154" s="1495">
        <f t="shared" si="176"/>
        <v>0</v>
      </c>
      <c r="CF154" s="1577">
        <f t="shared" si="177"/>
        <v>0</v>
      </c>
      <c r="CG154" s="1576">
        <f t="shared" si="209"/>
        <v>0</v>
      </c>
      <c r="CH154" s="1495">
        <f t="shared" si="178"/>
        <v>0</v>
      </c>
      <c r="CI154" s="1577">
        <f t="shared" si="179"/>
        <v>0</v>
      </c>
      <c r="CJ154" s="1576">
        <f t="shared" si="210"/>
        <v>0</v>
      </c>
      <c r="CK154" s="1495">
        <f t="shared" si="180"/>
        <v>0</v>
      </c>
      <c r="CL154" s="1577">
        <f t="shared" si="181"/>
        <v>0</v>
      </c>
      <c r="CM154" s="1576">
        <f t="shared" si="211"/>
        <v>0</v>
      </c>
      <c r="CN154" s="1495">
        <f t="shared" si="182"/>
        <v>0</v>
      </c>
      <c r="CO154" s="1577">
        <f t="shared" si="183"/>
        <v>0</v>
      </c>
      <c r="CP154" s="1576">
        <f t="shared" si="212"/>
        <v>0</v>
      </c>
      <c r="CQ154" s="1495">
        <f t="shared" si="184"/>
        <v>0</v>
      </c>
      <c r="CR154" s="1577">
        <f t="shared" si="185"/>
        <v>0</v>
      </c>
      <c r="CS154" s="1576">
        <f t="shared" si="213"/>
        <v>0</v>
      </c>
      <c r="CT154" s="1495">
        <f t="shared" si="186"/>
        <v>0</v>
      </c>
      <c r="CU154" s="1577">
        <f t="shared" si="187"/>
        <v>0</v>
      </c>
      <c r="CV154" s="1576">
        <f t="shared" si="214"/>
        <v>0</v>
      </c>
      <c r="CW154" s="1495">
        <f t="shared" si="188"/>
        <v>0</v>
      </c>
      <c r="CX154" s="1577">
        <f t="shared" si="189"/>
        <v>0</v>
      </c>
      <c r="CY154" s="1576">
        <f t="shared" si="215"/>
        <v>0</v>
      </c>
      <c r="CZ154" s="1574">
        <f t="shared" si="216"/>
        <v>0</v>
      </c>
      <c r="DA154" s="1578">
        <f t="shared" si="218"/>
        <v>0</v>
      </c>
      <c r="DB154" s="1579">
        <f t="shared" si="219"/>
        <v>0</v>
      </c>
      <c r="DC154" s="1578">
        <f t="shared" si="220"/>
        <v>0</v>
      </c>
      <c r="DD154" s="1578">
        <f t="shared" si="220"/>
        <v>0</v>
      </c>
      <c r="DE154" s="1578">
        <f t="shared" si="220"/>
        <v>0</v>
      </c>
      <c r="DF154" s="1578">
        <f t="shared" si="221"/>
        <v>0</v>
      </c>
      <c r="DG154" s="1420"/>
      <c r="DH154" s="1420"/>
    </row>
    <row r="155" spans="1:112" ht="15" customHeight="1">
      <c r="A155" s="1603"/>
      <c r="B155" s="1600" t="s">
        <v>1603</v>
      </c>
      <c r="C155" s="1723"/>
      <c r="D155" s="1724">
        <f t="shared" si="190"/>
        <v>0</v>
      </c>
      <c r="H155" s="1600" t="s">
        <v>1603</v>
      </c>
      <c r="I155" s="1723"/>
      <c r="J155" s="1601">
        <f t="shared" si="191"/>
        <v>0</v>
      </c>
      <c r="K155" s="1592"/>
      <c r="L155" s="1592"/>
      <c r="M155" s="1475"/>
      <c r="O155" s="1440" t="s">
        <v>1219</v>
      </c>
      <c r="P155" s="1436">
        <f t="shared" si="192"/>
        <v>0</v>
      </c>
      <c r="Q155" s="1726">
        <f t="shared" si="193"/>
        <v>0</v>
      </c>
      <c r="R155" s="1436">
        <f t="shared" si="194"/>
        <v>0</v>
      </c>
      <c r="S155" s="1436">
        <f t="shared" si="195"/>
        <v>0</v>
      </c>
      <c r="T155" s="1436">
        <f t="shared" si="196"/>
        <v>0</v>
      </c>
      <c r="V155" s="1727">
        <f t="shared" si="200"/>
        <v>0</v>
      </c>
      <c r="W155" s="1728">
        <f t="shared" si="201"/>
        <v>0</v>
      </c>
      <c r="X155" s="1434">
        <f t="shared" si="197"/>
        <v>0</v>
      </c>
      <c r="Y155" s="1434">
        <f t="shared" si="198"/>
        <v>0</v>
      </c>
      <c r="Z155" s="1434">
        <f t="shared" si="199"/>
        <v>0</v>
      </c>
      <c r="BD155" s="1475"/>
      <c r="BE155" s="1571" t="s">
        <v>1212</v>
      </c>
      <c r="BF155" s="1436">
        <v>21</v>
      </c>
      <c r="BG155" s="1436">
        <v>16</v>
      </c>
      <c r="BH155" s="1436">
        <v>7</v>
      </c>
      <c r="BI155" s="1495" t="b">
        <f t="shared" si="217"/>
        <v>0</v>
      </c>
      <c r="BJ155" s="1450" t="b">
        <f t="shared" si="164"/>
        <v>1</v>
      </c>
      <c r="BK155" s="1572">
        <f t="shared" si="165"/>
        <v>5.5</v>
      </c>
      <c r="BL155" s="1581">
        <f>IF(SUM(BL$140:BL154,BK155)&gt;$BN$4,0,BK155)</f>
        <v>5.5</v>
      </c>
      <c r="BM155" s="1436">
        <f t="shared" si="202"/>
        <v>0</v>
      </c>
      <c r="BN155" s="1495">
        <f t="shared" si="203"/>
        <v>0</v>
      </c>
      <c r="BO155" s="1437">
        <f t="shared" si="222"/>
        <v>0</v>
      </c>
      <c r="BP155" s="1574">
        <f t="shared" si="166"/>
        <v>0</v>
      </c>
      <c r="BQ155" s="1577">
        <f t="shared" si="167"/>
        <v>0</v>
      </c>
      <c r="BR155" s="1576">
        <f t="shared" si="204"/>
        <v>0</v>
      </c>
      <c r="BS155" s="1574">
        <f t="shared" si="168"/>
        <v>0</v>
      </c>
      <c r="BT155" s="1577">
        <f t="shared" si="169"/>
        <v>0</v>
      </c>
      <c r="BU155" s="1576">
        <f t="shared" si="205"/>
        <v>0</v>
      </c>
      <c r="BV155" s="1574">
        <f t="shared" si="170"/>
        <v>0</v>
      </c>
      <c r="BW155" s="1577">
        <f t="shared" si="171"/>
        <v>0</v>
      </c>
      <c r="BX155" s="1576">
        <f t="shared" si="206"/>
        <v>0</v>
      </c>
      <c r="BY155" s="1574">
        <f t="shared" si="172"/>
        <v>0</v>
      </c>
      <c r="BZ155" s="1577">
        <f t="shared" si="173"/>
        <v>0</v>
      </c>
      <c r="CA155" s="1576">
        <f t="shared" si="207"/>
        <v>0</v>
      </c>
      <c r="CB155" s="1495">
        <f t="shared" si="174"/>
        <v>0</v>
      </c>
      <c r="CC155" s="1577">
        <f t="shared" si="175"/>
        <v>0</v>
      </c>
      <c r="CD155" s="1576">
        <f t="shared" si="208"/>
        <v>0</v>
      </c>
      <c r="CE155" s="1495">
        <f t="shared" si="176"/>
        <v>0</v>
      </c>
      <c r="CF155" s="1577">
        <f t="shared" si="177"/>
        <v>0</v>
      </c>
      <c r="CG155" s="1576">
        <f t="shared" si="209"/>
        <v>0</v>
      </c>
      <c r="CH155" s="1495">
        <f t="shared" si="178"/>
        <v>0</v>
      </c>
      <c r="CI155" s="1577">
        <f t="shared" si="179"/>
        <v>0</v>
      </c>
      <c r="CJ155" s="1576">
        <f t="shared" si="210"/>
        <v>0</v>
      </c>
      <c r="CK155" s="1495">
        <f t="shared" si="180"/>
        <v>0</v>
      </c>
      <c r="CL155" s="1577">
        <f t="shared" si="181"/>
        <v>0</v>
      </c>
      <c r="CM155" s="1576">
        <f t="shared" si="211"/>
        <v>0</v>
      </c>
      <c r="CN155" s="1495">
        <f t="shared" si="182"/>
        <v>0</v>
      </c>
      <c r="CO155" s="1577">
        <f t="shared" si="183"/>
        <v>0</v>
      </c>
      <c r="CP155" s="1576">
        <f t="shared" si="212"/>
        <v>0</v>
      </c>
      <c r="CQ155" s="1495">
        <f t="shared" si="184"/>
        <v>0</v>
      </c>
      <c r="CR155" s="1577">
        <f t="shared" si="185"/>
        <v>0</v>
      </c>
      <c r="CS155" s="1576">
        <f t="shared" si="213"/>
        <v>0</v>
      </c>
      <c r="CT155" s="1495">
        <f t="shared" si="186"/>
        <v>0</v>
      </c>
      <c r="CU155" s="1577">
        <f t="shared" si="187"/>
        <v>0</v>
      </c>
      <c r="CV155" s="1576">
        <f t="shared" si="214"/>
        <v>0</v>
      </c>
      <c r="CW155" s="1495">
        <f t="shared" si="188"/>
        <v>0</v>
      </c>
      <c r="CX155" s="1577">
        <f t="shared" si="189"/>
        <v>0</v>
      </c>
      <c r="CY155" s="1576">
        <f t="shared" si="215"/>
        <v>0</v>
      </c>
      <c r="CZ155" s="1574">
        <f t="shared" si="216"/>
        <v>0</v>
      </c>
      <c r="DA155" s="1578">
        <f t="shared" si="218"/>
        <v>0</v>
      </c>
      <c r="DB155" s="1579">
        <f t="shared" si="219"/>
        <v>0</v>
      </c>
      <c r="DC155" s="1578">
        <f t="shared" si="220"/>
        <v>0</v>
      </c>
      <c r="DD155" s="1578">
        <f t="shared" si="220"/>
        <v>0</v>
      </c>
      <c r="DE155" s="1578">
        <f t="shared" si="220"/>
        <v>0</v>
      </c>
      <c r="DF155" s="1578">
        <f t="shared" si="221"/>
        <v>0</v>
      </c>
      <c r="DG155" s="1420"/>
      <c r="DH155" s="1420"/>
    </row>
    <row r="156" spans="1:112" ht="15" customHeight="1">
      <c r="A156" s="1603"/>
      <c r="B156" s="1475"/>
      <c r="C156" s="1729">
        <f>SUM(C144:C155)</f>
        <v>0</v>
      </c>
      <c r="D156" s="1730">
        <f>SUM(D144:D155)</f>
        <v>0</v>
      </c>
      <c r="I156" s="1729">
        <f>SUM(I144:I155)*O143</f>
        <v>0</v>
      </c>
      <c r="J156" s="1731">
        <f>SUM(J144:J155)</f>
        <v>0</v>
      </c>
      <c r="K156" s="1592"/>
      <c r="L156" s="1592"/>
      <c r="M156" s="1475"/>
      <c r="P156" s="1732"/>
      <c r="Q156" s="1732"/>
      <c r="R156" s="1732" t="s">
        <v>1695</v>
      </c>
      <c r="S156" s="1733">
        <f>SUM(S144:S155)/1000</f>
        <v>0</v>
      </c>
      <c r="T156" s="1732"/>
      <c r="V156" s="1422"/>
      <c r="W156" s="1422"/>
      <c r="X156" s="1422"/>
      <c r="Y156" s="1422"/>
      <c r="Z156" s="1422"/>
      <c r="BD156" s="1475"/>
      <c r="BE156" s="1571" t="s">
        <v>1212</v>
      </c>
      <c r="BF156" s="1436">
        <v>21</v>
      </c>
      <c r="BG156" s="1436">
        <v>17</v>
      </c>
      <c r="BH156" s="1436">
        <v>1</v>
      </c>
      <c r="BI156" s="1495" t="b">
        <f t="shared" si="217"/>
        <v>1</v>
      </c>
      <c r="BJ156" s="1450" t="b">
        <f t="shared" si="164"/>
        <v>0</v>
      </c>
      <c r="BK156" s="1572">
        <f t="shared" si="165"/>
        <v>0</v>
      </c>
      <c r="BL156" s="1581">
        <f>IF(SUM(BL$140:BL155,BK156)&gt;$BN$4,0,BK156)</f>
        <v>0</v>
      </c>
      <c r="BM156" s="1436">
        <f t="shared" si="202"/>
        <v>0</v>
      </c>
      <c r="BN156" s="1495">
        <f t="shared" si="203"/>
        <v>0</v>
      </c>
      <c r="BO156" s="1437">
        <f t="shared" si="222"/>
        <v>0</v>
      </c>
      <c r="BP156" s="1574">
        <f t="shared" si="166"/>
        <v>0</v>
      </c>
      <c r="BQ156" s="1577">
        <f t="shared" si="167"/>
        <v>0</v>
      </c>
      <c r="BR156" s="1576">
        <f t="shared" si="204"/>
        <v>0</v>
      </c>
      <c r="BS156" s="1574">
        <f t="shared" si="168"/>
        <v>0</v>
      </c>
      <c r="BT156" s="1577">
        <f t="shared" si="169"/>
        <v>0</v>
      </c>
      <c r="BU156" s="1576">
        <f t="shared" si="205"/>
        <v>0</v>
      </c>
      <c r="BV156" s="1574">
        <f t="shared" si="170"/>
        <v>0</v>
      </c>
      <c r="BW156" s="1577">
        <f t="shared" si="171"/>
        <v>0</v>
      </c>
      <c r="BX156" s="1576">
        <f t="shared" si="206"/>
        <v>0</v>
      </c>
      <c r="BY156" s="1574">
        <f t="shared" si="172"/>
        <v>0</v>
      </c>
      <c r="BZ156" s="1577">
        <f t="shared" si="173"/>
        <v>0</v>
      </c>
      <c r="CA156" s="1576">
        <f t="shared" si="207"/>
        <v>0</v>
      </c>
      <c r="CB156" s="1495">
        <f t="shared" si="174"/>
        <v>0</v>
      </c>
      <c r="CC156" s="1577">
        <f t="shared" si="175"/>
        <v>0</v>
      </c>
      <c r="CD156" s="1576">
        <f t="shared" si="208"/>
        <v>0</v>
      </c>
      <c r="CE156" s="1495">
        <f t="shared" si="176"/>
        <v>0</v>
      </c>
      <c r="CF156" s="1577">
        <f t="shared" si="177"/>
        <v>0</v>
      </c>
      <c r="CG156" s="1576">
        <f t="shared" si="209"/>
        <v>0</v>
      </c>
      <c r="CH156" s="1495">
        <f t="shared" si="178"/>
        <v>0</v>
      </c>
      <c r="CI156" s="1577">
        <f t="shared" si="179"/>
        <v>0</v>
      </c>
      <c r="CJ156" s="1576">
        <f t="shared" si="210"/>
        <v>0</v>
      </c>
      <c r="CK156" s="1495">
        <f t="shared" si="180"/>
        <v>0</v>
      </c>
      <c r="CL156" s="1577">
        <f t="shared" si="181"/>
        <v>0</v>
      </c>
      <c r="CM156" s="1576">
        <f t="shared" si="211"/>
        <v>0</v>
      </c>
      <c r="CN156" s="1495">
        <f t="shared" si="182"/>
        <v>0</v>
      </c>
      <c r="CO156" s="1577">
        <f t="shared" si="183"/>
        <v>0</v>
      </c>
      <c r="CP156" s="1576">
        <f t="shared" si="212"/>
        <v>0</v>
      </c>
      <c r="CQ156" s="1495">
        <f t="shared" si="184"/>
        <v>0</v>
      </c>
      <c r="CR156" s="1577">
        <f t="shared" si="185"/>
        <v>0</v>
      </c>
      <c r="CS156" s="1576">
        <f t="shared" si="213"/>
        <v>0</v>
      </c>
      <c r="CT156" s="1495">
        <f t="shared" si="186"/>
        <v>0</v>
      </c>
      <c r="CU156" s="1577">
        <f t="shared" si="187"/>
        <v>0</v>
      </c>
      <c r="CV156" s="1576">
        <f t="shared" si="214"/>
        <v>0</v>
      </c>
      <c r="CW156" s="1495">
        <f t="shared" si="188"/>
        <v>0</v>
      </c>
      <c r="CX156" s="1577">
        <f t="shared" si="189"/>
        <v>0</v>
      </c>
      <c r="CY156" s="1576">
        <f t="shared" si="215"/>
        <v>0</v>
      </c>
      <c r="CZ156" s="1574">
        <f t="shared" si="216"/>
        <v>0</v>
      </c>
      <c r="DA156" s="1578">
        <f t="shared" si="218"/>
        <v>0</v>
      </c>
      <c r="DB156" s="1579">
        <f t="shared" si="219"/>
        <v>0</v>
      </c>
      <c r="DC156" s="1578">
        <f t="shared" si="220"/>
        <v>0</v>
      </c>
      <c r="DD156" s="1578">
        <f t="shared" si="220"/>
        <v>0</v>
      </c>
      <c r="DE156" s="1578">
        <f t="shared" si="220"/>
        <v>0</v>
      </c>
      <c r="DF156" s="1578">
        <f t="shared" si="221"/>
        <v>0</v>
      </c>
      <c r="DG156" s="1420"/>
      <c r="DH156" s="1420"/>
    </row>
    <row r="157" spans="1:112" ht="15" customHeight="1">
      <c r="A157" s="1603"/>
      <c r="K157" s="1592"/>
      <c r="L157" s="1592"/>
      <c r="M157" s="1475"/>
      <c r="R157" s="2515" t="s">
        <v>1696</v>
      </c>
      <c r="S157" s="2515"/>
      <c r="T157" s="1733">
        <f>SUM(T144:T155)</f>
        <v>0</v>
      </c>
      <c r="X157" s="2516" t="s">
        <v>1696</v>
      </c>
      <c r="Y157" s="2516"/>
      <c r="Z157" s="1441">
        <f>SUM(Z144:Z155)</f>
        <v>0</v>
      </c>
      <c r="BD157" s="1475"/>
      <c r="BE157" s="1571" t="s">
        <v>1212</v>
      </c>
      <c r="BF157" s="1436">
        <v>21</v>
      </c>
      <c r="BG157" s="1436">
        <v>18</v>
      </c>
      <c r="BH157" s="1436">
        <v>2</v>
      </c>
      <c r="BI157" s="1495" t="b">
        <f t="shared" si="217"/>
        <v>1</v>
      </c>
      <c r="BJ157" s="1450" t="b">
        <f t="shared" si="164"/>
        <v>0</v>
      </c>
      <c r="BK157" s="1572">
        <f t="shared" si="165"/>
        <v>0</v>
      </c>
      <c r="BL157" s="1581">
        <f>IF(SUM(BL$140:BL156,BK157)&gt;$BN$4,0,BK157)</f>
        <v>0</v>
      </c>
      <c r="BM157" s="1436">
        <f t="shared" si="202"/>
        <v>0</v>
      </c>
      <c r="BN157" s="1495">
        <f t="shared" si="203"/>
        <v>0</v>
      </c>
      <c r="BO157" s="1437">
        <f t="shared" si="222"/>
        <v>0</v>
      </c>
      <c r="BP157" s="1574">
        <f t="shared" si="166"/>
        <v>0</v>
      </c>
      <c r="BQ157" s="1577">
        <f t="shared" si="167"/>
        <v>0</v>
      </c>
      <c r="BR157" s="1576">
        <f t="shared" si="204"/>
        <v>0</v>
      </c>
      <c r="BS157" s="1574">
        <f t="shared" si="168"/>
        <v>0</v>
      </c>
      <c r="BT157" s="1577">
        <f t="shared" si="169"/>
        <v>0</v>
      </c>
      <c r="BU157" s="1576">
        <f t="shared" si="205"/>
        <v>0</v>
      </c>
      <c r="BV157" s="1574">
        <f t="shared" si="170"/>
        <v>0</v>
      </c>
      <c r="BW157" s="1577">
        <f t="shared" si="171"/>
        <v>0</v>
      </c>
      <c r="BX157" s="1576">
        <f t="shared" si="206"/>
        <v>0</v>
      </c>
      <c r="BY157" s="1574">
        <f t="shared" si="172"/>
        <v>0</v>
      </c>
      <c r="BZ157" s="1577">
        <f t="shared" si="173"/>
        <v>0</v>
      </c>
      <c r="CA157" s="1576">
        <f t="shared" si="207"/>
        <v>0</v>
      </c>
      <c r="CB157" s="1495">
        <f t="shared" si="174"/>
        <v>0</v>
      </c>
      <c r="CC157" s="1577">
        <f t="shared" si="175"/>
        <v>0</v>
      </c>
      <c r="CD157" s="1576">
        <f t="shared" si="208"/>
        <v>0</v>
      </c>
      <c r="CE157" s="1495">
        <f t="shared" si="176"/>
        <v>0</v>
      </c>
      <c r="CF157" s="1577">
        <f t="shared" si="177"/>
        <v>0</v>
      </c>
      <c r="CG157" s="1576">
        <f t="shared" si="209"/>
        <v>0</v>
      </c>
      <c r="CH157" s="1495">
        <f t="shared" si="178"/>
        <v>0</v>
      </c>
      <c r="CI157" s="1577">
        <f t="shared" si="179"/>
        <v>0</v>
      </c>
      <c r="CJ157" s="1576">
        <f t="shared" si="210"/>
        <v>0</v>
      </c>
      <c r="CK157" s="1495">
        <f t="shared" si="180"/>
        <v>0</v>
      </c>
      <c r="CL157" s="1577">
        <f t="shared" si="181"/>
        <v>0</v>
      </c>
      <c r="CM157" s="1576">
        <f t="shared" si="211"/>
        <v>0</v>
      </c>
      <c r="CN157" s="1495">
        <f t="shared" si="182"/>
        <v>0</v>
      </c>
      <c r="CO157" s="1577">
        <f t="shared" si="183"/>
        <v>0</v>
      </c>
      <c r="CP157" s="1576">
        <f t="shared" si="212"/>
        <v>0</v>
      </c>
      <c r="CQ157" s="1495">
        <f t="shared" si="184"/>
        <v>0</v>
      </c>
      <c r="CR157" s="1577">
        <f t="shared" si="185"/>
        <v>0</v>
      </c>
      <c r="CS157" s="1576">
        <f t="shared" si="213"/>
        <v>0</v>
      </c>
      <c r="CT157" s="1495">
        <f t="shared" si="186"/>
        <v>0</v>
      </c>
      <c r="CU157" s="1577">
        <f t="shared" si="187"/>
        <v>0</v>
      </c>
      <c r="CV157" s="1576">
        <f t="shared" si="214"/>
        <v>0</v>
      </c>
      <c r="CW157" s="1495">
        <f t="shared" si="188"/>
        <v>0</v>
      </c>
      <c r="CX157" s="1577">
        <f t="shared" si="189"/>
        <v>0</v>
      </c>
      <c r="CY157" s="1576">
        <f t="shared" si="215"/>
        <v>0</v>
      </c>
      <c r="CZ157" s="1574">
        <f t="shared" si="216"/>
        <v>0</v>
      </c>
      <c r="DA157" s="1578">
        <f t="shared" si="218"/>
        <v>0</v>
      </c>
      <c r="DB157" s="1579">
        <f t="shared" si="219"/>
        <v>0</v>
      </c>
      <c r="DC157" s="1578">
        <f t="shared" si="220"/>
        <v>0</v>
      </c>
      <c r="DD157" s="1578">
        <f t="shared" si="220"/>
        <v>0</v>
      </c>
      <c r="DE157" s="1578">
        <f t="shared" si="220"/>
        <v>0</v>
      </c>
      <c r="DF157" s="1578">
        <f t="shared" si="221"/>
        <v>0</v>
      </c>
      <c r="DG157" s="1420"/>
      <c r="DH157" s="1420"/>
    </row>
    <row r="158" spans="1:112" ht="15" customHeight="1">
      <c r="A158" s="1603"/>
      <c r="B158" s="1706" t="s">
        <v>1669</v>
      </c>
      <c r="C158" s="1734"/>
      <c r="D158" s="1734"/>
      <c r="E158" s="1734"/>
      <c r="F158" s="1735" t="s">
        <v>644</v>
      </c>
      <c r="K158" s="1592"/>
      <c r="L158" s="1592"/>
      <c r="M158" s="1475"/>
      <c r="BD158" s="1475"/>
      <c r="BE158" s="1571" t="s">
        <v>1212</v>
      </c>
      <c r="BF158" s="1436">
        <v>21</v>
      </c>
      <c r="BG158" s="1436">
        <v>19</v>
      </c>
      <c r="BH158" s="1436">
        <v>3</v>
      </c>
      <c r="BI158" s="1495" t="b">
        <f t="shared" si="217"/>
        <v>1</v>
      </c>
      <c r="BJ158" s="1450" t="b">
        <f t="shared" si="164"/>
        <v>0</v>
      </c>
      <c r="BK158" s="1572">
        <f t="shared" si="165"/>
        <v>0</v>
      </c>
      <c r="BL158" s="1581">
        <f>IF(SUM(BL$140:BL157,BK158)&gt;$BN$4,0,BK158)</f>
        <v>0</v>
      </c>
      <c r="BM158" s="1436">
        <f t="shared" si="202"/>
        <v>0</v>
      </c>
      <c r="BN158" s="1495">
        <f t="shared" si="203"/>
        <v>0</v>
      </c>
      <c r="BO158" s="1437">
        <f t="shared" si="222"/>
        <v>0</v>
      </c>
      <c r="BP158" s="1574">
        <f t="shared" si="166"/>
        <v>0</v>
      </c>
      <c r="BQ158" s="1577">
        <f t="shared" si="167"/>
        <v>0</v>
      </c>
      <c r="BR158" s="1576">
        <f t="shared" si="204"/>
        <v>0</v>
      </c>
      <c r="BS158" s="1574">
        <f t="shared" si="168"/>
        <v>0</v>
      </c>
      <c r="BT158" s="1577">
        <f t="shared" si="169"/>
        <v>0</v>
      </c>
      <c r="BU158" s="1576">
        <f t="shared" si="205"/>
        <v>0</v>
      </c>
      <c r="BV158" s="1574">
        <f t="shared" si="170"/>
        <v>0</v>
      </c>
      <c r="BW158" s="1577">
        <f t="shared" si="171"/>
        <v>0</v>
      </c>
      <c r="BX158" s="1576">
        <f t="shared" si="206"/>
        <v>0</v>
      </c>
      <c r="BY158" s="1574">
        <f t="shared" si="172"/>
        <v>0</v>
      </c>
      <c r="BZ158" s="1577">
        <f t="shared" si="173"/>
        <v>0</v>
      </c>
      <c r="CA158" s="1576">
        <f t="shared" si="207"/>
        <v>0</v>
      </c>
      <c r="CB158" s="1495">
        <f t="shared" si="174"/>
        <v>0</v>
      </c>
      <c r="CC158" s="1577">
        <f t="shared" si="175"/>
        <v>0</v>
      </c>
      <c r="CD158" s="1576">
        <f t="shared" si="208"/>
        <v>0</v>
      </c>
      <c r="CE158" s="1495">
        <f t="shared" si="176"/>
        <v>0</v>
      </c>
      <c r="CF158" s="1577">
        <f t="shared" si="177"/>
        <v>0</v>
      </c>
      <c r="CG158" s="1576">
        <f t="shared" si="209"/>
        <v>0</v>
      </c>
      <c r="CH158" s="1495">
        <f t="shared" si="178"/>
        <v>0</v>
      </c>
      <c r="CI158" s="1577">
        <f t="shared" si="179"/>
        <v>0</v>
      </c>
      <c r="CJ158" s="1576">
        <f t="shared" si="210"/>
        <v>0</v>
      </c>
      <c r="CK158" s="1495">
        <f t="shared" si="180"/>
        <v>0</v>
      </c>
      <c r="CL158" s="1577">
        <f t="shared" si="181"/>
        <v>0</v>
      </c>
      <c r="CM158" s="1576">
        <f t="shared" si="211"/>
        <v>0</v>
      </c>
      <c r="CN158" s="1495">
        <f t="shared" si="182"/>
        <v>0</v>
      </c>
      <c r="CO158" s="1577">
        <f t="shared" si="183"/>
        <v>0</v>
      </c>
      <c r="CP158" s="1576">
        <f t="shared" si="212"/>
        <v>0</v>
      </c>
      <c r="CQ158" s="1495">
        <f t="shared" si="184"/>
        <v>0</v>
      </c>
      <c r="CR158" s="1577">
        <f t="shared" si="185"/>
        <v>0</v>
      </c>
      <c r="CS158" s="1576">
        <f t="shared" si="213"/>
        <v>0</v>
      </c>
      <c r="CT158" s="1495">
        <f t="shared" si="186"/>
        <v>0</v>
      </c>
      <c r="CU158" s="1577">
        <f t="shared" si="187"/>
        <v>0</v>
      </c>
      <c r="CV158" s="1576">
        <f t="shared" si="214"/>
        <v>0</v>
      </c>
      <c r="CW158" s="1495">
        <f t="shared" si="188"/>
        <v>0</v>
      </c>
      <c r="CX158" s="1577">
        <f t="shared" si="189"/>
        <v>0</v>
      </c>
      <c r="CY158" s="1576">
        <f t="shared" si="215"/>
        <v>0</v>
      </c>
      <c r="CZ158" s="1574">
        <f t="shared" si="216"/>
        <v>0</v>
      </c>
      <c r="DA158" s="1578">
        <f t="shared" si="218"/>
        <v>0</v>
      </c>
      <c r="DB158" s="1579">
        <f t="shared" si="219"/>
        <v>0</v>
      </c>
      <c r="DC158" s="1578">
        <f t="shared" si="220"/>
        <v>0</v>
      </c>
      <c r="DD158" s="1578">
        <f t="shared" si="220"/>
        <v>0</v>
      </c>
      <c r="DE158" s="1578">
        <f t="shared" si="220"/>
        <v>0</v>
      </c>
      <c r="DF158" s="1578">
        <f t="shared" si="221"/>
        <v>0</v>
      </c>
      <c r="DG158" s="1420"/>
      <c r="DH158" s="1420"/>
    </row>
    <row r="159" spans="1:112" ht="15" customHeight="1">
      <c r="A159" s="1603"/>
      <c r="K159" s="1592"/>
      <c r="L159" s="1592"/>
      <c r="M159" s="1475"/>
      <c r="BD159" s="1475"/>
      <c r="BE159" s="1571" t="s">
        <v>1212</v>
      </c>
      <c r="BF159" s="1436">
        <v>21</v>
      </c>
      <c r="BG159" s="1436">
        <v>20</v>
      </c>
      <c r="BH159" s="1436">
        <v>4</v>
      </c>
      <c r="BI159" s="1495" t="b">
        <f t="shared" si="217"/>
        <v>1</v>
      </c>
      <c r="BJ159" s="1450" t="b">
        <f t="shared" si="164"/>
        <v>0</v>
      </c>
      <c r="BK159" s="1572">
        <f t="shared" si="165"/>
        <v>0</v>
      </c>
      <c r="BL159" s="1581">
        <f>IF(SUM(BL$140:BL158,BK159)&gt;$BN$4,0,BK159)</f>
        <v>0</v>
      </c>
      <c r="BM159" s="1436">
        <f t="shared" si="202"/>
        <v>0</v>
      </c>
      <c r="BN159" s="1495">
        <f t="shared" si="203"/>
        <v>0</v>
      </c>
      <c r="BO159" s="1437">
        <f t="shared" si="222"/>
        <v>0</v>
      </c>
      <c r="BP159" s="1574">
        <f t="shared" si="166"/>
        <v>0</v>
      </c>
      <c r="BQ159" s="1577">
        <f t="shared" si="167"/>
        <v>0</v>
      </c>
      <c r="BR159" s="1576">
        <f t="shared" si="204"/>
        <v>0</v>
      </c>
      <c r="BS159" s="1574">
        <f t="shared" si="168"/>
        <v>0</v>
      </c>
      <c r="BT159" s="1577">
        <f t="shared" si="169"/>
        <v>0</v>
      </c>
      <c r="BU159" s="1576">
        <f t="shared" si="205"/>
        <v>0</v>
      </c>
      <c r="BV159" s="1574">
        <f t="shared" si="170"/>
        <v>0</v>
      </c>
      <c r="BW159" s="1577">
        <f t="shared" si="171"/>
        <v>0</v>
      </c>
      <c r="BX159" s="1576">
        <f t="shared" si="206"/>
        <v>0</v>
      </c>
      <c r="BY159" s="1574">
        <f t="shared" si="172"/>
        <v>0</v>
      </c>
      <c r="BZ159" s="1577">
        <f t="shared" si="173"/>
        <v>0</v>
      </c>
      <c r="CA159" s="1576">
        <f t="shared" si="207"/>
        <v>0</v>
      </c>
      <c r="CB159" s="1495">
        <f t="shared" si="174"/>
        <v>0</v>
      </c>
      <c r="CC159" s="1577">
        <f t="shared" si="175"/>
        <v>0</v>
      </c>
      <c r="CD159" s="1576">
        <f t="shared" si="208"/>
        <v>0</v>
      </c>
      <c r="CE159" s="1495">
        <f t="shared" si="176"/>
        <v>0</v>
      </c>
      <c r="CF159" s="1577">
        <f t="shared" si="177"/>
        <v>0</v>
      </c>
      <c r="CG159" s="1576">
        <f t="shared" si="209"/>
        <v>0</v>
      </c>
      <c r="CH159" s="1495">
        <f t="shared" si="178"/>
        <v>0</v>
      </c>
      <c r="CI159" s="1577">
        <f t="shared" si="179"/>
        <v>0</v>
      </c>
      <c r="CJ159" s="1576">
        <f t="shared" si="210"/>
        <v>0</v>
      </c>
      <c r="CK159" s="1495">
        <f t="shared" si="180"/>
        <v>0</v>
      </c>
      <c r="CL159" s="1577">
        <f t="shared" si="181"/>
        <v>0</v>
      </c>
      <c r="CM159" s="1576">
        <f t="shared" si="211"/>
        <v>0</v>
      </c>
      <c r="CN159" s="1495">
        <f t="shared" si="182"/>
        <v>0</v>
      </c>
      <c r="CO159" s="1577">
        <f t="shared" si="183"/>
        <v>0</v>
      </c>
      <c r="CP159" s="1576">
        <f t="shared" si="212"/>
        <v>0</v>
      </c>
      <c r="CQ159" s="1495">
        <f t="shared" si="184"/>
        <v>0</v>
      </c>
      <c r="CR159" s="1577">
        <f t="shared" si="185"/>
        <v>0</v>
      </c>
      <c r="CS159" s="1576">
        <f t="shared" si="213"/>
        <v>0</v>
      </c>
      <c r="CT159" s="1495">
        <f t="shared" si="186"/>
        <v>0</v>
      </c>
      <c r="CU159" s="1577">
        <f t="shared" si="187"/>
        <v>0</v>
      </c>
      <c r="CV159" s="1576">
        <f t="shared" si="214"/>
        <v>0</v>
      </c>
      <c r="CW159" s="1495">
        <f t="shared" si="188"/>
        <v>0</v>
      </c>
      <c r="CX159" s="1577">
        <f t="shared" si="189"/>
        <v>0</v>
      </c>
      <c r="CY159" s="1576">
        <f t="shared" si="215"/>
        <v>0</v>
      </c>
      <c r="CZ159" s="1574">
        <f t="shared" si="216"/>
        <v>0</v>
      </c>
      <c r="DA159" s="1578">
        <f t="shared" si="218"/>
        <v>0</v>
      </c>
      <c r="DB159" s="1579">
        <f t="shared" si="219"/>
        <v>0</v>
      </c>
      <c r="DC159" s="1578">
        <f t="shared" si="220"/>
        <v>0</v>
      </c>
      <c r="DD159" s="1578">
        <f t="shared" si="220"/>
        <v>0</v>
      </c>
      <c r="DE159" s="1578">
        <f t="shared" si="220"/>
        <v>0</v>
      </c>
      <c r="DF159" s="1578">
        <f t="shared" si="221"/>
        <v>0</v>
      </c>
      <c r="DG159" s="1420"/>
      <c r="DH159" s="1420"/>
    </row>
    <row r="160" spans="1:112">
      <c r="A160" s="1603"/>
      <c r="B160" s="1475"/>
      <c r="C160" s="2449" t="s">
        <v>1691</v>
      </c>
      <c r="D160" s="2449"/>
      <c r="K160" s="1592"/>
      <c r="L160" s="1592"/>
      <c r="M160" s="1475"/>
      <c r="BD160" s="1475"/>
      <c r="BE160" s="1571" t="s">
        <v>1212</v>
      </c>
      <c r="BF160" s="1436">
        <v>21</v>
      </c>
      <c r="BG160" s="1436">
        <v>21</v>
      </c>
      <c r="BH160" s="1436">
        <v>5</v>
      </c>
      <c r="BI160" s="1495" t="b">
        <f t="shared" si="217"/>
        <v>1</v>
      </c>
      <c r="BJ160" s="1450" t="b">
        <f t="shared" si="164"/>
        <v>0</v>
      </c>
      <c r="BK160" s="1572">
        <f t="shared" si="165"/>
        <v>0</v>
      </c>
      <c r="BL160" s="1581">
        <f>IF(SUM(BL$140:BL159,BK160)&gt;$BN$4,0,BK160)</f>
        <v>0</v>
      </c>
      <c r="BM160" s="1436">
        <f t="shared" si="202"/>
        <v>0</v>
      </c>
      <c r="BN160" s="1495">
        <f t="shared" si="203"/>
        <v>0</v>
      </c>
      <c r="BO160" s="1437">
        <f t="shared" si="222"/>
        <v>0</v>
      </c>
      <c r="BP160" s="1574">
        <f t="shared" si="166"/>
        <v>0</v>
      </c>
      <c r="BQ160" s="1577">
        <f t="shared" si="167"/>
        <v>0</v>
      </c>
      <c r="BR160" s="1576">
        <f t="shared" si="204"/>
        <v>0</v>
      </c>
      <c r="BS160" s="1574">
        <f t="shared" si="168"/>
        <v>0</v>
      </c>
      <c r="BT160" s="1577">
        <f t="shared" si="169"/>
        <v>0</v>
      </c>
      <c r="BU160" s="1576">
        <f t="shared" si="205"/>
        <v>0</v>
      </c>
      <c r="BV160" s="1574">
        <f t="shared" si="170"/>
        <v>0</v>
      </c>
      <c r="BW160" s="1577">
        <f t="shared" si="171"/>
        <v>0</v>
      </c>
      <c r="BX160" s="1576">
        <f t="shared" si="206"/>
        <v>0</v>
      </c>
      <c r="BY160" s="1574">
        <f t="shared" si="172"/>
        <v>0</v>
      </c>
      <c r="BZ160" s="1577">
        <f t="shared" si="173"/>
        <v>0</v>
      </c>
      <c r="CA160" s="1576">
        <f t="shared" si="207"/>
        <v>0</v>
      </c>
      <c r="CB160" s="1495">
        <f t="shared" si="174"/>
        <v>0</v>
      </c>
      <c r="CC160" s="1577">
        <f t="shared" si="175"/>
        <v>0</v>
      </c>
      <c r="CD160" s="1576">
        <f t="shared" si="208"/>
        <v>0</v>
      </c>
      <c r="CE160" s="1495">
        <f t="shared" si="176"/>
        <v>0</v>
      </c>
      <c r="CF160" s="1577">
        <f t="shared" si="177"/>
        <v>0</v>
      </c>
      <c r="CG160" s="1576">
        <f t="shared" si="209"/>
        <v>0</v>
      </c>
      <c r="CH160" s="1495">
        <f t="shared" si="178"/>
        <v>0</v>
      </c>
      <c r="CI160" s="1577">
        <f t="shared" si="179"/>
        <v>0</v>
      </c>
      <c r="CJ160" s="1576">
        <f t="shared" si="210"/>
        <v>0</v>
      </c>
      <c r="CK160" s="1495">
        <f t="shared" si="180"/>
        <v>0</v>
      </c>
      <c r="CL160" s="1577">
        <f t="shared" si="181"/>
        <v>0</v>
      </c>
      <c r="CM160" s="1576">
        <f t="shared" si="211"/>
        <v>0</v>
      </c>
      <c r="CN160" s="1495">
        <f t="shared" si="182"/>
        <v>0</v>
      </c>
      <c r="CO160" s="1577">
        <f t="shared" si="183"/>
        <v>0</v>
      </c>
      <c r="CP160" s="1576">
        <f t="shared" si="212"/>
        <v>0</v>
      </c>
      <c r="CQ160" s="1495">
        <f t="shared" si="184"/>
        <v>0</v>
      </c>
      <c r="CR160" s="1577">
        <f t="shared" si="185"/>
        <v>0</v>
      </c>
      <c r="CS160" s="1576">
        <f t="shared" si="213"/>
        <v>0</v>
      </c>
      <c r="CT160" s="1495">
        <f t="shared" si="186"/>
        <v>0</v>
      </c>
      <c r="CU160" s="1577">
        <f t="shared" si="187"/>
        <v>0</v>
      </c>
      <c r="CV160" s="1576">
        <f t="shared" si="214"/>
        <v>0</v>
      </c>
      <c r="CW160" s="1495">
        <f t="shared" si="188"/>
        <v>0</v>
      </c>
      <c r="CX160" s="1577">
        <f t="shared" si="189"/>
        <v>0</v>
      </c>
      <c r="CY160" s="1576">
        <f t="shared" si="215"/>
        <v>0</v>
      </c>
      <c r="CZ160" s="1574">
        <f t="shared" si="216"/>
        <v>0</v>
      </c>
      <c r="DA160" s="1578">
        <f t="shared" si="218"/>
        <v>0</v>
      </c>
      <c r="DB160" s="1579">
        <f t="shared" si="219"/>
        <v>0</v>
      </c>
      <c r="DC160" s="1578">
        <f t="shared" si="220"/>
        <v>0</v>
      </c>
      <c r="DD160" s="1578">
        <f t="shared" si="220"/>
        <v>0</v>
      </c>
      <c r="DE160" s="1578">
        <f t="shared" si="220"/>
        <v>0</v>
      </c>
      <c r="DF160" s="1578">
        <f t="shared" si="221"/>
        <v>0</v>
      </c>
      <c r="DG160" s="1420"/>
      <c r="DH160" s="1420"/>
    </row>
    <row r="161" spans="1:151">
      <c r="A161" s="1603"/>
      <c r="C161" s="2449"/>
      <c r="D161" s="2449"/>
      <c r="K161" s="1592"/>
      <c r="L161" s="1592"/>
      <c r="M161" s="1475"/>
      <c r="BD161" s="1475"/>
      <c r="BE161" s="1571" t="s">
        <v>1212</v>
      </c>
      <c r="BF161" s="1436">
        <v>21</v>
      </c>
      <c r="BG161" s="1436">
        <v>22</v>
      </c>
      <c r="BH161" s="1436">
        <v>6</v>
      </c>
      <c r="BI161" s="1495" t="b">
        <f t="shared" si="217"/>
        <v>0</v>
      </c>
      <c r="BJ161" s="1450" t="b">
        <f t="shared" si="164"/>
        <v>0</v>
      </c>
      <c r="BK161" s="1572">
        <f t="shared" si="165"/>
        <v>0</v>
      </c>
      <c r="BL161" s="1581">
        <f>IF(SUM(BL$140:BL160,BK161)&gt;$BN$4,0,BK161)</f>
        <v>0</v>
      </c>
      <c r="BM161" s="1436">
        <f t="shared" si="202"/>
        <v>0</v>
      </c>
      <c r="BN161" s="1495">
        <f t="shared" si="203"/>
        <v>0</v>
      </c>
      <c r="BO161" s="1437">
        <f t="shared" si="222"/>
        <v>0</v>
      </c>
      <c r="BP161" s="1574">
        <f t="shared" si="166"/>
        <v>0</v>
      </c>
      <c r="BQ161" s="1577">
        <f t="shared" si="167"/>
        <v>0</v>
      </c>
      <c r="BR161" s="1576">
        <f t="shared" si="204"/>
        <v>0</v>
      </c>
      <c r="BS161" s="1574">
        <f t="shared" si="168"/>
        <v>0</v>
      </c>
      <c r="BT161" s="1577">
        <f t="shared" si="169"/>
        <v>0</v>
      </c>
      <c r="BU161" s="1576">
        <f t="shared" si="205"/>
        <v>0</v>
      </c>
      <c r="BV161" s="1574">
        <f t="shared" si="170"/>
        <v>0</v>
      </c>
      <c r="BW161" s="1577">
        <f t="shared" si="171"/>
        <v>0</v>
      </c>
      <c r="BX161" s="1576">
        <f t="shared" si="206"/>
        <v>0</v>
      </c>
      <c r="BY161" s="1574">
        <f t="shared" si="172"/>
        <v>0</v>
      </c>
      <c r="BZ161" s="1577">
        <f t="shared" si="173"/>
        <v>0</v>
      </c>
      <c r="CA161" s="1576">
        <f t="shared" si="207"/>
        <v>0</v>
      </c>
      <c r="CB161" s="1495">
        <f t="shared" si="174"/>
        <v>0</v>
      </c>
      <c r="CC161" s="1577">
        <f t="shared" si="175"/>
        <v>0</v>
      </c>
      <c r="CD161" s="1576">
        <f t="shared" si="208"/>
        <v>0</v>
      </c>
      <c r="CE161" s="1495">
        <f t="shared" si="176"/>
        <v>0</v>
      </c>
      <c r="CF161" s="1577">
        <f t="shared" si="177"/>
        <v>0</v>
      </c>
      <c r="CG161" s="1576">
        <f t="shared" si="209"/>
        <v>0</v>
      </c>
      <c r="CH161" s="1495">
        <f t="shared" si="178"/>
        <v>0</v>
      </c>
      <c r="CI161" s="1577">
        <f t="shared" si="179"/>
        <v>0</v>
      </c>
      <c r="CJ161" s="1576">
        <f t="shared" si="210"/>
        <v>0</v>
      </c>
      <c r="CK161" s="1495">
        <f t="shared" si="180"/>
        <v>0</v>
      </c>
      <c r="CL161" s="1577">
        <f t="shared" si="181"/>
        <v>0</v>
      </c>
      <c r="CM161" s="1576">
        <f t="shared" si="211"/>
        <v>0</v>
      </c>
      <c r="CN161" s="1495">
        <f t="shared" si="182"/>
        <v>0</v>
      </c>
      <c r="CO161" s="1577">
        <f t="shared" si="183"/>
        <v>0</v>
      </c>
      <c r="CP161" s="1576">
        <f t="shared" si="212"/>
        <v>0</v>
      </c>
      <c r="CQ161" s="1495">
        <f t="shared" si="184"/>
        <v>0</v>
      </c>
      <c r="CR161" s="1577">
        <f t="shared" si="185"/>
        <v>0</v>
      </c>
      <c r="CS161" s="1576">
        <f t="shared" si="213"/>
        <v>0</v>
      </c>
      <c r="CT161" s="1495">
        <f t="shared" si="186"/>
        <v>0</v>
      </c>
      <c r="CU161" s="1577">
        <f t="shared" si="187"/>
        <v>0</v>
      </c>
      <c r="CV161" s="1576">
        <f t="shared" si="214"/>
        <v>0</v>
      </c>
      <c r="CW161" s="1495">
        <f t="shared" si="188"/>
        <v>0</v>
      </c>
      <c r="CX161" s="1577">
        <f t="shared" si="189"/>
        <v>0</v>
      </c>
      <c r="CY161" s="1576">
        <f t="shared" si="215"/>
        <v>0</v>
      </c>
      <c r="CZ161" s="1574">
        <f t="shared" si="216"/>
        <v>0</v>
      </c>
      <c r="DA161" s="1578">
        <f t="shared" si="218"/>
        <v>0</v>
      </c>
      <c r="DB161" s="1579">
        <f t="shared" si="219"/>
        <v>0</v>
      </c>
      <c r="DC161" s="1578">
        <f t="shared" si="220"/>
        <v>0</v>
      </c>
      <c r="DD161" s="1578">
        <f t="shared" si="220"/>
        <v>0</v>
      </c>
      <c r="DE161" s="1578">
        <f t="shared" si="220"/>
        <v>0</v>
      </c>
      <c r="DF161" s="1578">
        <f t="shared" si="221"/>
        <v>0</v>
      </c>
      <c r="DG161" s="1420"/>
      <c r="DH161" s="1420"/>
    </row>
    <row r="162" spans="1:151">
      <c r="A162" s="1603"/>
      <c r="B162" s="1600" t="s">
        <v>800</v>
      </c>
      <c r="C162" s="2510"/>
      <c r="D162" s="2511"/>
      <c r="K162" s="1592"/>
      <c r="L162" s="1592"/>
      <c r="M162" s="1592"/>
      <c r="BD162" s="1475"/>
      <c r="BE162" s="1571" t="s">
        <v>1212</v>
      </c>
      <c r="BF162" s="1436">
        <v>21</v>
      </c>
      <c r="BG162" s="1436">
        <v>23</v>
      </c>
      <c r="BH162" s="1436">
        <v>7</v>
      </c>
      <c r="BI162" s="1495" t="b">
        <f t="shared" si="217"/>
        <v>0</v>
      </c>
      <c r="BJ162" s="1450" t="b">
        <f t="shared" si="164"/>
        <v>0</v>
      </c>
      <c r="BK162" s="1572">
        <f t="shared" si="165"/>
        <v>0</v>
      </c>
      <c r="BL162" s="1581">
        <f>IF(SUM(BL$140:BL161,BK162)&gt;$BN$4,0,BK162)</f>
        <v>0</v>
      </c>
      <c r="BM162" s="1436">
        <f t="shared" si="202"/>
        <v>0</v>
      </c>
      <c r="BN162" s="1495">
        <f t="shared" si="203"/>
        <v>0</v>
      </c>
      <c r="BO162" s="1437">
        <f t="shared" si="222"/>
        <v>0</v>
      </c>
      <c r="BP162" s="1574">
        <f t="shared" si="166"/>
        <v>0</v>
      </c>
      <c r="BQ162" s="1577">
        <f t="shared" si="167"/>
        <v>0</v>
      </c>
      <c r="BR162" s="1576">
        <f t="shared" si="204"/>
        <v>0</v>
      </c>
      <c r="BS162" s="1574">
        <f t="shared" si="168"/>
        <v>0</v>
      </c>
      <c r="BT162" s="1577">
        <f t="shared" si="169"/>
        <v>0</v>
      </c>
      <c r="BU162" s="1576">
        <f t="shared" si="205"/>
        <v>0</v>
      </c>
      <c r="BV162" s="1574">
        <f t="shared" si="170"/>
        <v>0</v>
      </c>
      <c r="BW162" s="1577">
        <f t="shared" si="171"/>
        <v>0</v>
      </c>
      <c r="BX162" s="1576">
        <f t="shared" si="206"/>
        <v>0</v>
      </c>
      <c r="BY162" s="1574">
        <f t="shared" si="172"/>
        <v>0</v>
      </c>
      <c r="BZ162" s="1577">
        <f t="shared" si="173"/>
        <v>0</v>
      </c>
      <c r="CA162" s="1576">
        <f t="shared" si="207"/>
        <v>0</v>
      </c>
      <c r="CB162" s="1495">
        <f t="shared" si="174"/>
        <v>0</v>
      </c>
      <c r="CC162" s="1577">
        <f t="shared" si="175"/>
        <v>0</v>
      </c>
      <c r="CD162" s="1576">
        <f t="shared" si="208"/>
        <v>0</v>
      </c>
      <c r="CE162" s="1495">
        <f t="shared" si="176"/>
        <v>0</v>
      </c>
      <c r="CF162" s="1577">
        <f t="shared" si="177"/>
        <v>0</v>
      </c>
      <c r="CG162" s="1576">
        <f t="shared" si="209"/>
        <v>0</v>
      </c>
      <c r="CH162" s="1495">
        <f t="shared" si="178"/>
        <v>0</v>
      </c>
      <c r="CI162" s="1577">
        <f t="shared" si="179"/>
        <v>0</v>
      </c>
      <c r="CJ162" s="1576">
        <f t="shared" si="210"/>
        <v>0</v>
      </c>
      <c r="CK162" s="1495">
        <f t="shared" si="180"/>
        <v>0</v>
      </c>
      <c r="CL162" s="1577">
        <f t="shared" si="181"/>
        <v>0</v>
      </c>
      <c r="CM162" s="1576">
        <f t="shared" si="211"/>
        <v>0</v>
      </c>
      <c r="CN162" s="1495">
        <f t="shared" si="182"/>
        <v>0</v>
      </c>
      <c r="CO162" s="1577">
        <f t="shared" si="183"/>
        <v>0</v>
      </c>
      <c r="CP162" s="1576">
        <f t="shared" si="212"/>
        <v>0</v>
      </c>
      <c r="CQ162" s="1495">
        <f t="shared" si="184"/>
        <v>0</v>
      </c>
      <c r="CR162" s="1577">
        <f t="shared" si="185"/>
        <v>0</v>
      </c>
      <c r="CS162" s="1576">
        <f t="shared" si="213"/>
        <v>0</v>
      </c>
      <c r="CT162" s="1495">
        <f t="shared" si="186"/>
        <v>0</v>
      </c>
      <c r="CU162" s="1577">
        <f t="shared" si="187"/>
        <v>0</v>
      </c>
      <c r="CV162" s="1576">
        <f t="shared" si="214"/>
        <v>0</v>
      </c>
      <c r="CW162" s="1495">
        <f t="shared" si="188"/>
        <v>0</v>
      </c>
      <c r="CX162" s="1577">
        <f t="shared" si="189"/>
        <v>0</v>
      </c>
      <c r="CY162" s="1576">
        <f t="shared" si="215"/>
        <v>0</v>
      </c>
      <c r="CZ162" s="1574">
        <f t="shared" si="216"/>
        <v>0</v>
      </c>
      <c r="DA162" s="1578">
        <f t="shared" si="218"/>
        <v>0</v>
      </c>
      <c r="DB162" s="1579">
        <f t="shared" si="219"/>
        <v>0</v>
      </c>
      <c r="DC162" s="1578">
        <f t="shared" si="220"/>
        <v>0</v>
      </c>
      <c r="DD162" s="1578">
        <f t="shared" si="220"/>
        <v>0</v>
      </c>
      <c r="DE162" s="1578">
        <f t="shared" si="220"/>
        <v>0</v>
      </c>
      <c r="DF162" s="1578">
        <f t="shared" si="221"/>
        <v>0</v>
      </c>
      <c r="DG162" s="1420"/>
      <c r="DH162" s="1420"/>
    </row>
    <row r="163" spans="1:151">
      <c r="A163" s="1587"/>
      <c r="B163" s="1600" t="s">
        <v>801</v>
      </c>
      <c r="C163" s="2510"/>
      <c r="D163" s="2511"/>
      <c r="K163" s="1592"/>
      <c r="L163" s="1592"/>
      <c r="M163" s="1592"/>
      <c r="BD163" s="1475"/>
      <c r="BE163" s="1571" t="s">
        <v>1212</v>
      </c>
      <c r="BF163" s="1436">
        <v>21</v>
      </c>
      <c r="BG163" s="1436">
        <v>24</v>
      </c>
      <c r="BH163" s="1436">
        <v>1</v>
      </c>
      <c r="BI163" s="1495" t="b">
        <f t="shared" si="217"/>
        <v>1</v>
      </c>
      <c r="BJ163" s="1450" t="b">
        <f t="shared" si="164"/>
        <v>0</v>
      </c>
      <c r="BK163" s="1572">
        <f t="shared" si="165"/>
        <v>0</v>
      </c>
      <c r="BL163" s="1581">
        <f>IF(SUM(BL$140:BL162,BK163)&gt;$BN$4,0,BK163)</f>
        <v>0</v>
      </c>
      <c r="BM163" s="1436">
        <f t="shared" si="202"/>
        <v>0</v>
      </c>
      <c r="BN163" s="1495">
        <f t="shared" si="203"/>
        <v>0</v>
      </c>
      <c r="BO163" s="1437">
        <f t="shared" si="222"/>
        <v>0</v>
      </c>
      <c r="BP163" s="1574">
        <f t="shared" si="166"/>
        <v>0</v>
      </c>
      <c r="BQ163" s="1577">
        <f t="shared" si="167"/>
        <v>0</v>
      </c>
      <c r="BR163" s="1576">
        <f t="shared" si="204"/>
        <v>0</v>
      </c>
      <c r="BS163" s="1574">
        <f t="shared" si="168"/>
        <v>0</v>
      </c>
      <c r="BT163" s="1577">
        <f t="shared" si="169"/>
        <v>0</v>
      </c>
      <c r="BU163" s="1576">
        <f t="shared" si="205"/>
        <v>0</v>
      </c>
      <c r="BV163" s="1574">
        <f t="shared" si="170"/>
        <v>0</v>
      </c>
      <c r="BW163" s="1577">
        <f t="shared" si="171"/>
        <v>0</v>
      </c>
      <c r="BX163" s="1576">
        <f t="shared" si="206"/>
        <v>0</v>
      </c>
      <c r="BY163" s="1574">
        <f t="shared" si="172"/>
        <v>0</v>
      </c>
      <c r="BZ163" s="1577">
        <f t="shared" si="173"/>
        <v>0</v>
      </c>
      <c r="CA163" s="1576">
        <f t="shared" si="207"/>
        <v>0</v>
      </c>
      <c r="CB163" s="1495">
        <f t="shared" si="174"/>
        <v>0</v>
      </c>
      <c r="CC163" s="1577">
        <f t="shared" si="175"/>
        <v>0</v>
      </c>
      <c r="CD163" s="1576">
        <f t="shared" si="208"/>
        <v>0</v>
      </c>
      <c r="CE163" s="1495">
        <f t="shared" si="176"/>
        <v>0</v>
      </c>
      <c r="CF163" s="1577">
        <f t="shared" si="177"/>
        <v>0</v>
      </c>
      <c r="CG163" s="1576">
        <f t="shared" si="209"/>
        <v>0</v>
      </c>
      <c r="CH163" s="1495">
        <f t="shared" si="178"/>
        <v>0</v>
      </c>
      <c r="CI163" s="1577">
        <f t="shared" si="179"/>
        <v>0</v>
      </c>
      <c r="CJ163" s="1576">
        <f t="shared" si="210"/>
        <v>0</v>
      </c>
      <c r="CK163" s="1495">
        <f t="shared" si="180"/>
        <v>0</v>
      </c>
      <c r="CL163" s="1577">
        <f t="shared" si="181"/>
        <v>0</v>
      </c>
      <c r="CM163" s="1576">
        <f t="shared" si="211"/>
        <v>0</v>
      </c>
      <c r="CN163" s="1495">
        <f t="shared" si="182"/>
        <v>0</v>
      </c>
      <c r="CO163" s="1577">
        <f t="shared" si="183"/>
        <v>0</v>
      </c>
      <c r="CP163" s="1576">
        <f t="shared" si="212"/>
        <v>0</v>
      </c>
      <c r="CQ163" s="1495">
        <f t="shared" si="184"/>
        <v>0</v>
      </c>
      <c r="CR163" s="1577">
        <f t="shared" si="185"/>
        <v>0</v>
      </c>
      <c r="CS163" s="1576">
        <f t="shared" si="213"/>
        <v>0</v>
      </c>
      <c r="CT163" s="1495">
        <f t="shared" si="186"/>
        <v>0</v>
      </c>
      <c r="CU163" s="1577">
        <f t="shared" si="187"/>
        <v>0</v>
      </c>
      <c r="CV163" s="1576">
        <f t="shared" si="214"/>
        <v>0</v>
      </c>
      <c r="CW163" s="1495">
        <f t="shared" si="188"/>
        <v>0</v>
      </c>
      <c r="CX163" s="1577">
        <f t="shared" si="189"/>
        <v>0</v>
      </c>
      <c r="CY163" s="1576">
        <f t="shared" si="215"/>
        <v>0</v>
      </c>
      <c r="CZ163" s="1574">
        <f t="shared" si="216"/>
        <v>0</v>
      </c>
      <c r="DA163" s="1578">
        <f t="shared" si="218"/>
        <v>0</v>
      </c>
      <c r="DB163" s="1579">
        <f t="shared" si="219"/>
        <v>0</v>
      </c>
      <c r="DC163" s="1578">
        <f t="shared" si="220"/>
        <v>0</v>
      </c>
      <c r="DD163" s="1578">
        <f t="shared" si="220"/>
        <v>0</v>
      </c>
      <c r="DE163" s="1578">
        <f t="shared" si="220"/>
        <v>0</v>
      </c>
      <c r="DF163" s="1578">
        <f t="shared" si="221"/>
        <v>0</v>
      </c>
      <c r="DG163" s="1420"/>
      <c r="DH163" s="1420"/>
    </row>
    <row r="164" spans="1:151" ht="12">
      <c r="A164" s="1587"/>
      <c r="B164" s="1600" t="s">
        <v>881</v>
      </c>
      <c r="C164" s="2510"/>
      <c r="D164" s="2511"/>
      <c r="E164" s="1475"/>
      <c r="F164" s="1475"/>
      <c r="G164" s="1475"/>
      <c r="H164" s="1475"/>
      <c r="I164" s="1475"/>
      <c r="J164" s="1475"/>
      <c r="K164" s="1592"/>
      <c r="L164" s="1592"/>
      <c r="M164" s="1592"/>
      <c r="BD164" s="1475"/>
      <c r="BE164" s="1571" t="s">
        <v>1212</v>
      </c>
      <c r="BF164" s="1436">
        <v>21</v>
      </c>
      <c r="BG164" s="1436">
        <v>25</v>
      </c>
      <c r="BH164" s="1436">
        <v>2</v>
      </c>
      <c r="BI164" s="1495" t="b">
        <f t="shared" si="217"/>
        <v>1</v>
      </c>
      <c r="BJ164" s="1450" t="b">
        <f t="shared" si="164"/>
        <v>0</v>
      </c>
      <c r="BK164" s="1572">
        <f t="shared" si="165"/>
        <v>0</v>
      </c>
      <c r="BL164" s="1581">
        <f>IF(SUM(BL$140:BL163,BK164)&gt;$BN$4,0,BK164)</f>
        <v>0</v>
      </c>
      <c r="BM164" s="1436">
        <f t="shared" si="202"/>
        <v>0</v>
      </c>
      <c r="BN164" s="1495">
        <f t="shared" si="203"/>
        <v>0</v>
      </c>
      <c r="BO164" s="1437">
        <f t="shared" si="222"/>
        <v>0</v>
      </c>
      <c r="BP164" s="1574">
        <f t="shared" si="166"/>
        <v>0</v>
      </c>
      <c r="BQ164" s="1577">
        <f t="shared" si="167"/>
        <v>0</v>
      </c>
      <c r="BR164" s="1576">
        <f t="shared" si="204"/>
        <v>0</v>
      </c>
      <c r="BS164" s="1574">
        <f t="shared" si="168"/>
        <v>0</v>
      </c>
      <c r="BT164" s="1577">
        <f t="shared" si="169"/>
        <v>0</v>
      </c>
      <c r="BU164" s="1576">
        <f t="shared" si="205"/>
        <v>0</v>
      </c>
      <c r="BV164" s="1574">
        <f t="shared" si="170"/>
        <v>0</v>
      </c>
      <c r="BW164" s="1577">
        <f t="shared" si="171"/>
        <v>0</v>
      </c>
      <c r="BX164" s="1576">
        <f t="shared" si="206"/>
        <v>0</v>
      </c>
      <c r="BY164" s="1574">
        <f t="shared" si="172"/>
        <v>0</v>
      </c>
      <c r="BZ164" s="1577">
        <f t="shared" si="173"/>
        <v>0</v>
      </c>
      <c r="CA164" s="1576">
        <f t="shared" si="207"/>
        <v>0</v>
      </c>
      <c r="CB164" s="1495">
        <f t="shared" si="174"/>
        <v>0</v>
      </c>
      <c r="CC164" s="1577">
        <f t="shared" si="175"/>
        <v>0</v>
      </c>
      <c r="CD164" s="1576">
        <f t="shared" si="208"/>
        <v>0</v>
      </c>
      <c r="CE164" s="1495">
        <f t="shared" si="176"/>
        <v>0</v>
      </c>
      <c r="CF164" s="1577">
        <f t="shared" si="177"/>
        <v>0</v>
      </c>
      <c r="CG164" s="1576">
        <f t="shared" si="209"/>
        <v>0</v>
      </c>
      <c r="CH164" s="1495">
        <f t="shared" si="178"/>
        <v>0</v>
      </c>
      <c r="CI164" s="1577">
        <f t="shared" si="179"/>
        <v>0</v>
      </c>
      <c r="CJ164" s="1576">
        <f t="shared" si="210"/>
        <v>0</v>
      </c>
      <c r="CK164" s="1495">
        <f t="shared" si="180"/>
        <v>0</v>
      </c>
      <c r="CL164" s="1577">
        <f t="shared" si="181"/>
        <v>0</v>
      </c>
      <c r="CM164" s="1576">
        <f t="shared" si="211"/>
        <v>0</v>
      </c>
      <c r="CN164" s="1495">
        <f t="shared" si="182"/>
        <v>0</v>
      </c>
      <c r="CO164" s="1577">
        <f t="shared" si="183"/>
        <v>0</v>
      </c>
      <c r="CP164" s="1576">
        <f t="shared" si="212"/>
        <v>0</v>
      </c>
      <c r="CQ164" s="1495">
        <f t="shared" si="184"/>
        <v>0</v>
      </c>
      <c r="CR164" s="1577">
        <f t="shared" si="185"/>
        <v>0</v>
      </c>
      <c r="CS164" s="1576">
        <f t="shared" si="213"/>
        <v>0</v>
      </c>
      <c r="CT164" s="1495">
        <f t="shared" si="186"/>
        <v>0</v>
      </c>
      <c r="CU164" s="1577">
        <f t="shared" si="187"/>
        <v>0</v>
      </c>
      <c r="CV164" s="1576">
        <f t="shared" si="214"/>
        <v>0</v>
      </c>
      <c r="CW164" s="1495">
        <f t="shared" si="188"/>
        <v>0</v>
      </c>
      <c r="CX164" s="1577">
        <f t="shared" si="189"/>
        <v>0</v>
      </c>
      <c r="CY164" s="1576">
        <f t="shared" si="215"/>
        <v>0</v>
      </c>
      <c r="CZ164" s="1574">
        <f t="shared" si="216"/>
        <v>0</v>
      </c>
      <c r="DA164" s="1578">
        <f t="shared" si="218"/>
        <v>0</v>
      </c>
      <c r="DB164" s="1579">
        <f t="shared" si="219"/>
        <v>0</v>
      </c>
      <c r="DC164" s="1578">
        <f t="shared" si="220"/>
        <v>0</v>
      </c>
      <c r="DD164" s="1578">
        <f t="shared" si="220"/>
        <v>0</v>
      </c>
      <c r="DE164" s="1578">
        <f t="shared" si="220"/>
        <v>0</v>
      </c>
      <c r="DF164" s="1578">
        <f t="shared" si="221"/>
        <v>0</v>
      </c>
      <c r="DG164" s="1420"/>
      <c r="DH164" s="1420"/>
    </row>
    <row r="165" spans="1:151" ht="12">
      <c r="A165" s="1587"/>
      <c r="B165" s="1600" t="s">
        <v>882</v>
      </c>
      <c r="C165" s="2510"/>
      <c r="D165" s="2511"/>
      <c r="G165" s="1475"/>
      <c r="H165" s="1475"/>
      <c r="I165" s="1475"/>
      <c r="J165" s="1475"/>
      <c r="K165" s="1592"/>
      <c r="L165" s="1592"/>
      <c r="M165" s="1592"/>
      <c r="BD165" s="1475"/>
      <c r="BE165" s="1571" t="s">
        <v>1212</v>
      </c>
      <c r="BF165" s="1436">
        <v>21</v>
      </c>
      <c r="BG165" s="1436">
        <v>26</v>
      </c>
      <c r="BH165" s="1436">
        <v>3</v>
      </c>
      <c r="BI165" s="1495" t="b">
        <f t="shared" si="217"/>
        <v>1</v>
      </c>
      <c r="BJ165" s="1450" t="b">
        <f t="shared" si="164"/>
        <v>0</v>
      </c>
      <c r="BK165" s="1572">
        <f t="shared" si="165"/>
        <v>0</v>
      </c>
      <c r="BL165" s="1581">
        <f>IF(SUM(BL$140:BL164,BK165)&gt;$BN$4,0,BK165)</f>
        <v>0</v>
      </c>
      <c r="BM165" s="1436">
        <f t="shared" si="202"/>
        <v>0</v>
      </c>
      <c r="BN165" s="1495">
        <f t="shared" si="203"/>
        <v>0</v>
      </c>
      <c r="BO165" s="1437">
        <f t="shared" si="222"/>
        <v>0</v>
      </c>
      <c r="BP165" s="1574">
        <f t="shared" si="166"/>
        <v>0</v>
      </c>
      <c r="BQ165" s="1577">
        <f t="shared" si="167"/>
        <v>0</v>
      </c>
      <c r="BR165" s="1576">
        <f t="shared" si="204"/>
        <v>0</v>
      </c>
      <c r="BS165" s="1574">
        <f t="shared" si="168"/>
        <v>0</v>
      </c>
      <c r="BT165" s="1577">
        <f t="shared" si="169"/>
        <v>0</v>
      </c>
      <c r="BU165" s="1576">
        <f t="shared" si="205"/>
        <v>0</v>
      </c>
      <c r="BV165" s="1574">
        <f t="shared" si="170"/>
        <v>0</v>
      </c>
      <c r="BW165" s="1577">
        <f t="shared" si="171"/>
        <v>0</v>
      </c>
      <c r="BX165" s="1576">
        <f t="shared" si="206"/>
        <v>0</v>
      </c>
      <c r="BY165" s="1574">
        <f t="shared" si="172"/>
        <v>0</v>
      </c>
      <c r="BZ165" s="1577">
        <f t="shared" si="173"/>
        <v>0</v>
      </c>
      <c r="CA165" s="1576">
        <f t="shared" si="207"/>
        <v>0</v>
      </c>
      <c r="CB165" s="1495">
        <f t="shared" si="174"/>
        <v>0</v>
      </c>
      <c r="CC165" s="1577">
        <f t="shared" si="175"/>
        <v>0</v>
      </c>
      <c r="CD165" s="1576">
        <f t="shared" si="208"/>
        <v>0</v>
      </c>
      <c r="CE165" s="1495">
        <f t="shared" si="176"/>
        <v>0</v>
      </c>
      <c r="CF165" s="1577">
        <f t="shared" si="177"/>
        <v>0</v>
      </c>
      <c r="CG165" s="1576">
        <f t="shared" si="209"/>
        <v>0</v>
      </c>
      <c r="CH165" s="1495">
        <f t="shared" si="178"/>
        <v>0</v>
      </c>
      <c r="CI165" s="1577">
        <f t="shared" si="179"/>
        <v>0</v>
      </c>
      <c r="CJ165" s="1576">
        <f t="shared" si="210"/>
        <v>0</v>
      </c>
      <c r="CK165" s="1495">
        <f t="shared" si="180"/>
        <v>0</v>
      </c>
      <c r="CL165" s="1577">
        <f t="shared" si="181"/>
        <v>0</v>
      </c>
      <c r="CM165" s="1576">
        <f t="shared" si="211"/>
        <v>0</v>
      </c>
      <c r="CN165" s="1495">
        <f t="shared" si="182"/>
        <v>0</v>
      </c>
      <c r="CO165" s="1577">
        <f t="shared" si="183"/>
        <v>0</v>
      </c>
      <c r="CP165" s="1576">
        <f t="shared" si="212"/>
        <v>0</v>
      </c>
      <c r="CQ165" s="1495">
        <f t="shared" si="184"/>
        <v>0</v>
      </c>
      <c r="CR165" s="1577">
        <f t="shared" si="185"/>
        <v>0</v>
      </c>
      <c r="CS165" s="1576">
        <f t="shared" si="213"/>
        <v>0</v>
      </c>
      <c r="CT165" s="1495">
        <f t="shared" si="186"/>
        <v>0</v>
      </c>
      <c r="CU165" s="1577">
        <f t="shared" si="187"/>
        <v>0</v>
      </c>
      <c r="CV165" s="1576">
        <f t="shared" si="214"/>
        <v>0</v>
      </c>
      <c r="CW165" s="1495">
        <f t="shared" si="188"/>
        <v>0</v>
      </c>
      <c r="CX165" s="1577">
        <f t="shared" si="189"/>
        <v>0</v>
      </c>
      <c r="CY165" s="1576">
        <f t="shared" si="215"/>
        <v>0</v>
      </c>
      <c r="CZ165" s="1574">
        <f t="shared" si="216"/>
        <v>0</v>
      </c>
      <c r="DA165" s="1578">
        <f t="shared" si="218"/>
        <v>0</v>
      </c>
      <c r="DB165" s="1579">
        <f t="shared" si="219"/>
        <v>0</v>
      </c>
      <c r="DC165" s="1578">
        <f t="shared" si="220"/>
        <v>0</v>
      </c>
      <c r="DD165" s="1578">
        <f t="shared" si="220"/>
        <v>0</v>
      </c>
      <c r="DE165" s="1578">
        <f t="shared" si="220"/>
        <v>0</v>
      </c>
      <c r="DF165" s="1578">
        <f t="shared" si="221"/>
        <v>0</v>
      </c>
      <c r="DG165" s="1420"/>
      <c r="DH165" s="1420"/>
    </row>
    <row r="166" spans="1:151" ht="12">
      <c r="A166" s="1587"/>
      <c r="B166" s="1600" t="s">
        <v>1212</v>
      </c>
      <c r="C166" s="2510"/>
      <c r="D166" s="2511"/>
      <c r="E166" s="1475"/>
      <c r="F166" s="1475"/>
      <c r="G166" s="1475"/>
      <c r="H166" s="1475"/>
      <c r="I166" s="1475"/>
      <c r="J166" s="1475"/>
      <c r="K166" s="1592"/>
      <c r="L166" s="1592"/>
      <c r="M166" s="1592"/>
      <c r="BD166" s="1475"/>
      <c r="BE166" s="1571" t="s">
        <v>1212</v>
      </c>
      <c r="BF166" s="1436">
        <v>21</v>
      </c>
      <c r="BG166" s="1436">
        <v>27</v>
      </c>
      <c r="BH166" s="1436">
        <v>4</v>
      </c>
      <c r="BI166" s="1495" t="b">
        <f t="shared" si="217"/>
        <v>1</v>
      </c>
      <c r="BJ166" s="1450" t="b">
        <f t="shared" si="164"/>
        <v>0</v>
      </c>
      <c r="BK166" s="1572">
        <f t="shared" si="165"/>
        <v>0</v>
      </c>
      <c r="BL166" s="1581">
        <f>IF(SUM(BL$140:BL165,BK166)&gt;$BN$4,0,BK166)</f>
        <v>0</v>
      </c>
      <c r="BM166" s="1436">
        <f t="shared" si="202"/>
        <v>0</v>
      </c>
      <c r="BN166" s="1495">
        <f t="shared" si="203"/>
        <v>0</v>
      </c>
      <c r="BO166" s="1437">
        <f t="shared" si="222"/>
        <v>0</v>
      </c>
      <c r="BP166" s="1574">
        <f t="shared" si="166"/>
        <v>0</v>
      </c>
      <c r="BQ166" s="1577">
        <f t="shared" si="167"/>
        <v>0</v>
      </c>
      <c r="BR166" s="1576">
        <f t="shared" si="204"/>
        <v>0</v>
      </c>
      <c r="BS166" s="1574">
        <f t="shared" si="168"/>
        <v>0</v>
      </c>
      <c r="BT166" s="1577">
        <f t="shared" si="169"/>
        <v>0</v>
      </c>
      <c r="BU166" s="1576">
        <f t="shared" si="205"/>
        <v>0</v>
      </c>
      <c r="BV166" s="1574">
        <f t="shared" si="170"/>
        <v>0</v>
      </c>
      <c r="BW166" s="1577">
        <f t="shared" si="171"/>
        <v>0</v>
      </c>
      <c r="BX166" s="1576">
        <f t="shared" si="206"/>
        <v>0</v>
      </c>
      <c r="BY166" s="1574">
        <f t="shared" si="172"/>
        <v>0</v>
      </c>
      <c r="BZ166" s="1577">
        <f t="shared" si="173"/>
        <v>0</v>
      </c>
      <c r="CA166" s="1576">
        <f t="shared" si="207"/>
        <v>0</v>
      </c>
      <c r="CB166" s="1495">
        <f t="shared" si="174"/>
        <v>0</v>
      </c>
      <c r="CC166" s="1577">
        <f t="shared" si="175"/>
        <v>0</v>
      </c>
      <c r="CD166" s="1576">
        <f t="shared" si="208"/>
        <v>0</v>
      </c>
      <c r="CE166" s="1495">
        <f t="shared" si="176"/>
        <v>0</v>
      </c>
      <c r="CF166" s="1577">
        <f t="shared" si="177"/>
        <v>0</v>
      </c>
      <c r="CG166" s="1576">
        <f t="shared" si="209"/>
        <v>0</v>
      </c>
      <c r="CH166" s="1495">
        <f t="shared" si="178"/>
        <v>0</v>
      </c>
      <c r="CI166" s="1577">
        <f t="shared" si="179"/>
        <v>0</v>
      </c>
      <c r="CJ166" s="1576">
        <f t="shared" si="210"/>
        <v>0</v>
      </c>
      <c r="CK166" s="1495">
        <f t="shared" si="180"/>
        <v>0</v>
      </c>
      <c r="CL166" s="1577">
        <f t="shared" si="181"/>
        <v>0</v>
      </c>
      <c r="CM166" s="1576">
        <f t="shared" si="211"/>
        <v>0</v>
      </c>
      <c r="CN166" s="1495">
        <f t="shared" si="182"/>
        <v>0</v>
      </c>
      <c r="CO166" s="1577">
        <f t="shared" si="183"/>
        <v>0</v>
      </c>
      <c r="CP166" s="1576">
        <f t="shared" si="212"/>
        <v>0</v>
      </c>
      <c r="CQ166" s="1495">
        <f t="shared" si="184"/>
        <v>0</v>
      </c>
      <c r="CR166" s="1577">
        <f t="shared" si="185"/>
        <v>0</v>
      </c>
      <c r="CS166" s="1576">
        <f t="shared" si="213"/>
        <v>0</v>
      </c>
      <c r="CT166" s="1495">
        <f t="shared" si="186"/>
        <v>0</v>
      </c>
      <c r="CU166" s="1577">
        <f t="shared" si="187"/>
        <v>0</v>
      </c>
      <c r="CV166" s="1576">
        <f t="shared" si="214"/>
        <v>0</v>
      </c>
      <c r="CW166" s="1495">
        <f t="shared" si="188"/>
        <v>0</v>
      </c>
      <c r="CX166" s="1577">
        <f t="shared" si="189"/>
        <v>0</v>
      </c>
      <c r="CY166" s="1576">
        <f t="shared" si="215"/>
        <v>0</v>
      </c>
      <c r="CZ166" s="1574">
        <f t="shared" si="216"/>
        <v>0</v>
      </c>
      <c r="DA166" s="1578">
        <f t="shared" si="218"/>
        <v>0</v>
      </c>
      <c r="DB166" s="1579">
        <f t="shared" si="219"/>
        <v>0</v>
      </c>
      <c r="DC166" s="1578">
        <f t="shared" si="220"/>
        <v>0</v>
      </c>
      <c r="DD166" s="1578">
        <f t="shared" si="220"/>
        <v>0</v>
      </c>
      <c r="DE166" s="1578">
        <f t="shared" si="220"/>
        <v>0</v>
      </c>
      <c r="DF166" s="1578">
        <f>IF(DA166-(DE165+CZ166)&lt;0,0,DA166-(DE165+CZ166))</f>
        <v>0</v>
      </c>
      <c r="DG166" s="1420"/>
      <c r="DH166" s="1420"/>
    </row>
    <row r="167" spans="1:151" ht="15" customHeight="1">
      <c r="A167" s="1587"/>
      <c r="B167" s="1600" t="s">
        <v>883</v>
      </c>
      <c r="C167" s="2510"/>
      <c r="D167" s="2511"/>
      <c r="E167" s="1475"/>
      <c r="F167" s="1475"/>
      <c r="G167" s="1475"/>
      <c r="H167" s="1475"/>
      <c r="I167" s="1475"/>
      <c r="J167" s="1475"/>
      <c r="K167" s="1592"/>
      <c r="L167" s="1592"/>
      <c r="M167" s="1592"/>
      <c r="BD167" s="1475"/>
      <c r="BE167" s="1571" t="s">
        <v>1212</v>
      </c>
      <c r="BF167" s="1436">
        <v>21</v>
      </c>
      <c r="BG167" s="1436">
        <v>28</v>
      </c>
      <c r="BH167" s="1436">
        <v>5</v>
      </c>
      <c r="BI167" s="1495" t="b">
        <f t="shared" si="217"/>
        <v>1</v>
      </c>
      <c r="BJ167" s="1450" t="b">
        <f t="shared" si="164"/>
        <v>0</v>
      </c>
      <c r="BK167" s="1572">
        <f t="shared" si="165"/>
        <v>0</v>
      </c>
      <c r="BL167" s="1581">
        <f>IF(SUM(BL$140:BL166,BK167)&gt;$BN$4,0,BK167)</f>
        <v>0</v>
      </c>
      <c r="BM167" s="1436">
        <f t="shared" si="202"/>
        <v>0</v>
      </c>
      <c r="BN167" s="1495">
        <f t="shared" si="203"/>
        <v>0</v>
      </c>
      <c r="BO167" s="1437">
        <f t="shared" si="222"/>
        <v>0</v>
      </c>
      <c r="BP167" s="1574">
        <f t="shared" si="166"/>
        <v>0</v>
      </c>
      <c r="BQ167" s="1577">
        <f t="shared" si="167"/>
        <v>0</v>
      </c>
      <c r="BR167" s="1576">
        <f t="shared" si="204"/>
        <v>0</v>
      </c>
      <c r="BS167" s="1574">
        <f t="shared" si="168"/>
        <v>0</v>
      </c>
      <c r="BT167" s="1577">
        <f t="shared" si="169"/>
        <v>0</v>
      </c>
      <c r="BU167" s="1576">
        <f t="shared" si="205"/>
        <v>0</v>
      </c>
      <c r="BV167" s="1574">
        <f t="shared" si="170"/>
        <v>0</v>
      </c>
      <c r="BW167" s="1577">
        <f t="shared" si="171"/>
        <v>0</v>
      </c>
      <c r="BX167" s="1576">
        <f t="shared" si="206"/>
        <v>0</v>
      </c>
      <c r="BY167" s="1574">
        <f t="shared" si="172"/>
        <v>0</v>
      </c>
      <c r="BZ167" s="1577">
        <f t="shared" si="173"/>
        <v>0</v>
      </c>
      <c r="CA167" s="1576">
        <f t="shared" si="207"/>
        <v>0</v>
      </c>
      <c r="CB167" s="1495">
        <f t="shared" si="174"/>
        <v>0</v>
      </c>
      <c r="CC167" s="1577">
        <f t="shared" si="175"/>
        <v>0</v>
      </c>
      <c r="CD167" s="1576">
        <f t="shared" si="208"/>
        <v>0</v>
      </c>
      <c r="CE167" s="1495">
        <f t="shared" si="176"/>
        <v>0</v>
      </c>
      <c r="CF167" s="1577">
        <f t="shared" si="177"/>
        <v>0</v>
      </c>
      <c r="CG167" s="1576">
        <f t="shared" si="209"/>
        <v>0</v>
      </c>
      <c r="CH167" s="1495">
        <f t="shared" si="178"/>
        <v>0</v>
      </c>
      <c r="CI167" s="1577">
        <f t="shared" si="179"/>
        <v>0</v>
      </c>
      <c r="CJ167" s="1576">
        <f t="shared" si="210"/>
        <v>0</v>
      </c>
      <c r="CK167" s="1495">
        <f t="shared" si="180"/>
        <v>0</v>
      </c>
      <c r="CL167" s="1577">
        <f t="shared" si="181"/>
        <v>0</v>
      </c>
      <c r="CM167" s="1576">
        <f t="shared" si="211"/>
        <v>0</v>
      </c>
      <c r="CN167" s="1495">
        <f t="shared" si="182"/>
        <v>0</v>
      </c>
      <c r="CO167" s="1577">
        <f t="shared" si="183"/>
        <v>0</v>
      </c>
      <c r="CP167" s="1576">
        <f t="shared" si="212"/>
        <v>0</v>
      </c>
      <c r="CQ167" s="1495">
        <f t="shared" si="184"/>
        <v>0</v>
      </c>
      <c r="CR167" s="1577">
        <f t="shared" si="185"/>
        <v>0</v>
      </c>
      <c r="CS167" s="1576">
        <f t="shared" si="213"/>
        <v>0</v>
      </c>
      <c r="CT167" s="1495">
        <f t="shared" si="186"/>
        <v>0</v>
      </c>
      <c r="CU167" s="1577">
        <f t="shared" si="187"/>
        <v>0</v>
      </c>
      <c r="CV167" s="1576">
        <f t="shared" si="214"/>
        <v>0</v>
      </c>
      <c r="CW167" s="1495">
        <f t="shared" si="188"/>
        <v>0</v>
      </c>
      <c r="CX167" s="1577">
        <f t="shared" si="189"/>
        <v>0</v>
      </c>
      <c r="CY167" s="1576">
        <f t="shared" si="215"/>
        <v>0</v>
      </c>
      <c r="CZ167" s="1574">
        <f t="shared" si="216"/>
        <v>0</v>
      </c>
      <c r="DA167" s="1578">
        <f t="shared" si="218"/>
        <v>0</v>
      </c>
      <c r="DB167" s="1579">
        <f t="shared" si="219"/>
        <v>0</v>
      </c>
      <c r="DC167" s="1578">
        <f t="shared" si="220"/>
        <v>0</v>
      </c>
      <c r="DD167" s="1578">
        <f t="shared" si="220"/>
        <v>0</v>
      </c>
      <c r="DE167" s="1578">
        <f t="shared" si="220"/>
        <v>0</v>
      </c>
      <c r="DF167" s="1578">
        <f t="shared" si="221"/>
        <v>0</v>
      </c>
      <c r="DG167" s="1420"/>
      <c r="DH167" s="1420"/>
    </row>
    <row r="168" spans="1:151" ht="15" customHeight="1">
      <c r="A168" s="1587"/>
      <c r="B168" s="1600" t="s">
        <v>884</v>
      </c>
      <c r="C168" s="2510"/>
      <c r="D168" s="2511"/>
      <c r="E168" s="1475"/>
      <c r="F168" s="1475"/>
      <c r="G168" s="1475"/>
      <c r="H168" s="1475"/>
      <c r="I168" s="1475"/>
      <c r="J168" s="1475"/>
      <c r="K168" s="1592"/>
      <c r="L168" s="1592"/>
      <c r="M168" s="1592"/>
      <c r="BD168" s="1475"/>
      <c r="BE168" s="1571" t="s">
        <v>1212</v>
      </c>
      <c r="BF168" s="1436">
        <v>21</v>
      </c>
      <c r="BG168" s="1436">
        <v>29</v>
      </c>
      <c r="BH168" s="1436">
        <v>6</v>
      </c>
      <c r="BI168" s="1495" t="b">
        <f t="shared" si="217"/>
        <v>0</v>
      </c>
      <c r="BJ168" s="1450" t="b">
        <f t="shared" si="164"/>
        <v>0</v>
      </c>
      <c r="BK168" s="1572">
        <f t="shared" si="165"/>
        <v>0</v>
      </c>
      <c r="BL168" s="1581">
        <f>IF(SUM(BL$140:BL167,BK168)&gt;$BN$4,0,BK168)</f>
        <v>0</v>
      </c>
      <c r="BM168" s="1436">
        <f t="shared" si="202"/>
        <v>0</v>
      </c>
      <c r="BN168" s="1495">
        <f t="shared" si="203"/>
        <v>0</v>
      </c>
      <c r="BO168" s="1437">
        <f t="shared" si="222"/>
        <v>0</v>
      </c>
      <c r="BP168" s="1574">
        <f t="shared" si="166"/>
        <v>0</v>
      </c>
      <c r="BQ168" s="1577">
        <f t="shared" si="167"/>
        <v>0</v>
      </c>
      <c r="BR168" s="1576">
        <f t="shared" si="204"/>
        <v>0</v>
      </c>
      <c r="BS168" s="1574">
        <f t="shared" si="168"/>
        <v>0</v>
      </c>
      <c r="BT168" s="1577">
        <f t="shared" si="169"/>
        <v>0</v>
      </c>
      <c r="BU168" s="1576">
        <f t="shared" si="205"/>
        <v>0</v>
      </c>
      <c r="BV168" s="1574">
        <f t="shared" si="170"/>
        <v>0</v>
      </c>
      <c r="BW168" s="1577">
        <f t="shared" si="171"/>
        <v>0</v>
      </c>
      <c r="BX168" s="1576">
        <f t="shared" si="206"/>
        <v>0</v>
      </c>
      <c r="BY168" s="1574">
        <f t="shared" si="172"/>
        <v>0</v>
      </c>
      <c r="BZ168" s="1577">
        <f t="shared" si="173"/>
        <v>0</v>
      </c>
      <c r="CA168" s="1576">
        <f t="shared" si="207"/>
        <v>0</v>
      </c>
      <c r="CB168" s="1495">
        <f t="shared" si="174"/>
        <v>0</v>
      </c>
      <c r="CC168" s="1577">
        <f t="shared" si="175"/>
        <v>0</v>
      </c>
      <c r="CD168" s="1576">
        <f t="shared" si="208"/>
        <v>0</v>
      </c>
      <c r="CE168" s="1495">
        <f t="shared" si="176"/>
        <v>0</v>
      </c>
      <c r="CF168" s="1577">
        <f t="shared" si="177"/>
        <v>0</v>
      </c>
      <c r="CG168" s="1576">
        <f t="shared" si="209"/>
        <v>0</v>
      </c>
      <c r="CH168" s="1495">
        <f t="shared" si="178"/>
        <v>0</v>
      </c>
      <c r="CI168" s="1577">
        <f t="shared" si="179"/>
        <v>0</v>
      </c>
      <c r="CJ168" s="1576">
        <f t="shared" si="210"/>
        <v>0</v>
      </c>
      <c r="CK168" s="1495">
        <f t="shared" si="180"/>
        <v>0</v>
      </c>
      <c r="CL168" s="1577">
        <f t="shared" si="181"/>
        <v>0</v>
      </c>
      <c r="CM168" s="1576">
        <f t="shared" si="211"/>
        <v>0</v>
      </c>
      <c r="CN168" s="1495">
        <f t="shared" si="182"/>
        <v>0</v>
      </c>
      <c r="CO168" s="1577">
        <f t="shared" si="183"/>
        <v>0</v>
      </c>
      <c r="CP168" s="1576">
        <f t="shared" si="212"/>
        <v>0</v>
      </c>
      <c r="CQ168" s="1495">
        <f t="shared" si="184"/>
        <v>0</v>
      </c>
      <c r="CR168" s="1577">
        <f t="shared" si="185"/>
        <v>0</v>
      </c>
      <c r="CS168" s="1576">
        <f t="shared" si="213"/>
        <v>0</v>
      </c>
      <c r="CT168" s="1495">
        <f t="shared" si="186"/>
        <v>0</v>
      </c>
      <c r="CU168" s="1577">
        <f t="shared" si="187"/>
        <v>0</v>
      </c>
      <c r="CV168" s="1576">
        <f t="shared" si="214"/>
        <v>0</v>
      </c>
      <c r="CW168" s="1495">
        <f t="shared" si="188"/>
        <v>0</v>
      </c>
      <c r="CX168" s="1577">
        <f t="shared" si="189"/>
        <v>0</v>
      </c>
      <c r="CY168" s="1576">
        <f t="shared" si="215"/>
        <v>0</v>
      </c>
      <c r="CZ168" s="1574">
        <f t="shared" si="216"/>
        <v>0</v>
      </c>
      <c r="DA168" s="1578">
        <f t="shared" si="218"/>
        <v>0</v>
      </c>
      <c r="DB168" s="1579">
        <f t="shared" si="219"/>
        <v>0</v>
      </c>
      <c r="DC168" s="1578">
        <f t="shared" si="220"/>
        <v>0</v>
      </c>
      <c r="DD168" s="1578">
        <f t="shared" si="220"/>
        <v>0</v>
      </c>
      <c r="DE168" s="1578">
        <f t="shared" si="220"/>
        <v>0</v>
      </c>
      <c r="DF168" s="1578">
        <f t="shared" si="221"/>
        <v>0</v>
      </c>
      <c r="DG168" s="1420"/>
      <c r="DH168" s="1420"/>
    </row>
    <row r="169" spans="1:151" ht="15" customHeight="1">
      <c r="A169" s="1587"/>
      <c r="B169" s="1600" t="s">
        <v>885</v>
      </c>
      <c r="C169" s="2510"/>
      <c r="D169" s="2511"/>
      <c r="E169" s="1475"/>
      <c r="F169" s="1475"/>
      <c r="G169" s="1475"/>
      <c r="H169" s="1475"/>
      <c r="I169" s="1475"/>
      <c r="J169" s="1475"/>
      <c r="K169" s="1592"/>
      <c r="L169" s="1592"/>
      <c r="M169" s="1592"/>
      <c r="BD169" s="1687"/>
      <c r="BE169" s="1571" t="s">
        <v>1212</v>
      </c>
      <c r="BF169" s="1436">
        <v>21</v>
      </c>
      <c r="BG169" s="1436">
        <v>30</v>
      </c>
      <c r="BH169" s="1436">
        <v>7</v>
      </c>
      <c r="BI169" s="1495" t="b">
        <f t="shared" si="217"/>
        <v>0</v>
      </c>
      <c r="BJ169" s="1450" t="b">
        <f t="shared" si="164"/>
        <v>0</v>
      </c>
      <c r="BK169" s="1572">
        <f t="shared" si="165"/>
        <v>0</v>
      </c>
      <c r="BL169" s="1581">
        <f>IF(SUM(BL$140:BL168,BK169)&gt;$BN$4,0,BK169)</f>
        <v>0</v>
      </c>
      <c r="BM169" s="1436">
        <f t="shared" si="202"/>
        <v>0</v>
      </c>
      <c r="BN169" s="1495">
        <f t="shared" si="203"/>
        <v>0</v>
      </c>
      <c r="BO169" s="1437">
        <f t="shared" si="222"/>
        <v>0</v>
      </c>
      <c r="BP169" s="1574">
        <f t="shared" si="166"/>
        <v>0</v>
      </c>
      <c r="BQ169" s="1577">
        <f t="shared" si="167"/>
        <v>0</v>
      </c>
      <c r="BR169" s="1576">
        <f t="shared" si="204"/>
        <v>0</v>
      </c>
      <c r="BS169" s="1574">
        <f t="shared" si="168"/>
        <v>0</v>
      </c>
      <c r="BT169" s="1577">
        <f t="shared" si="169"/>
        <v>0</v>
      </c>
      <c r="BU169" s="1576">
        <f t="shared" si="205"/>
        <v>0</v>
      </c>
      <c r="BV169" s="1574">
        <f t="shared" si="170"/>
        <v>0</v>
      </c>
      <c r="BW169" s="1577">
        <f t="shared" si="171"/>
        <v>0</v>
      </c>
      <c r="BX169" s="1576">
        <f t="shared" si="206"/>
        <v>0</v>
      </c>
      <c r="BY169" s="1574">
        <f t="shared" si="172"/>
        <v>0</v>
      </c>
      <c r="BZ169" s="1577">
        <f t="shared" si="173"/>
        <v>0</v>
      </c>
      <c r="CA169" s="1576">
        <f t="shared" si="207"/>
        <v>0</v>
      </c>
      <c r="CB169" s="1495">
        <f t="shared" si="174"/>
        <v>0</v>
      </c>
      <c r="CC169" s="1577">
        <f t="shared" si="175"/>
        <v>0</v>
      </c>
      <c r="CD169" s="1576">
        <f t="shared" si="208"/>
        <v>0</v>
      </c>
      <c r="CE169" s="1495">
        <f t="shared" si="176"/>
        <v>0</v>
      </c>
      <c r="CF169" s="1577">
        <f t="shared" si="177"/>
        <v>0</v>
      </c>
      <c r="CG169" s="1576">
        <f t="shared" si="209"/>
        <v>0</v>
      </c>
      <c r="CH169" s="1495">
        <f t="shared" si="178"/>
        <v>0</v>
      </c>
      <c r="CI169" s="1577">
        <f t="shared" si="179"/>
        <v>0</v>
      </c>
      <c r="CJ169" s="1576">
        <f t="shared" si="210"/>
        <v>0</v>
      </c>
      <c r="CK169" s="1495">
        <f t="shared" si="180"/>
        <v>0</v>
      </c>
      <c r="CL169" s="1577">
        <f t="shared" si="181"/>
        <v>0</v>
      </c>
      <c r="CM169" s="1576">
        <f t="shared" si="211"/>
        <v>0</v>
      </c>
      <c r="CN169" s="1495">
        <f t="shared" si="182"/>
        <v>0</v>
      </c>
      <c r="CO169" s="1577">
        <f t="shared" si="183"/>
        <v>0</v>
      </c>
      <c r="CP169" s="1576">
        <f t="shared" si="212"/>
        <v>0</v>
      </c>
      <c r="CQ169" s="1495">
        <f t="shared" si="184"/>
        <v>0</v>
      </c>
      <c r="CR169" s="1577">
        <f t="shared" si="185"/>
        <v>0</v>
      </c>
      <c r="CS169" s="1576">
        <f t="shared" si="213"/>
        <v>0</v>
      </c>
      <c r="CT169" s="1495">
        <f t="shared" si="186"/>
        <v>0</v>
      </c>
      <c r="CU169" s="1577">
        <f t="shared" si="187"/>
        <v>0</v>
      </c>
      <c r="CV169" s="1576">
        <f t="shared" si="214"/>
        <v>0</v>
      </c>
      <c r="CW169" s="1495">
        <f t="shared" si="188"/>
        <v>0</v>
      </c>
      <c r="CX169" s="1577">
        <f t="shared" si="189"/>
        <v>0</v>
      </c>
      <c r="CY169" s="1576">
        <f t="shared" si="215"/>
        <v>0</v>
      </c>
      <c r="CZ169" s="1574">
        <f t="shared" si="216"/>
        <v>0</v>
      </c>
      <c r="DA169" s="1578">
        <f t="shared" si="218"/>
        <v>0</v>
      </c>
      <c r="DB169" s="1579">
        <f t="shared" si="219"/>
        <v>0</v>
      </c>
      <c r="DC169" s="1578">
        <f t="shared" si="220"/>
        <v>0</v>
      </c>
      <c r="DD169" s="1578">
        <f t="shared" si="220"/>
        <v>0</v>
      </c>
      <c r="DE169" s="1578">
        <f t="shared" si="220"/>
        <v>0</v>
      </c>
      <c r="DF169" s="1578">
        <f t="shared" si="221"/>
        <v>0</v>
      </c>
      <c r="DG169" s="1420"/>
      <c r="DH169" s="1420"/>
    </row>
    <row r="170" spans="1:151" ht="15" customHeight="1">
      <c r="A170" s="1627"/>
      <c r="B170" s="1600" t="s">
        <v>802</v>
      </c>
      <c r="C170" s="2510"/>
      <c r="D170" s="2511"/>
      <c r="E170" s="1475"/>
      <c r="F170" s="1475"/>
      <c r="G170" s="1475"/>
      <c r="H170" s="1475"/>
      <c r="I170" s="1475"/>
      <c r="J170" s="1475"/>
      <c r="K170" s="1592"/>
      <c r="L170" s="1592"/>
      <c r="M170" s="1592"/>
      <c r="BD170" s="1475"/>
      <c r="BE170" s="1571" t="s">
        <v>1212</v>
      </c>
      <c r="BF170" s="1436">
        <v>21</v>
      </c>
      <c r="BG170" s="1436">
        <v>31</v>
      </c>
      <c r="BH170" s="1436">
        <v>1</v>
      </c>
      <c r="BI170" s="1495" t="b">
        <f t="shared" si="217"/>
        <v>1</v>
      </c>
      <c r="BJ170" s="1450" t="b">
        <f t="shared" si="164"/>
        <v>0</v>
      </c>
      <c r="BK170" s="1572">
        <f t="shared" si="165"/>
        <v>0</v>
      </c>
      <c r="BL170" s="1573">
        <f>$BN$4-SUM(BL140:BL169)</f>
        <v>5.5</v>
      </c>
      <c r="BM170" s="1436">
        <f t="shared" si="202"/>
        <v>0</v>
      </c>
      <c r="BN170" s="1495">
        <f t="shared" si="203"/>
        <v>0</v>
      </c>
      <c r="BO170" s="1437">
        <f t="shared" si="222"/>
        <v>0</v>
      </c>
      <c r="BP170" s="1574">
        <f t="shared" si="166"/>
        <v>0</v>
      </c>
      <c r="BQ170" s="1577">
        <f t="shared" si="167"/>
        <v>0</v>
      </c>
      <c r="BR170" s="1576">
        <f t="shared" si="204"/>
        <v>0</v>
      </c>
      <c r="BS170" s="1574">
        <f t="shared" si="168"/>
        <v>0</v>
      </c>
      <c r="BT170" s="1577">
        <f t="shared" si="169"/>
        <v>0</v>
      </c>
      <c r="BU170" s="1576">
        <f t="shared" si="205"/>
        <v>0</v>
      </c>
      <c r="BV170" s="1574">
        <f t="shared" si="170"/>
        <v>0</v>
      </c>
      <c r="BW170" s="1577">
        <f t="shared" si="171"/>
        <v>0</v>
      </c>
      <c r="BX170" s="1576">
        <f t="shared" si="206"/>
        <v>0</v>
      </c>
      <c r="BY170" s="1574">
        <f t="shared" si="172"/>
        <v>0</v>
      </c>
      <c r="BZ170" s="1577">
        <f t="shared" si="173"/>
        <v>0</v>
      </c>
      <c r="CA170" s="1576">
        <f t="shared" si="207"/>
        <v>0</v>
      </c>
      <c r="CB170" s="1495">
        <f t="shared" si="174"/>
        <v>0</v>
      </c>
      <c r="CC170" s="1577">
        <f t="shared" si="175"/>
        <v>0</v>
      </c>
      <c r="CD170" s="1576">
        <f t="shared" si="208"/>
        <v>0</v>
      </c>
      <c r="CE170" s="1495">
        <f t="shared" si="176"/>
        <v>0</v>
      </c>
      <c r="CF170" s="1577">
        <f t="shared" si="177"/>
        <v>0</v>
      </c>
      <c r="CG170" s="1576">
        <f t="shared" si="209"/>
        <v>0</v>
      </c>
      <c r="CH170" s="1495">
        <f t="shared" si="178"/>
        <v>0</v>
      </c>
      <c r="CI170" s="1577">
        <f t="shared" si="179"/>
        <v>0</v>
      </c>
      <c r="CJ170" s="1576">
        <f t="shared" si="210"/>
        <v>0</v>
      </c>
      <c r="CK170" s="1495">
        <f t="shared" si="180"/>
        <v>0</v>
      </c>
      <c r="CL170" s="1577">
        <f t="shared" si="181"/>
        <v>0</v>
      </c>
      <c r="CM170" s="1576">
        <f t="shared" si="211"/>
        <v>0</v>
      </c>
      <c r="CN170" s="1495">
        <f t="shared" si="182"/>
        <v>0</v>
      </c>
      <c r="CO170" s="1577">
        <f t="shared" si="183"/>
        <v>0</v>
      </c>
      <c r="CP170" s="1576">
        <f t="shared" si="212"/>
        <v>0</v>
      </c>
      <c r="CQ170" s="1495">
        <f t="shared" si="184"/>
        <v>0</v>
      </c>
      <c r="CR170" s="1577">
        <f t="shared" si="185"/>
        <v>0</v>
      </c>
      <c r="CS170" s="1576">
        <f t="shared" si="213"/>
        <v>0</v>
      </c>
      <c r="CT170" s="1495">
        <f t="shared" si="186"/>
        <v>0</v>
      </c>
      <c r="CU170" s="1577">
        <f t="shared" si="187"/>
        <v>0</v>
      </c>
      <c r="CV170" s="1576">
        <f t="shared" si="214"/>
        <v>0</v>
      </c>
      <c r="CW170" s="1495">
        <f t="shared" si="188"/>
        <v>0</v>
      </c>
      <c r="CX170" s="1577">
        <f t="shared" si="189"/>
        <v>0</v>
      </c>
      <c r="CY170" s="1576">
        <f t="shared" si="215"/>
        <v>0</v>
      </c>
      <c r="CZ170" s="1574">
        <f t="shared" si="216"/>
        <v>0</v>
      </c>
      <c r="DA170" s="1578">
        <f t="shared" si="218"/>
        <v>0</v>
      </c>
      <c r="DB170" s="1579">
        <f t="shared" si="219"/>
        <v>0</v>
      </c>
      <c r="DC170" s="1578">
        <f t="shared" si="220"/>
        <v>0</v>
      </c>
      <c r="DD170" s="1578">
        <f t="shared" si="220"/>
        <v>0</v>
      </c>
      <c r="DE170" s="1578">
        <f t="shared" si="220"/>
        <v>0</v>
      </c>
      <c r="DF170" s="1578">
        <f t="shared" si="221"/>
        <v>0</v>
      </c>
      <c r="DG170" s="1420"/>
      <c r="DH170" s="1420"/>
    </row>
    <row r="171" spans="1:151" ht="15" customHeight="1">
      <c r="A171" s="1587"/>
      <c r="B171" s="1600" t="s">
        <v>803</v>
      </c>
      <c r="C171" s="2510"/>
      <c r="D171" s="2511"/>
      <c r="E171" s="1475"/>
      <c r="F171" s="1475"/>
      <c r="G171" s="1475"/>
      <c r="H171" s="1475"/>
      <c r="I171" s="1475"/>
      <c r="J171" s="1475"/>
      <c r="K171" s="1592"/>
      <c r="L171" s="1592"/>
      <c r="M171" s="1592"/>
      <c r="BD171" s="1440"/>
      <c r="BE171" s="1571" t="s">
        <v>1213</v>
      </c>
      <c r="BF171" s="1436">
        <v>22</v>
      </c>
      <c r="BG171" s="1436">
        <v>1</v>
      </c>
      <c r="BH171" s="1436">
        <v>2</v>
      </c>
      <c r="BI171" s="1495" t="b">
        <f t="shared" si="217"/>
        <v>1</v>
      </c>
      <c r="BJ171" s="1450" t="b">
        <f t="shared" ref="BJ171:BJ200" si="223">MOD(BG171,$BO$7)=0</f>
        <v>0</v>
      </c>
      <c r="BK171" s="1572">
        <f t="shared" ref="BK171:BK200" si="224">IF(BJ171,BO$8,0)</f>
        <v>0</v>
      </c>
      <c r="BL171" s="1573">
        <f>BK171</f>
        <v>0</v>
      </c>
      <c r="BM171" s="1436">
        <f t="shared" si="202"/>
        <v>0</v>
      </c>
      <c r="BN171" s="1495">
        <f t="shared" si="203"/>
        <v>0</v>
      </c>
      <c r="BO171" s="1437">
        <f t="shared" si="222"/>
        <v>0</v>
      </c>
      <c r="BP171" s="1574">
        <f t="shared" ref="BP171:BP200" si="225">$Q$339/$BF$171*BR$16*$BI171</f>
        <v>0</v>
      </c>
      <c r="BQ171" s="1577">
        <f t="shared" ref="BQ171:BQ200" si="226">AQ$374/$BF171*$BI171</f>
        <v>0</v>
      </c>
      <c r="BR171" s="1576">
        <f t="shared" si="204"/>
        <v>0</v>
      </c>
      <c r="BS171" s="1574">
        <f t="shared" ref="BS171:BS200" si="227">$R$339/$BF171*BU$16*$BI171</f>
        <v>0</v>
      </c>
      <c r="BT171" s="1577">
        <f t="shared" ref="BT171:BT200" si="228">AR$374/$BF171*$BI171</f>
        <v>0</v>
      </c>
      <c r="BU171" s="1576">
        <f t="shared" si="205"/>
        <v>0</v>
      </c>
      <c r="BV171" s="1574">
        <f t="shared" ref="BV171:BV200" si="229">$S$339/$BF171*BX$16*$BI171</f>
        <v>0</v>
      </c>
      <c r="BW171" s="1577">
        <f t="shared" ref="BW171:BW200" si="230">AS$374/$BF171*$BI171</f>
        <v>0</v>
      </c>
      <c r="BX171" s="1576">
        <f t="shared" si="206"/>
        <v>0</v>
      </c>
      <c r="BY171" s="1574">
        <f t="shared" ref="BY171:BY200" si="231">$T$339/$BF171*CA$16*$BI171</f>
        <v>0</v>
      </c>
      <c r="BZ171" s="1577">
        <f t="shared" ref="BZ171:BZ200" si="232">AT$374/$BF171*$BI171</f>
        <v>0</v>
      </c>
      <c r="CA171" s="1576">
        <f t="shared" si="207"/>
        <v>0</v>
      </c>
      <c r="CB171" s="1495">
        <f t="shared" ref="CB171:CB200" si="233">$W$339/BF171*BI171*$C$419</f>
        <v>0</v>
      </c>
      <c r="CC171" s="1577">
        <f t="shared" ref="CC171:CC200" si="234">AU$374/$BF171*$BI171</f>
        <v>0</v>
      </c>
      <c r="CD171" s="1576">
        <f t="shared" si="208"/>
        <v>0</v>
      </c>
      <c r="CE171" s="1495">
        <f t="shared" ref="CE171:CE200" si="235">$X$339/BF171*BI171*$C$420</f>
        <v>0</v>
      </c>
      <c r="CF171" s="1577">
        <f t="shared" ref="CF171:CF200" si="236">AV$374/$BF171*$BI171</f>
        <v>0</v>
      </c>
      <c r="CG171" s="1576">
        <f t="shared" si="209"/>
        <v>0</v>
      </c>
      <c r="CH171" s="1495">
        <f t="shared" ref="CH171:CH200" si="237">$Y$339/BF171*BI171*$C$421</f>
        <v>0</v>
      </c>
      <c r="CI171" s="1577">
        <f t="shared" ref="CI171:CI200" si="238">AW$374/$BF171*$BI171</f>
        <v>0</v>
      </c>
      <c r="CJ171" s="1576">
        <f t="shared" si="210"/>
        <v>0</v>
      </c>
      <c r="CK171" s="1495">
        <f t="shared" ref="CK171:CK200" si="239">$Z$339/BF171*BI171*$CM$16</f>
        <v>0</v>
      </c>
      <c r="CL171" s="1577">
        <f t="shared" ref="CL171:CL200" si="240">AX$374/$BF171*$BI171</f>
        <v>0</v>
      </c>
      <c r="CM171" s="1576">
        <f t="shared" si="211"/>
        <v>0</v>
      </c>
      <c r="CN171" s="1495">
        <f t="shared" ref="CN171:CN200" si="241">$AA$339/BF171*BI171*$CP$16</f>
        <v>0</v>
      </c>
      <c r="CO171" s="1577">
        <f t="shared" ref="CO171:CO200" si="242">$AY$374/$BF171*$BI171</f>
        <v>0</v>
      </c>
      <c r="CP171" s="1576">
        <f t="shared" si="212"/>
        <v>0</v>
      </c>
      <c r="CQ171" s="1495">
        <f t="shared" ref="CQ171:CQ200" si="243">$AB$339/BF171*BI171*$CS$16</f>
        <v>0</v>
      </c>
      <c r="CR171" s="1577">
        <f t="shared" ref="CR171:CR200" si="244">AZ$374/$BF171*$BI171</f>
        <v>0</v>
      </c>
      <c r="CS171" s="1576">
        <f t="shared" si="213"/>
        <v>0</v>
      </c>
      <c r="CT171" s="1495">
        <f t="shared" ref="CT171:CT200" si="245">$AC$339/BF171*BI171*$CV$16</f>
        <v>0</v>
      </c>
      <c r="CU171" s="1577">
        <f t="shared" ref="CU171:CU200" si="246">BA$374/$BF171*$BI171</f>
        <v>0</v>
      </c>
      <c r="CV171" s="1576">
        <f t="shared" si="214"/>
        <v>0</v>
      </c>
      <c r="CW171" s="1495">
        <f t="shared" ref="CW171:CW200" si="247">$AD$339/BF171*BI171*$CY$16</f>
        <v>0</v>
      </c>
      <c r="CX171" s="1577">
        <f t="shared" ref="CX171:CX200" si="248">BB$374/$BF171*$BI171</f>
        <v>0</v>
      </c>
      <c r="CY171" s="1576">
        <f t="shared" si="215"/>
        <v>0</v>
      </c>
      <c r="CZ171" s="1574">
        <f t="shared" si="216"/>
        <v>0</v>
      </c>
      <c r="DA171" s="1578">
        <f t="shared" si="218"/>
        <v>0</v>
      </c>
      <c r="DB171" s="1579">
        <f t="shared" si="219"/>
        <v>0</v>
      </c>
      <c r="DC171" s="1578">
        <f t="shared" si="220"/>
        <v>0</v>
      </c>
      <c r="DD171" s="1578">
        <f t="shared" si="220"/>
        <v>0</v>
      </c>
      <c r="DE171" s="1578">
        <f t="shared" si="220"/>
        <v>0</v>
      </c>
      <c r="DF171" s="1578">
        <f>IF(DA171-(DE170+CZ171)&lt;0,0,DA171-(DE170+CZ171))</f>
        <v>0</v>
      </c>
      <c r="DG171" s="1538"/>
      <c r="DH171" s="1538"/>
    </row>
    <row r="172" spans="1:151" s="1440" customFormat="1" ht="15" customHeight="1">
      <c r="A172" s="1587"/>
      <c r="B172" s="1600" t="s">
        <v>804</v>
      </c>
      <c r="C172" s="2510"/>
      <c r="D172" s="2511"/>
      <c r="E172" s="1475"/>
      <c r="F172" s="1475"/>
      <c r="G172" s="1475"/>
      <c r="H172" s="1475"/>
      <c r="I172" s="1475"/>
      <c r="J172" s="1475"/>
      <c r="K172" s="1592"/>
      <c r="L172" s="1592"/>
      <c r="M172" s="1592"/>
      <c r="N172" s="1430"/>
      <c r="O172" s="1430"/>
      <c r="P172" s="1430"/>
      <c r="Q172" s="1430"/>
      <c r="R172" s="1430"/>
      <c r="S172" s="1430"/>
      <c r="T172" s="1430"/>
      <c r="U172" s="1430"/>
      <c r="V172" s="1430"/>
      <c r="W172" s="1430"/>
      <c r="X172" s="1430"/>
      <c r="Y172" s="1430"/>
      <c r="Z172" s="1430"/>
      <c r="AA172" s="1430"/>
      <c r="AB172" s="1430"/>
      <c r="AC172" s="1430"/>
      <c r="AD172" s="1430"/>
      <c r="AE172" s="1430"/>
      <c r="AF172" s="1430"/>
      <c r="AG172" s="1430"/>
      <c r="AH172" s="1430"/>
      <c r="AI172" s="1430"/>
      <c r="AJ172" s="1430"/>
      <c r="AK172" s="1430"/>
      <c r="AL172" s="1430"/>
      <c r="AM172" s="1430"/>
      <c r="AN172" s="1430"/>
      <c r="AO172" s="1430"/>
      <c r="AP172" s="1430"/>
      <c r="AQ172" s="1430"/>
      <c r="AR172" s="1430"/>
      <c r="AS172" s="1430"/>
      <c r="AT172" s="1430"/>
      <c r="AU172" s="1430"/>
      <c r="AV172" s="1430"/>
      <c r="AW172" s="1430"/>
      <c r="AX172" s="1430"/>
      <c r="AY172" s="1430"/>
      <c r="AZ172" s="1430"/>
      <c r="BA172" s="1430"/>
      <c r="BB172" s="1430"/>
      <c r="BC172" s="1430"/>
      <c r="BD172" s="1586"/>
      <c r="BE172" s="1571" t="s">
        <v>1213</v>
      </c>
      <c r="BF172" s="1436">
        <v>22</v>
      </c>
      <c r="BG172" s="1436">
        <v>2</v>
      </c>
      <c r="BH172" s="1436">
        <v>3</v>
      </c>
      <c r="BI172" s="1495" t="b">
        <f t="shared" si="217"/>
        <v>1</v>
      </c>
      <c r="BJ172" s="1450" t="b">
        <f t="shared" si="223"/>
        <v>0</v>
      </c>
      <c r="BK172" s="1572">
        <f t="shared" si="224"/>
        <v>0</v>
      </c>
      <c r="BL172" s="1581">
        <f>IF(SUM(BL$171:BL171,BK172)&gt;$BO$4,0,BK172)</f>
        <v>0</v>
      </c>
      <c r="BM172" s="1436">
        <f t="shared" si="202"/>
        <v>0</v>
      </c>
      <c r="BN172" s="1495">
        <f t="shared" si="203"/>
        <v>0</v>
      </c>
      <c r="BO172" s="1437">
        <f t="shared" si="222"/>
        <v>0</v>
      </c>
      <c r="BP172" s="1574">
        <f t="shared" si="225"/>
        <v>0</v>
      </c>
      <c r="BQ172" s="1577">
        <f t="shared" si="226"/>
        <v>0</v>
      </c>
      <c r="BR172" s="1576">
        <f t="shared" si="204"/>
        <v>0</v>
      </c>
      <c r="BS172" s="1574">
        <f t="shared" si="227"/>
        <v>0</v>
      </c>
      <c r="BT172" s="1577">
        <f t="shared" si="228"/>
        <v>0</v>
      </c>
      <c r="BU172" s="1576">
        <f t="shared" si="205"/>
        <v>0</v>
      </c>
      <c r="BV172" s="1574">
        <f t="shared" si="229"/>
        <v>0</v>
      </c>
      <c r="BW172" s="1577">
        <f t="shared" si="230"/>
        <v>0</v>
      </c>
      <c r="BX172" s="1576">
        <f t="shared" si="206"/>
        <v>0</v>
      </c>
      <c r="BY172" s="1574">
        <f t="shared" si="231"/>
        <v>0</v>
      </c>
      <c r="BZ172" s="1577">
        <f t="shared" si="232"/>
        <v>0</v>
      </c>
      <c r="CA172" s="1576">
        <f t="shared" si="207"/>
        <v>0</v>
      </c>
      <c r="CB172" s="1495">
        <f t="shared" si="233"/>
        <v>0</v>
      </c>
      <c r="CC172" s="1577">
        <f t="shared" si="234"/>
        <v>0</v>
      </c>
      <c r="CD172" s="1576">
        <f t="shared" si="208"/>
        <v>0</v>
      </c>
      <c r="CE172" s="1495">
        <f t="shared" si="235"/>
        <v>0</v>
      </c>
      <c r="CF172" s="1577">
        <f t="shared" si="236"/>
        <v>0</v>
      </c>
      <c r="CG172" s="1576">
        <f t="shared" si="209"/>
        <v>0</v>
      </c>
      <c r="CH172" s="1495">
        <f t="shared" si="237"/>
        <v>0</v>
      </c>
      <c r="CI172" s="1577">
        <f t="shared" si="238"/>
        <v>0</v>
      </c>
      <c r="CJ172" s="1576">
        <f t="shared" si="210"/>
        <v>0</v>
      </c>
      <c r="CK172" s="1495">
        <f t="shared" si="239"/>
        <v>0</v>
      </c>
      <c r="CL172" s="1577">
        <f t="shared" si="240"/>
        <v>0</v>
      </c>
      <c r="CM172" s="1576">
        <f t="shared" si="211"/>
        <v>0</v>
      </c>
      <c r="CN172" s="1495">
        <f t="shared" si="241"/>
        <v>0</v>
      </c>
      <c r="CO172" s="1577">
        <f t="shared" si="242"/>
        <v>0</v>
      </c>
      <c r="CP172" s="1576">
        <f t="shared" si="212"/>
        <v>0</v>
      </c>
      <c r="CQ172" s="1495">
        <f t="shared" si="243"/>
        <v>0</v>
      </c>
      <c r="CR172" s="1577">
        <f t="shared" si="244"/>
        <v>0</v>
      </c>
      <c r="CS172" s="1576">
        <f t="shared" si="213"/>
        <v>0</v>
      </c>
      <c r="CT172" s="1495">
        <f t="shared" si="245"/>
        <v>0</v>
      </c>
      <c r="CU172" s="1577">
        <f t="shared" si="246"/>
        <v>0</v>
      </c>
      <c r="CV172" s="1576">
        <f t="shared" si="214"/>
        <v>0</v>
      </c>
      <c r="CW172" s="1495">
        <f t="shared" si="247"/>
        <v>0</v>
      </c>
      <c r="CX172" s="1577">
        <f t="shared" si="248"/>
        <v>0</v>
      </c>
      <c r="CY172" s="1576">
        <f t="shared" si="215"/>
        <v>0</v>
      </c>
      <c r="CZ172" s="1574">
        <f t="shared" si="216"/>
        <v>0</v>
      </c>
      <c r="DA172" s="1578">
        <f t="shared" si="218"/>
        <v>0</v>
      </c>
      <c r="DB172" s="1579">
        <f t="shared" si="219"/>
        <v>0</v>
      </c>
      <c r="DC172" s="1578">
        <f t="shared" si="220"/>
        <v>0</v>
      </c>
      <c r="DD172" s="1578">
        <f t="shared" si="220"/>
        <v>0</v>
      </c>
      <c r="DE172" s="1578">
        <f t="shared" si="220"/>
        <v>0</v>
      </c>
      <c r="DF172" s="1578">
        <f t="shared" si="221"/>
        <v>0</v>
      </c>
      <c r="DG172" s="1538"/>
      <c r="DH172" s="1538"/>
      <c r="DI172" s="1422"/>
      <c r="DJ172" s="1428"/>
      <c r="DK172" s="1428"/>
      <c r="DL172" s="1428"/>
      <c r="DM172" s="1428"/>
      <c r="DN172" s="1428"/>
      <c r="DO172" s="1428"/>
      <c r="DP172" s="1428"/>
      <c r="DQ172" s="1422"/>
      <c r="DR172" s="1428"/>
      <c r="DS172" s="1428"/>
      <c r="DT172" s="1428"/>
      <c r="DU172" s="1428"/>
      <c r="DV172" s="1428"/>
      <c r="DW172" s="1428"/>
      <c r="DX172" s="1428"/>
      <c r="DY172" s="1428"/>
      <c r="DZ172" s="1428"/>
      <c r="EA172" s="1428"/>
      <c r="EB172" s="1428"/>
      <c r="EC172" s="1428"/>
      <c r="ED172" s="1428"/>
      <c r="EE172" s="1428"/>
      <c r="EF172" s="1428"/>
      <c r="EG172" s="1428"/>
      <c r="EH172" s="1428"/>
      <c r="EI172" s="1428"/>
      <c r="EJ172" s="1428"/>
      <c r="EK172" s="1428"/>
      <c r="EL172" s="1428"/>
      <c r="EM172" s="1428"/>
      <c r="EN172" s="1428"/>
      <c r="EO172" s="1428"/>
      <c r="EP172" s="1428"/>
      <c r="EQ172" s="1428"/>
      <c r="ER172" s="1428"/>
      <c r="ES172" s="1428"/>
      <c r="ET172" s="1428"/>
      <c r="EU172" s="1428"/>
    </row>
    <row r="173" spans="1:151" s="1440" customFormat="1" ht="15" customHeight="1">
      <c r="A173" s="1587"/>
      <c r="B173" s="1600" t="s">
        <v>1603</v>
      </c>
      <c r="C173" s="2510"/>
      <c r="D173" s="2511"/>
      <c r="E173" s="1475"/>
      <c r="F173" s="1475"/>
      <c r="G173" s="1475"/>
      <c r="H173" s="1475"/>
      <c r="I173" s="1475"/>
      <c r="J173" s="1475"/>
      <c r="K173" s="1592"/>
      <c r="L173" s="1592"/>
      <c r="M173" s="1592"/>
      <c r="N173" s="1430"/>
      <c r="O173" s="1430"/>
      <c r="P173" s="1430"/>
      <c r="Q173" s="1430"/>
      <c r="R173" s="1430"/>
      <c r="S173" s="1430"/>
      <c r="T173" s="1430"/>
      <c r="U173" s="1430"/>
      <c r="V173" s="1430"/>
      <c r="W173" s="1430"/>
      <c r="X173" s="1430"/>
      <c r="Y173" s="1430"/>
      <c r="Z173" s="1430"/>
      <c r="AA173" s="1430"/>
      <c r="AB173" s="1430"/>
      <c r="AC173" s="1430"/>
      <c r="AD173" s="1430"/>
      <c r="AE173" s="1430"/>
      <c r="AF173" s="1430"/>
      <c r="AG173" s="1430"/>
      <c r="AH173" s="1430"/>
      <c r="AI173" s="1430"/>
      <c r="AJ173" s="1430"/>
      <c r="AK173" s="1430"/>
      <c r="AL173" s="1430"/>
      <c r="AM173" s="1430"/>
      <c r="AN173" s="1430"/>
      <c r="AO173" s="1430"/>
      <c r="AP173" s="1430"/>
      <c r="AQ173" s="1430"/>
      <c r="AR173" s="1430"/>
      <c r="AS173" s="1430"/>
      <c r="AT173" s="1430"/>
      <c r="AU173" s="1430"/>
      <c r="AV173" s="1430"/>
      <c r="AW173" s="1430"/>
      <c r="AX173" s="1430"/>
      <c r="AY173" s="1430"/>
      <c r="AZ173" s="1430"/>
      <c r="BA173" s="1430"/>
      <c r="BB173" s="1430"/>
      <c r="BC173" s="1430"/>
      <c r="BD173" s="1586"/>
      <c r="BE173" s="1571" t="s">
        <v>1213</v>
      </c>
      <c r="BF173" s="1436">
        <v>22</v>
      </c>
      <c r="BG173" s="1436">
        <v>3</v>
      </c>
      <c r="BH173" s="1436">
        <v>4</v>
      </c>
      <c r="BI173" s="1495" t="b">
        <f t="shared" si="217"/>
        <v>1</v>
      </c>
      <c r="BJ173" s="1450" t="b">
        <f t="shared" si="223"/>
        <v>0</v>
      </c>
      <c r="BK173" s="1572">
        <f t="shared" si="224"/>
        <v>0</v>
      </c>
      <c r="BL173" s="1581">
        <f>IF(SUM(BL$171:BL172,BK173)&gt;$BO$4,0,BK173)</f>
        <v>0</v>
      </c>
      <c r="BM173" s="1436">
        <f t="shared" si="202"/>
        <v>0</v>
      </c>
      <c r="BN173" s="1495">
        <f t="shared" si="203"/>
        <v>0</v>
      </c>
      <c r="BO173" s="1437">
        <f t="shared" si="222"/>
        <v>0</v>
      </c>
      <c r="BP173" s="1574">
        <f t="shared" si="225"/>
        <v>0</v>
      </c>
      <c r="BQ173" s="1577">
        <f t="shared" si="226"/>
        <v>0</v>
      </c>
      <c r="BR173" s="1576">
        <f t="shared" si="204"/>
        <v>0</v>
      </c>
      <c r="BS173" s="1574">
        <f t="shared" si="227"/>
        <v>0</v>
      </c>
      <c r="BT173" s="1577">
        <f t="shared" si="228"/>
        <v>0</v>
      </c>
      <c r="BU173" s="1576">
        <f t="shared" si="205"/>
        <v>0</v>
      </c>
      <c r="BV173" s="1574">
        <f t="shared" si="229"/>
        <v>0</v>
      </c>
      <c r="BW173" s="1577">
        <f t="shared" si="230"/>
        <v>0</v>
      </c>
      <c r="BX173" s="1576">
        <f t="shared" si="206"/>
        <v>0</v>
      </c>
      <c r="BY173" s="1574">
        <f t="shared" si="231"/>
        <v>0</v>
      </c>
      <c r="BZ173" s="1577">
        <f t="shared" si="232"/>
        <v>0</v>
      </c>
      <c r="CA173" s="1576">
        <f t="shared" si="207"/>
        <v>0</v>
      </c>
      <c r="CB173" s="1495">
        <f t="shared" si="233"/>
        <v>0</v>
      </c>
      <c r="CC173" s="1577">
        <f t="shared" si="234"/>
        <v>0</v>
      </c>
      <c r="CD173" s="1576">
        <f t="shared" si="208"/>
        <v>0</v>
      </c>
      <c r="CE173" s="1495">
        <f t="shared" si="235"/>
        <v>0</v>
      </c>
      <c r="CF173" s="1577">
        <f t="shared" si="236"/>
        <v>0</v>
      </c>
      <c r="CG173" s="1576">
        <f t="shared" si="209"/>
        <v>0</v>
      </c>
      <c r="CH173" s="1495">
        <f t="shared" si="237"/>
        <v>0</v>
      </c>
      <c r="CI173" s="1577">
        <f t="shared" si="238"/>
        <v>0</v>
      </c>
      <c r="CJ173" s="1576">
        <f t="shared" si="210"/>
        <v>0</v>
      </c>
      <c r="CK173" s="1495">
        <f t="shared" si="239"/>
        <v>0</v>
      </c>
      <c r="CL173" s="1577">
        <f t="shared" si="240"/>
        <v>0</v>
      </c>
      <c r="CM173" s="1576">
        <f t="shared" si="211"/>
        <v>0</v>
      </c>
      <c r="CN173" s="1495">
        <f t="shared" si="241"/>
        <v>0</v>
      </c>
      <c r="CO173" s="1577">
        <f t="shared" si="242"/>
        <v>0</v>
      </c>
      <c r="CP173" s="1576">
        <f t="shared" si="212"/>
        <v>0</v>
      </c>
      <c r="CQ173" s="1495">
        <f t="shared" si="243"/>
        <v>0</v>
      </c>
      <c r="CR173" s="1577">
        <f t="shared" si="244"/>
        <v>0</v>
      </c>
      <c r="CS173" s="1576">
        <f t="shared" si="213"/>
        <v>0</v>
      </c>
      <c r="CT173" s="1495">
        <f t="shared" si="245"/>
        <v>0</v>
      </c>
      <c r="CU173" s="1577">
        <f t="shared" si="246"/>
        <v>0</v>
      </c>
      <c r="CV173" s="1576">
        <f t="shared" si="214"/>
        <v>0</v>
      </c>
      <c r="CW173" s="1495">
        <f t="shared" si="247"/>
        <v>0</v>
      </c>
      <c r="CX173" s="1577">
        <f t="shared" si="248"/>
        <v>0</v>
      </c>
      <c r="CY173" s="1576">
        <f t="shared" si="215"/>
        <v>0</v>
      </c>
      <c r="CZ173" s="1574">
        <f t="shared" si="216"/>
        <v>0</v>
      </c>
      <c r="DA173" s="1578">
        <f t="shared" si="218"/>
        <v>0</v>
      </c>
      <c r="DB173" s="1579">
        <f t="shared" si="219"/>
        <v>0</v>
      </c>
      <c r="DC173" s="1578">
        <f t="shared" si="220"/>
        <v>0</v>
      </c>
      <c r="DD173" s="1578">
        <f t="shared" si="220"/>
        <v>0</v>
      </c>
      <c r="DE173" s="1578">
        <f t="shared" si="220"/>
        <v>0</v>
      </c>
      <c r="DF173" s="1578">
        <f t="shared" si="221"/>
        <v>0</v>
      </c>
      <c r="DG173" s="1538"/>
      <c r="DH173" s="1538"/>
      <c r="DI173" s="1422"/>
      <c r="DJ173" s="1428"/>
      <c r="DK173" s="1428"/>
      <c r="DL173" s="1428"/>
      <c r="DM173" s="1428"/>
      <c r="DN173" s="1428"/>
      <c r="DO173" s="1428"/>
      <c r="DP173" s="1428"/>
      <c r="DQ173" s="1422"/>
      <c r="DR173" s="1428"/>
      <c r="DS173" s="1428"/>
      <c r="DT173" s="1428"/>
      <c r="DU173" s="1428"/>
      <c r="DV173" s="1428"/>
      <c r="DW173" s="1428"/>
      <c r="DX173" s="1428"/>
      <c r="DY173" s="1428"/>
      <c r="DZ173" s="1428"/>
      <c r="EA173" s="1428"/>
      <c r="EB173" s="1428"/>
      <c r="EC173" s="1428"/>
      <c r="ED173" s="1428"/>
      <c r="EE173" s="1428"/>
      <c r="EF173" s="1428"/>
      <c r="EG173" s="1428"/>
      <c r="EH173" s="1428"/>
      <c r="EI173" s="1428"/>
      <c r="EJ173" s="1428"/>
      <c r="EK173" s="1428"/>
      <c r="EL173" s="1428"/>
      <c r="EM173" s="1428"/>
      <c r="EN173" s="1428"/>
      <c r="EO173" s="1428"/>
      <c r="EP173" s="1428"/>
      <c r="EQ173" s="1428"/>
      <c r="ER173" s="1428"/>
      <c r="ES173" s="1428"/>
      <c r="ET173" s="1428"/>
      <c r="EU173" s="1428"/>
    </row>
    <row r="174" spans="1:151" s="1440" customFormat="1" ht="15" customHeight="1">
      <c r="A174" s="1603"/>
      <c r="B174" s="1475"/>
      <c r="C174" s="2512">
        <f>SUM(C162:C173)*O138</f>
        <v>0</v>
      </c>
      <c r="D174" s="2513"/>
      <c r="E174" s="1475"/>
      <c r="F174" s="1475"/>
      <c r="G174" s="1475"/>
      <c r="H174" s="1475"/>
      <c r="I174" s="1475"/>
      <c r="J174" s="1475"/>
      <c r="K174" s="1592"/>
      <c r="L174" s="1592"/>
      <c r="M174" s="1592"/>
      <c r="N174" s="1430"/>
      <c r="O174" s="1430"/>
      <c r="P174" s="1430"/>
      <c r="Q174" s="1430"/>
      <c r="R174" s="1430"/>
      <c r="S174" s="1430"/>
      <c r="T174" s="1430"/>
      <c r="U174" s="1430"/>
      <c r="V174" s="1430"/>
      <c r="W174" s="1430"/>
      <c r="X174" s="1430"/>
      <c r="Y174" s="1430"/>
      <c r="Z174" s="1430"/>
      <c r="AA174" s="1430"/>
      <c r="AB174" s="1430"/>
      <c r="AC174" s="1430"/>
      <c r="AD174" s="1430"/>
      <c r="AE174" s="1430"/>
      <c r="AF174" s="1430"/>
      <c r="AG174" s="1430"/>
      <c r="AH174" s="1430"/>
      <c r="AI174" s="1430"/>
      <c r="AJ174" s="1430"/>
      <c r="AK174" s="1430"/>
      <c r="AL174" s="1430"/>
      <c r="AM174" s="1430"/>
      <c r="AN174" s="1430"/>
      <c r="AO174" s="1430"/>
      <c r="AP174" s="1430"/>
      <c r="AQ174" s="1430"/>
      <c r="AR174" s="1430"/>
      <c r="AS174" s="1430"/>
      <c r="AT174" s="1430"/>
      <c r="AU174" s="1430"/>
      <c r="AV174" s="1430"/>
      <c r="AW174" s="1430"/>
      <c r="AX174" s="1430"/>
      <c r="AY174" s="1430"/>
      <c r="AZ174" s="1430"/>
      <c r="BA174" s="1430"/>
      <c r="BB174" s="1430"/>
      <c r="BC174" s="1430"/>
      <c r="BD174" s="1586"/>
      <c r="BE174" s="1571" t="s">
        <v>1213</v>
      </c>
      <c r="BF174" s="1436">
        <v>22</v>
      </c>
      <c r="BG174" s="1436">
        <v>4</v>
      </c>
      <c r="BH174" s="1436">
        <v>5</v>
      </c>
      <c r="BI174" s="1495" t="b">
        <f t="shared" si="217"/>
        <v>1</v>
      </c>
      <c r="BJ174" s="1450" t="b">
        <f t="shared" si="223"/>
        <v>0</v>
      </c>
      <c r="BK174" s="1572">
        <f t="shared" si="224"/>
        <v>0</v>
      </c>
      <c r="BL174" s="1581">
        <f>IF(SUM(BL$171:BL173,BK174)&gt;$BO$4,0,BK174)</f>
        <v>0</v>
      </c>
      <c r="BM174" s="1436">
        <f t="shared" si="202"/>
        <v>0</v>
      </c>
      <c r="BN174" s="1495">
        <f t="shared" si="203"/>
        <v>0</v>
      </c>
      <c r="BO174" s="1437">
        <f t="shared" si="222"/>
        <v>0</v>
      </c>
      <c r="BP174" s="1574">
        <f t="shared" si="225"/>
        <v>0</v>
      </c>
      <c r="BQ174" s="1577">
        <f t="shared" si="226"/>
        <v>0</v>
      </c>
      <c r="BR174" s="1576">
        <f t="shared" si="204"/>
        <v>0</v>
      </c>
      <c r="BS174" s="1574">
        <f t="shared" si="227"/>
        <v>0</v>
      </c>
      <c r="BT174" s="1577">
        <f t="shared" si="228"/>
        <v>0</v>
      </c>
      <c r="BU174" s="1576">
        <f t="shared" si="205"/>
        <v>0</v>
      </c>
      <c r="BV174" s="1574">
        <f t="shared" si="229"/>
        <v>0</v>
      </c>
      <c r="BW174" s="1577">
        <f t="shared" si="230"/>
        <v>0</v>
      </c>
      <c r="BX174" s="1576">
        <f t="shared" si="206"/>
        <v>0</v>
      </c>
      <c r="BY174" s="1574">
        <f t="shared" si="231"/>
        <v>0</v>
      </c>
      <c r="BZ174" s="1577">
        <f t="shared" si="232"/>
        <v>0</v>
      </c>
      <c r="CA174" s="1576">
        <f t="shared" si="207"/>
        <v>0</v>
      </c>
      <c r="CB174" s="1495">
        <f t="shared" si="233"/>
        <v>0</v>
      </c>
      <c r="CC174" s="1577">
        <f t="shared" si="234"/>
        <v>0</v>
      </c>
      <c r="CD174" s="1576">
        <f t="shared" si="208"/>
        <v>0</v>
      </c>
      <c r="CE174" s="1495">
        <f t="shared" si="235"/>
        <v>0</v>
      </c>
      <c r="CF174" s="1577">
        <f t="shared" si="236"/>
        <v>0</v>
      </c>
      <c r="CG174" s="1576">
        <f t="shared" si="209"/>
        <v>0</v>
      </c>
      <c r="CH174" s="1495">
        <f t="shared" si="237"/>
        <v>0</v>
      </c>
      <c r="CI174" s="1577">
        <f t="shared" si="238"/>
        <v>0</v>
      </c>
      <c r="CJ174" s="1576">
        <f t="shared" si="210"/>
        <v>0</v>
      </c>
      <c r="CK174" s="1495">
        <f t="shared" si="239"/>
        <v>0</v>
      </c>
      <c r="CL174" s="1577">
        <f t="shared" si="240"/>
        <v>0</v>
      </c>
      <c r="CM174" s="1576">
        <f t="shared" si="211"/>
        <v>0</v>
      </c>
      <c r="CN174" s="1495">
        <f t="shared" si="241"/>
        <v>0</v>
      </c>
      <c r="CO174" s="1577">
        <f t="shared" si="242"/>
        <v>0</v>
      </c>
      <c r="CP174" s="1576">
        <f t="shared" si="212"/>
        <v>0</v>
      </c>
      <c r="CQ174" s="1495">
        <f t="shared" si="243"/>
        <v>0</v>
      </c>
      <c r="CR174" s="1577">
        <f t="shared" si="244"/>
        <v>0</v>
      </c>
      <c r="CS174" s="1576">
        <f t="shared" si="213"/>
        <v>0</v>
      </c>
      <c r="CT174" s="1495">
        <f t="shared" si="245"/>
        <v>0</v>
      </c>
      <c r="CU174" s="1577">
        <f t="shared" si="246"/>
        <v>0</v>
      </c>
      <c r="CV174" s="1576">
        <f t="shared" si="214"/>
        <v>0</v>
      </c>
      <c r="CW174" s="1495">
        <f t="shared" si="247"/>
        <v>0</v>
      </c>
      <c r="CX174" s="1577">
        <f t="shared" si="248"/>
        <v>0</v>
      </c>
      <c r="CY174" s="1576">
        <f t="shared" si="215"/>
        <v>0</v>
      </c>
      <c r="CZ174" s="1574">
        <f t="shared" si="216"/>
        <v>0</v>
      </c>
      <c r="DA174" s="1578">
        <f t="shared" si="218"/>
        <v>0</v>
      </c>
      <c r="DB174" s="1579">
        <f t="shared" si="219"/>
        <v>0</v>
      </c>
      <c r="DC174" s="1578">
        <f t="shared" si="220"/>
        <v>0</v>
      </c>
      <c r="DD174" s="1578">
        <f t="shared" si="220"/>
        <v>0</v>
      </c>
      <c r="DE174" s="1578">
        <f t="shared" si="220"/>
        <v>0</v>
      </c>
      <c r="DF174" s="1578">
        <f t="shared" si="221"/>
        <v>0</v>
      </c>
      <c r="DG174" s="1538"/>
      <c r="DH174" s="1538"/>
      <c r="DI174" s="1422"/>
      <c r="DJ174" s="1428"/>
      <c r="DK174" s="1428"/>
      <c r="DL174" s="1428"/>
      <c r="DM174" s="1428"/>
      <c r="DN174" s="1428"/>
      <c r="DO174" s="1428"/>
      <c r="DP174" s="1428"/>
      <c r="DQ174" s="1422"/>
      <c r="DR174" s="1428"/>
      <c r="DS174" s="1428"/>
      <c r="DT174" s="1428"/>
      <c r="DU174" s="1428"/>
      <c r="DV174" s="1428"/>
      <c r="DW174" s="1428"/>
      <c r="DX174" s="1428"/>
      <c r="DY174" s="1428"/>
      <c r="DZ174" s="1428"/>
      <c r="EA174" s="1428"/>
      <c r="EB174" s="1428"/>
      <c r="EC174" s="1428"/>
      <c r="ED174" s="1428"/>
      <c r="EE174" s="1428"/>
      <c r="EF174" s="1428"/>
      <c r="EG174" s="1428"/>
      <c r="EH174" s="1428"/>
      <c r="EI174" s="1428"/>
      <c r="EJ174" s="1428"/>
      <c r="EK174" s="1428"/>
      <c r="EL174" s="1428"/>
      <c r="EM174" s="1428"/>
      <c r="EN174" s="1428"/>
      <c r="EO174" s="1428"/>
      <c r="EP174" s="1428"/>
      <c r="EQ174" s="1428"/>
      <c r="ER174" s="1428"/>
      <c r="ES174" s="1428"/>
      <c r="ET174" s="1428"/>
      <c r="EU174" s="1428"/>
    </row>
    <row r="175" spans="1:151" s="1440" customFormat="1" ht="15" customHeight="1">
      <c r="A175" s="1603"/>
      <c r="B175" s="1475"/>
      <c r="C175" s="1475"/>
      <c r="D175" s="1475"/>
      <c r="E175" s="1475"/>
      <c r="F175" s="1475"/>
      <c r="G175" s="1475"/>
      <c r="H175" s="1475"/>
      <c r="I175" s="1475"/>
      <c r="J175" s="1475"/>
      <c r="K175" s="1592"/>
      <c r="L175" s="1592"/>
      <c r="M175" s="1592"/>
      <c r="N175" s="1430"/>
      <c r="O175" s="1430"/>
      <c r="P175" s="1430"/>
      <c r="Q175" s="1430"/>
      <c r="R175" s="1430"/>
      <c r="S175" s="1430"/>
      <c r="T175" s="1430"/>
      <c r="U175" s="1430"/>
      <c r="V175" s="1430"/>
      <c r="W175" s="1430"/>
      <c r="X175" s="1430"/>
      <c r="Y175" s="1430"/>
      <c r="Z175" s="1430"/>
      <c r="AA175" s="1430"/>
      <c r="AB175" s="1430"/>
      <c r="AC175" s="1430"/>
      <c r="AD175" s="1430"/>
      <c r="AE175" s="1430"/>
      <c r="AF175" s="1430"/>
      <c r="AG175" s="1430"/>
      <c r="AH175" s="1430"/>
      <c r="AI175" s="1430"/>
      <c r="AJ175" s="1430"/>
      <c r="AK175" s="1430"/>
      <c r="AL175" s="1430"/>
      <c r="AM175" s="1430"/>
      <c r="AN175" s="1430"/>
      <c r="AO175" s="1430"/>
      <c r="AP175" s="1430"/>
      <c r="AQ175" s="1430"/>
      <c r="AR175" s="1430"/>
      <c r="AS175" s="1430"/>
      <c r="AT175" s="1430"/>
      <c r="AU175" s="1430"/>
      <c r="AV175" s="1430"/>
      <c r="AW175" s="1430"/>
      <c r="AX175" s="1430"/>
      <c r="AY175" s="1430"/>
      <c r="AZ175" s="1430"/>
      <c r="BA175" s="1430"/>
      <c r="BB175" s="1430"/>
      <c r="BC175" s="1430"/>
      <c r="BD175" s="1586"/>
      <c r="BE175" s="1571" t="s">
        <v>1213</v>
      </c>
      <c r="BF175" s="1436">
        <v>22</v>
      </c>
      <c r="BG175" s="1436">
        <v>5</v>
      </c>
      <c r="BH175" s="1436">
        <v>6</v>
      </c>
      <c r="BI175" s="1495" t="b">
        <f t="shared" si="217"/>
        <v>0</v>
      </c>
      <c r="BJ175" s="1450" t="b">
        <f t="shared" si="223"/>
        <v>0</v>
      </c>
      <c r="BK175" s="1572">
        <f t="shared" si="224"/>
        <v>0</v>
      </c>
      <c r="BL175" s="1581">
        <f>IF(SUM(BL$171:BL174,BK175)&gt;$BO$4,0,BK175)</f>
        <v>0</v>
      </c>
      <c r="BM175" s="1436">
        <f t="shared" si="202"/>
        <v>0</v>
      </c>
      <c r="BN175" s="1495">
        <f t="shared" si="203"/>
        <v>0</v>
      </c>
      <c r="BO175" s="1437">
        <f t="shared" si="222"/>
        <v>0</v>
      </c>
      <c r="BP175" s="1574">
        <f t="shared" si="225"/>
        <v>0</v>
      </c>
      <c r="BQ175" s="1577">
        <f t="shared" si="226"/>
        <v>0</v>
      </c>
      <c r="BR175" s="1576">
        <f t="shared" si="204"/>
        <v>0</v>
      </c>
      <c r="BS175" s="1574">
        <f t="shared" si="227"/>
        <v>0</v>
      </c>
      <c r="BT175" s="1577">
        <f t="shared" si="228"/>
        <v>0</v>
      </c>
      <c r="BU175" s="1576">
        <f t="shared" si="205"/>
        <v>0</v>
      </c>
      <c r="BV175" s="1574">
        <f t="shared" si="229"/>
        <v>0</v>
      </c>
      <c r="BW175" s="1577">
        <f t="shared" si="230"/>
        <v>0</v>
      </c>
      <c r="BX175" s="1576">
        <f t="shared" si="206"/>
        <v>0</v>
      </c>
      <c r="BY175" s="1574">
        <f t="shared" si="231"/>
        <v>0</v>
      </c>
      <c r="BZ175" s="1577">
        <f t="shared" si="232"/>
        <v>0</v>
      </c>
      <c r="CA175" s="1576">
        <f t="shared" si="207"/>
        <v>0</v>
      </c>
      <c r="CB175" s="1495">
        <f t="shared" si="233"/>
        <v>0</v>
      </c>
      <c r="CC175" s="1577">
        <f t="shared" si="234"/>
        <v>0</v>
      </c>
      <c r="CD175" s="1576">
        <f t="shared" si="208"/>
        <v>0</v>
      </c>
      <c r="CE175" s="1495">
        <f t="shared" si="235"/>
        <v>0</v>
      </c>
      <c r="CF175" s="1577">
        <f t="shared" si="236"/>
        <v>0</v>
      </c>
      <c r="CG175" s="1576">
        <f t="shared" si="209"/>
        <v>0</v>
      </c>
      <c r="CH175" s="1495">
        <f t="shared" si="237"/>
        <v>0</v>
      </c>
      <c r="CI175" s="1577">
        <f t="shared" si="238"/>
        <v>0</v>
      </c>
      <c r="CJ175" s="1576">
        <f t="shared" si="210"/>
        <v>0</v>
      </c>
      <c r="CK175" s="1495">
        <f t="shared" si="239"/>
        <v>0</v>
      </c>
      <c r="CL175" s="1577">
        <f t="shared" si="240"/>
        <v>0</v>
      </c>
      <c r="CM175" s="1576">
        <f t="shared" si="211"/>
        <v>0</v>
      </c>
      <c r="CN175" s="1495">
        <f t="shared" si="241"/>
        <v>0</v>
      </c>
      <c r="CO175" s="1577">
        <f t="shared" si="242"/>
        <v>0</v>
      </c>
      <c r="CP175" s="1576">
        <f t="shared" si="212"/>
        <v>0</v>
      </c>
      <c r="CQ175" s="1495">
        <f t="shared" si="243"/>
        <v>0</v>
      </c>
      <c r="CR175" s="1577">
        <f t="shared" si="244"/>
        <v>0</v>
      </c>
      <c r="CS175" s="1576">
        <f t="shared" si="213"/>
        <v>0</v>
      </c>
      <c r="CT175" s="1495">
        <f t="shared" si="245"/>
        <v>0</v>
      </c>
      <c r="CU175" s="1577">
        <f t="shared" si="246"/>
        <v>0</v>
      </c>
      <c r="CV175" s="1576">
        <f t="shared" si="214"/>
        <v>0</v>
      </c>
      <c r="CW175" s="1495">
        <f t="shared" si="247"/>
        <v>0</v>
      </c>
      <c r="CX175" s="1577">
        <f t="shared" si="248"/>
        <v>0</v>
      </c>
      <c r="CY175" s="1576">
        <f t="shared" si="215"/>
        <v>0</v>
      </c>
      <c r="CZ175" s="1574">
        <f t="shared" si="216"/>
        <v>0</v>
      </c>
      <c r="DA175" s="1578">
        <f t="shared" si="218"/>
        <v>0</v>
      </c>
      <c r="DB175" s="1579">
        <f t="shared" si="219"/>
        <v>0</v>
      </c>
      <c r="DC175" s="1578">
        <f t="shared" si="220"/>
        <v>0</v>
      </c>
      <c r="DD175" s="1578">
        <f t="shared" si="220"/>
        <v>0</v>
      </c>
      <c r="DE175" s="1578">
        <f t="shared" si="220"/>
        <v>0</v>
      </c>
      <c r="DF175" s="1578">
        <f t="shared" si="221"/>
        <v>0</v>
      </c>
      <c r="DG175" s="1538"/>
      <c r="DH175" s="1538"/>
      <c r="DI175" s="1422"/>
      <c r="DJ175" s="1428"/>
      <c r="DK175" s="1428"/>
      <c r="DL175" s="1428"/>
      <c r="DM175" s="1428"/>
      <c r="DN175" s="1428"/>
      <c r="DO175" s="1428"/>
      <c r="DP175" s="1428"/>
      <c r="DQ175" s="1422"/>
      <c r="DR175" s="1428"/>
      <c r="DS175" s="1428"/>
      <c r="DT175" s="1428"/>
      <c r="DU175" s="1428"/>
      <c r="DV175" s="1428"/>
      <c r="DW175" s="1428"/>
      <c r="DX175" s="1428"/>
      <c r="DY175" s="1428"/>
      <c r="DZ175" s="1428"/>
      <c r="EA175" s="1428"/>
      <c r="EB175" s="1428"/>
      <c r="EC175" s="1428"/>
      <c r="ED175" s="1428"/>
      <c r="EE175" s="1428"/>
      <c r="EF175" s="1428"/>
      <c r="EG175" s="1428"/>
      <c r="EH175" s="1428"/>
      <c r="EI175" s="1428"/>
      <c r="EJ175" s="1428"/>
      <c r="EK175" s="1428"/>
      <c r="EL175" s="1428"/>
      <c r="EM175" s="1428"/>
      <c r="EN175" s="1428"/>
      <c r="EO175" s="1428"/>
      <c r="EP175" s="1428"/>
      <c r="EQ175" s="1428"/>
      <c r="ER175" s="1428"/>
      <c r="ES175" s="1428"/>
      <c r="ET175" s="1428"/>
      <c r="EU175" s="1428"/>
    </row>
    <row r="176" spans="1:151" s="1440" customFormat="1" ht="15" customHeight="1">
      <c r="A176" s="1603"/>
      <c r="B176" s="1680" t="s">
        <v>1697</v>
      </c>
      <c r="C176" s="1628"/>
      <c r="D176" s="1628"/>
      <c r="E176" s="1628"/>
      <c r="F176" s="1628"/>
      <c r="G176" s="1628"/>
      <c r="H176" s="1628"/>
      <c r="I176" s="1627"/>
      <c r="J176" s="1687"/>
      <c r="K176" s="1687"/>
      <c r="L176" s="1687"/>
      <c r="M176" s="1687"/>
      <c r="N176" s="1430"/>
      <c r="O176" s="1430"/>
      <c r="P176" s="1430"/>
      <c r="Q176" s="1430"/>
      <c r="R176" s="1430"/>
      <c r="S176" s="1430"/>
      <c r="T176" s="1430"/>
      <c r="U176" s="1430"/>
      <c r="V176" s="1430"/>
      <c r="W176" s="1430"/>
      <c r="X176" s="1430"/>
      <c r="Y176" s="1430"/>
      <c r="Z176" s="1430"/>
      <c r="AA176" s="1430"/>
      <c r="AB176" s="1430"/>
      <c r="AC176" s="1430"/>
      <c r="AD176" s="1430"/>
      <c r="AE176" s="1430"/>
      <c r="AF176" s="1430"/>
      <c r="AG176" s="1430"/>
      <c r="AH176" s="1430"/>
      <c r="AI176" s="1430"/>
      <c r="AJ176" s="1430"/>
      <c r="AK176" s="1430"/>
      <c r="AL176" s="1430"/>
      <c r="AM176" s="1430"/>
      <c r="AN176" s="1430"/>
      <c r="AO176" s="1430"/>
      <c r="AP176" s="1430"/>
      <c r="AQ176" s="1430"/>
      <c r="AR176" s="1430"/>
      <c r="AS176" s="1430"/>
      <c r="AT176" s="1430"/>
      <c r="AU176" s="1430"/>
      <c r="AV176" s="1430"/>
      <c r="AW176" s="1430"/>
      <c r="AX176" s="1430"/>
      <c r="AY176" s="1430"/>
      <c r="AZ176" s="1430"/>
      <c r="BA176" s="1430"/>
      <c r="BB176" s="1430"/>
      <c r="BC176" s="1430"/>
      <c r="BD176" s="1586"/>
      <c r="BE176" s="1571" t="s">
        <v>1213</v>
      </c>
      <c r="BF176" s="1436">
        <v>22</v>
      </c>
      <c r="BG176" s="1436">
        <v>6</v>
      </c>
      <c r="BH176" s="1436">
        <v>7</v>
      </c>
      <c r="BI176" s="1495" t="b">
        <f t="shared" si="217"/>
        <v>0</v>
      </c>
      <c r="BJ176" s="1450" t="b">
        <f t="shared" si="223"/>
        <v>0</v>
      </c>
      <c r="BK176" s="1572">
        <f t="shared" si="224"/>
        <v>0</v>
      </c>
      <c r="BL176" s="1581">
        <f>IF(SUM(BL$171:BL175,BK176)&gt;$BO$4,0,BK176)</f>
        <v>0</v>
      </c>
      <c r="BM176" s="1436">
        <f t="shared" si="202"/>
        <v>0</v>
      </c>
      <c r="BN176" s="1495">
        <f t="shared" si="203"/>
        <v>0</v>
      </c>
      <c r="BO176" s="1437">
        <f t="shared" si="222"/>
        <v>0</v>
      </c>
      <c r="BP176" s="1574">
        <f t="shared" si="225"/>
        <v>0</v>
      </c>
      <c r="BQ176" s="1577">
        <f t="shared" si="226"/>
        <v>0</v>
      </c>
      <c r="BR176" s="1576">
        <f t="shared" si="204"/>
        <v>0</v>
      </c>
      <c r="BS176" s="1574">
        <f t="shared" si="227"/>
        <v>0</v>
      </c>
      <c r="BT176" s="1577">
        <f t="shared" si="228"/>
        <v>0</v>
      </c>
      <c r="BU176" s="1576">
        <f t="shared" si="205"/>
        <v>0</v>
      </c>
      <c r="BV176" s="1574">
        <f t="shared" si="229"/>
        <v>0</v>
      </c>
      <c r="BW176" s="1577">
        <f t="shared" si="230"/>
        <v>0</v>
      </c>
      <c r="BX176" s="1576">
        <f t="shared" si="206"/>
        <v>0</v>
      </c>
      <c r="BY176" s="1574">
        <f t="shared" si="231"/>
        <v>0</v>
      </c>
      <c r="BZ176" s="1577">
        <f t="shared" si="232"/>
        <v>0</v>
      </c>
      <c r="CA176" s="1576">
        <f t="shared" si="207"/>
        <v>0</v>
      </c>
      <c r="CB176" s="1495">
        <f t="shared" si="233"/>
        <v>0</v>
      </c>
      <c r="CC176" s="1577">
        <f t="shared" si="234"/>
        <v>0</v>
      </c>
      <c r="CD176" s="1576">
        <f t="shared" si="208"/>
        <v>0</v>
      </c>
      <c r="CE176" s="1495">
        <f t="shared" si="235"/>
        <v>0</v>
      </c>
      <c r="CF176" s="1577">
        <f t="shared" si="236"/>
        <v>0</v>
      </c>
      <c r="CG176" s="1576">
        <f t="shared" si="209"/>
        <v>0</v>
      </c>
      <c r="CH176" s="1495">
        <f t="shared" si="237"/>
        <v>0</v>
      </c>
      <c r="CI176" s="1577">
        <f t="shared" si="238"/>
        <v>0</v>
      </c>
      <c r="CJ176" s="1576">
        <f t="shared" si="210"/>
        <v>0</v>
      </c>
      <c r="CK176" s="1495">
        <f t="shared" si="239"/>
        <v>0</v>
      </c>
      <c r="CL176" s="1577">
        <f t="shared" si="240"/>
        <v>0</v>
      </c>
      <c r="CM176" s="1576">
        <f t="shared" si="211"/>
        <v>0</v>
      </c>
      <c r="CN176" s="1495">
        <f t="shared" si="241"/>
        <v>0</v>
      </c>
      <c r="CO176" s="1577">
        <f t="shared" si="242"/>
        <v>0</v>
      </c>
      <c r="CP176" s="1576">
        <f t="shared" si="212"/>
        <v>0</v>
      </c>
      <c r="CQ176" s="1495">
        <f t="shared" si="243"/>
        <v>0</v>
      </c>
      <c r="CR176" s="1577">
        <f t="shared" si="244"/>
        <v>0</v>
      </c>
      <c r="CS176" s="1576">
        <f t="shared" si="213"/>
        <v>0</v>
      </c>
      <c r="CT176" s="1495">
        <f t="shared" si="245"/>
        <v>0</v>
      </c>
      <c r="CU176" s="1577">
        <f t="shared" si="246"/>
        <v>0</v>
      </c>
      <c r="CV176" s="1576">
        <f t="shared" si="214"/>
        <v>0</v>
      </c>
      <c r="CW176" s="1495">
        <f t="shared" si="247"/>
        <v>0</v>
      </c>
      <c r="CX176" s="1577">
        <f t="shared" si="248"/>
        <v>0</v>
      </c>
      <c r="CY176" s="1576">
        <f t="shared" si="215"/>
        <v>0</v>
      </c>
      <c r="CZ176" s="1574">
        <f t="shared" si="216"/>
        <v>0</v>
      </c>
      <c r="DA176" s="1578">
        <f t="shared" si="218"/>
        <v>0</v>
      </c>
      <c r="DB176" s="1579">
        <f t="shared" si="219"/>
        <v>0</v>
      </c>
      <c r="DC176" s="1578">
        <f t="shared" si="220"/>
        <v>0</v>
      </c>
      <c r="DD176" s="1578">
        <f t="shared" si="220"/>
        <v>0</v>
      </c>
      <c r="DE176" s="1578">
        <f t="shared" si="220"/>
        <v>0</v>
      </c>
      <c r="DF176" s="1578">
        <f t="shared" si="221"/>
        <v>0</v>
      </c>
      <c r="DG176" s="1538"/>
      <c r="DH176" s="1538"/>
      <c r="DI176" s="1422"/>
      <c r="DJ176" s="1428"/>
      <c r="DK176" s="1428"/>
      <c r="DL176" s="1428"/>
      <c r="DM176" s="1428"/>
      <c r="DN176" s="1428"/>
      <c r="DO176" s="1428"/>
      <c r="DP176" s="1428"/>
      <c r="DQ176" s="1422"/>
      <c r="DR176" s="1428"/>
      <c r="DS176" s="1428"/>
      <c r="DT176" s="1428"/>
      <c r="DU176" s="1428"/>
      <c r="DV176" s="1428"/>
      <c r="DW176" s="1428"/>
      <c r="DX176" s="1428"/>
      <c r="DY176" s="1428"/>
      <c r="DZ176" s="1428"/>
      <c r="EA176" s="1428"/>
      <c r="EB176" s="1428"/>
      <c r="EC176" s="1428"/>
      <c r="ED176" s="1428"/>
      <c r="EE176" s="1428"/>
      <c r="EF176" s="1428"/>
      <c r="EG176" s="1428"/>
      <c r="EH176" s="1428"/>
      <c r="EI176" s="1428"/>
      <c r="EJ176" s="1428"/>
      <c r="EK176" s="1428"/>
      <c r="EL176" s="1428"/>
      <c r="EM176" s="1428"/>
      <c r="EN176" s="1428"/>
      <c r="EO176" s="1428"/>
      <c r="EP176" s="1428"/>
      <c r="EQ176" s="1428"/>
      <c r="ER176" s="1428"/>
      <c r="ES176" s="1428"/>
      <c r="ET176" s="1428"/>
      <c r="EU176" s="1428"/>
    </row>
    <row r="177" spans="1:151" s="1440" customFormat="1" ht="15" customHeight="1">
      <c r="A177" s="1603"/>
      <c r="B177" s="1475"/>
      <c r="C177" s="1475"/>
      <c r="D177" s="1475"/>
      <c r="E177" s="1475"/>
      <c r="F177" s="1475"/>
      <c r="G177" s="1475"/>
      <c r="H177" s="1475"/>
      <c r="I177" s="1475"/>
      <c r="J177" s="1475"/>
      <c r="K177" s="1475"/>
      <c r="L177" s="1475"/>
      <c r="M177" s="1475"/>
      <c r="N177" s="1430"/>
      <c r="O177" s="1430"/>
      <c r="P177" s="1430"/>
      <c r="Q177" s="1430"/>
      <c r="R177" s="1430"/>
      <c r="S177" s="1430"/>
      <c r="T177" s="1430"/>
      <c r="U177" s="1430"/>
      <c r="V177" s="1430"/>
      <c r="W177" s="1430"/>
      <c r="X177" s="1430"/>
      <c r="Y177" s="1430"/>
      <c r="Z177" s="1430"/>
      <c r="AA177" s="1430"/>
      <c r="AB177" s="1430"/>
      <c r="AC177" s="1430"/>
      <c r="AD177" s="1430"/>
      <c r="AE177" s="1430"/>
      <c r="AF177" s="1430"/>
      <c r="AG177" s="1430"/>
      <c r="AH177" s="1430"/>
      <c r="AI177" s="1430"/>
      <c r="AJ177" s="1430"/>
      <c r="AK177" s="1430"/>
      <c r="AL177" s="1430"/>
      <c r="AM177" s="1430"/>
      <c r="AN177" s="1430"/>
      <c r="AO177" s="1430"/>
      <c r="AP177" s="1430"/>
      <c r="AQ177" s="1430"/>
      <c r="AR177" s="1430"/>
      <c r="AS177" s="1430"/>
      <c r="AT177" s="1430"/>
      <c r="AU177" s="1430"/>
      <c r="AV177" s="1430"/>
      <c r="AW177" s="1430"/>
      <c r="AX177" s="1430"/>
      <c r="AY177" s="1430"/>
      <c r="AZ177" s="1430"/>
      <c r="BA177" s="1430"/>
      <c r="BB177" s="1430"/>
      <c r="BC177" s="1430"/>
      <c r="BD177" s="1586"/>
      <c r="BE177" s="1571" t="s">
        <v>1213</v>
      </c>
      <c r="BF177" s="1436">
        <v>22</v>
      </c>
      <c r="BG177" s="1436">
        <v>7</v>
      </c>
      <c r="BH177" s="1436">
        <v>1</v>
      </c>
      <c r="BI177" s="1495" t="b">
        <f t="shared" si="217"/>
        <v>1</v>
      </c>
      <c r="BJ177" s="1450" t="b">
        <f t="shared" si="223"/>
        <v>0</v>
      </c>
      <c r="BK177" s="1572">
        <f t="shared" si="224"/>
        <v>0</v>
      </c>
      <c r="BL177" s="1581">
        <f>IF(SUM(BL$171:BL176,BK177)&gt;$BO$4,0,BK177)</f>
        <v>0</v>
      </c>
      <c r="BM177" s="1436">
        <f t="shared" si="202"/>
        <v>0</v>
      </c>
      <c r="BN177" s="1495">
        <f t="shared" si="203"/>
        <v>0</v>
      </c>
      <c r="BO177" s="1437">
        <f t="shared" si="222"/>
        <v>0</v>
      </c>
      <c r="BP177" s="1574">
        <f t="shared" si="225"/>
        <v>0</v>
      </c>
      <c r="BQ177" s="1577">
        <f t="shared" si="226"/>
        <v>0</v>
      </c>
      <c r="BR177" s="1576">
        <f t="shared" si="204"/>
        <v>0</v>
      </c>
      <c r="BS177" s="1574">
        <f t="shared" si="227"/>
        <v>0</v>
      </c>
      <c r="BT177" s="1577">
        <f t="shared" si="228"/>
        <v>0</v>
      </c>
      <c r="BU177" s="1576">
        <f t="shared" si="205"/>
        <v>0</v>
      </c>
      <c r="BV177" s="1574">
        <f t="shared" si="229"/>
        <v>0</v>
      </c>
      <c r="BW177" s="1577">
        <f t="shared" si="230"/>
        <v>0</v>
      </c>
      <c r="BX177" s="1576">
        <f t="shared" si="206"/>
        <v>0</v>
      </c>
      <c r="BY177" s="1574">
        <f t="shared" si="231"/>
        <v>0</v>
      </c>
      <c r="BZ177" s="1577">
        <f t="shared" si="232"/>
        <v>0</v>
      </c>
      <c r="CA177" s="1576">
        <f t="shared" si="207"/>
        <v>0</v>
      </c>
      <c r="CB177" s="1495">
        <f t="shared" si="233"/>
        <v>0</v>
      </c>
      <c r="CC177" s="1577">
        <f t="shared" si="234"/>
        <v>0</v>
      </c>
      <c r="CD177" s="1576">
        <f t="shared" si="208"/>
        <v>0</v>
      </c>
      <c r="CE177" s="1495">
        <f t="shared" si="235"/>
        <v>0</v>
      </c>
      <c r="CF177" s="1577">
        <f t="shared" si="236"/>
        <v>0</v>
      </c>
      <c r="CG177" s="1576">
        <f t="shared" si="209"/>
        <v>0</v>
      </c>
      <c r="CH177" s="1495">
        <f t="shared" si="237"/>
        <v>0</v>
      </c>
      <c r="CI177" s="1577">
        <f t="shared" si="238"/>
        <v>0</v>
      </c>
      <c r="CJ177" s="1576">
        <f t="shared" si="210"/>
        <v>0</v>
      </c>
      <c r="CK177" s="1495">
        <f t="shared" si="239"/>
        <v>0</v>
      </c>
      <c r="CL177" s="1577">
        <f t="shared" si="240"/>
        <v>0</v>
      </c>
      <c r="CM177" s="1576">
        <f t="shared" si="211"/>
        <v>0</v>
      </c>
      <c r="CN177" s="1495">
        <f t="shared" si="241"/>
        <v>0</v>
      </c>
      <c r="CO177" s="1577">
        <f t="shared" si="242"/>
        <v>0</v>
      </c>
      <c r="CP177" s="1576">
        <f t="shared" si="212"/>
        <v>0</v>
      </c>
      <c r="CQ177" s="1495">
        <f t="shared" si="243"/>
        <v>0</v>
      </c>
      <c r="CR177" s="1577">
        <f t="shared" si="244"/>
        <v>0</v>
      </c>
      <c r="CS177" s="1576">
        <f t="shared" si="213"/>
        <v>0</v>
      </c>
      <c r="CT177" s="1495">
        <f t="shared" si="245"/>
        <v>0</v>
      </c>
      <c r="CU177" s="1577">
        <f t="shared" si="246"/>
        <v>0</v>
      </c>
      <c r="CV177" s="1576">
        <f t="shared" si="214"/>
        <v>0</v>
      </c>
      <c r="CW177" s="1495">
        <f t="shared" si="247"/>
        <v>0</v>
      </c>
      <c r="CX177" s="1577">
        <f t="shared" si="248"/>
        <v>0</v>
      </c>
      <c r="CY177" s="1576">
        <f t="shared" si="215"/>
        <v>0</v>
      </c>
      <c r="CZ177" s="1574">
        <f t="shared" si="216"/>
        <v>0</v>
      </c>
      <c r="DA177" s="1578">
        <f t="shared" si="218"/>
        <v>0</v>
      </c>
      <c r="DB177" s="1579">
        <f t="shared" si="219"/>
        <v>0</v>
      </c>
      <c r="DC177" s="1578">
        <f t="shared" si="220"/>
        <v>0</v>
      </c>
      <c r="DD177" s="1578">
        <f t="shared" si="220"/>
        <v>0</v>
      </c>
      <c r="DE177" s="1578">
        <f t="shared" si="220"/>
        <v>0</v>
      </c>
      <c r="DF177" s="1578">
        <f t="shared" si="221"/>
        <v>0</v>
      </c>
      <c r="DG177" s="1538"/>
      <c r="DH177" s="1538"/>
      <c r="DI177" s="1422"/>
      <c r="DJ177" s="1428"/>
      <c r="DK177" s="1428"/>
      <c r="DL177" s="1428"/>
      <c r="DM177" s="1428"/>
      <c r="DN177" s="1428"/>
      <c r="DO177" s="1428"/>
      <c r="DP177" s="1428"/>
      <c r="DQ177" s="1422"/>
      <c r="DR177" s="1428"/>
      <c r="DS177" s="1428"/>
      <c r="DT177" s="1428"/>
      <c r="DU177" s="1428"/>
      <c r="DV177" s="1428"/>
      <c r="DW177" s="1428"/>
      <c r="DX177" s="1428"/>
      <c r="DY177" s="1428"/>
      <c r="DZ177" s="1428"/>
      <c r="EA177" s="1428"/>
      <c r="EB177" s="1428"/>
      <c r="EC177" s="1428"/>
      <c r="ED177" s="1428"/>
      <c r="EE177" s="1428"/>
      <c r="EF177" s="1428"/>
      <c r="EG177" s="1428"/>
      <c r="EH177" s="1428"/>
      <c r="EI177" s="1428"/>
      <c r="EJ177" s="1428"/>
      <c r="EK177" s="1428"/>
      <c r="EL177" s="1428"/>
      <c r="EM177" s="1428"/>
      <c r="EN177" s="1428"/>
      <c r="EO177" s="1428"/>
      <c r="EP177" s="1428"/>
      <c r="EQ177" s="1428"/>
      <c r="ER177" s="1428"/>
      <c r="ES177" s="1428"/>
      <c r="ET177" s="1428"/>
      <c r="EU177" s="1428"/>
    </row>
    <row r="178" spans="1:151" s="1440" customFormat="1" ht="15" customHeight="1">
      <c r="A178" s="1603"/>
      <c r="B178" s="1475"/>
      <c r="C178" s="1681" t="str">
        <f>C142</f>
        <v>Actual Building</v>
      </c>
      <c r="D178" s="1682" t="str">
        <f>I142</f>
        <v>Notional Building</v>
      </c>
      <c r="E178" s="1475"/>
      <c r="F178" s="1475"/>
      <c r="G178" s="1475"/>
      <c r="H178" s="1475"/>
      <c r="I178" s="1475"/>
      <c r="J178" s="1475"/>
      <c r="K178" s="1475"/>
      <c r="L178" s="1475"/>
      <c r="M178" s="1475"/>
      <c r="N178" s="1430"/>
      <c r="O178" s="1430"/>
      <c r="P178" s="1430"/>
      <c r="Q178" s="1430"/>
      <c r="R178" s="1430"/>
      <c r="S178" s="1430"/>
      <c r="T178" s="1430"/>
      <c r="U178" s="1430"/>
      <c r="V178" s="1430"/>
      <c r="W178" s="1430"/>
      <c r="X178" s="1430"/>
      <c r="Y178" s="1430"/>
      <c r="Z178" s="1430"/>
      <c r="AA178" s="1430"/>
      <c r="AB178" s="1430"/>
      <c r="AC178" s="1430"/>
      <c r="AD178" s="1430"/>
      <c r="AE178" s="1430"/>
      <c r="AF178" s="1430"/>
      <c r="AG178" s="1430"/>
      <c r="AH178" s="1430"/>
      <c r="AI178" s="1430"/>
      <c r="AJ178" s="1430"/>
      <c r="AK178" s="1430"/>
      <c r="AL178" s="1430"/>
      <c r="AM178" s="1430"/>
      <c r="AN178" s="1430"/>
      <c r="AO178" s="1430"/>
      <c r="AP178" s="1430"/>
      <c r="AQ178" s="1430"/>
      <c r="AR178" s="1430"/>
      <c r="AS178" s="1430"/>
      <c r="AT178" s="1430"/>
      <c r="AU178" s="1430"/>
      <c r="AV178" s="1430"/>
      <c r="AW178" s="1430"/>
      <c r="AX178" s="1430"/>
      <c r="AY178" s="1430"/>
      <c r="AZ178" s="1430"/>
      <c r="BA178" s="1430"/>
      <c r="BB178" s="1430"/>
      <c r="BC178" s="1430"/>
      <c r="BD178" s="1586"/>
      <c r="BE178" s="1571" t="s">
        <v>1213</v>
      </c>
      <c r="BF178" s="1436">
        <v>22</v>
      </c>
      <c r="BG178" s="1436">
        <v>8</v>
      </c>
      <c r="BH178" s="1436">
        <v>2</v>
      </c>
      <c r="BI178" s="1495" t="b">
        <f t="shared" si="217"/>
        <v>1</v>
      </c>
      <c r="BJ178" s="1450" t="b">
        <f t="shared" si="223"/>
        <v>0</v>
      </c>
      <c r="BK178" s="1572">
        <f t="shared" si="224"/>
        <v>0</v>
      </c>
      <c r="BL178" s="1581">
        <f>IF(SUM(BL$171:BL177,BK178)&gt;$BO$4,0,BK178)</f>
        <v>0</v>
      </c>
      <c r="BM178" s="1436">
        <f t="shared" si="202"/>
        <v>0</v>
      </c>
      <c r="BN178" s="1495">
        <f t="shared" si="203"/>
        <v>0</v>
      </c>
      <c r="BO178" s="1437">
        <f t="shared" si="222"/>
        <v>0</v>
      </c>
      <c r="BP178" s="1574">
        <f t="shared" si="225"/>
        <v>0</v>
      </c>
      <c r="BQ178" s="1577">
        <f t="shared" si="226"/>
        <v>0</v>
      </c>
      <c r="BR178" s="1576">
        <f t="shared" si="204"/>
        <v>0</v>
      </c>
      <c r="BS178" s="1574">
        <f t="shared" si="227"/>
        <v>0</v>
      </c>
      <c r="BT178" s="1577">
        <f t="shared" si="228"/>
        <v>0</v>
      </c>
      <c r="BU178" s="1576">
        <f t="shared" si="205"/>
        <v>0</v>
      </c>
      <c r="BV178" s="1574">
        <f t="shared" si="229"/>
        <v>0</v>
      </c>
      <c r="BW178" s="1577">
        <f t="shared" si="230"/>
        <v>0</v>
      </c>
      <c r="BX178" s="1576">
        <f t="shared" si="206"/>
        <v>0</v>
      </c>
      <c r="BY178" s="1574">
        <f t="shared" si="231"/>
        <v>0</v>
      </c>
      <c r="BZ178" s="1577">
        <f t="shared" si="232"/>
        <v>0</v>
      </c>
      <c r="CA178" s="1576">
        <f t="shared" si="207"/>
        <v>0</v>
      </c>
      <c r="CB178" s="1495">
        <f t="shared" si="233"/>
        <v>0</v>
      </c>
      <c r="CC178" s="1577">
        <f t="shared" si="234"/>
        <v>0</v>
      </c>
      <c r="CD178" s="1576">
        <f t="shared" si="208"/>
        <v>0</v>
      </c>
      <c r="CE178" s="1495">
        <f t="shared" si="235"/>
        <v>0</v>
      </c>
      <c r="CF178" s="1577">
        <f t="shared" si="236"/>
        <v>0</v>
      </c>
      <c r="CG178" s="1576">
        <f t="shared" si="209"/>
        <v>0</v>
      </c>
      <c r="CH178" s="1495">
        <f t="shared" si="237"/>
        <v>0</v>
      </c>
      <c r="CI178" s="1577">
        <f t="shared" si="238"/>
        <v>0</v>
      </c>
      <c r="CJ178" s="1576">
        <f t="shared" si="210"/>
        <v>0</v>
      </c>
      <c r="CK178" s="1495">
        <f t="shared" si="239"/>
        <v>0</v>
      </c>
      <c r="CL178" s="1577">
        <f t="shared" si="240"/>
        <v>0</v>
      </c>
      <c r="CM178" s="1576">
        <f t="shared" si="211"/>
        <v>0</v>
      </c>
      <c r="CN178" s="1495">
        <f t="shared" si="241"/>
        <v>0</v>
      </c>
      <c r="CO178" s="1577">
        <f t="shared" si="242"/>
        <v>0</v>
      </c>
      <c r="CP178" s="1576">
        <f t="shared" si="212"/>
        <v>0</v>
      </c>
      <c r="CQ178" s="1495">
        <f t="shared" si="243"/>
        <v>0</v>
      </c>
      <c r="CR178" s="1577">
        <f t="shared" si="244"/>
        <v>0</v>
      </c>
      <c r="CS178" s="1576">
        <f t="shared" si="213"/>
        <v>0</v>
      </c>
      <c r="CT178" s="1495">
        <f t="shared" si="245"/>
        <v>0</v>
      </c>
      <c r="CU178" s="1577">
        <f t="shared" si="246"/>
        <v>0</v>
      </c>
      <c r="CV178" s="1576">
        <f t="shared" si="214"/>
        <v>0</v>
      </c>
      <c r="CW178" s="1495">
        <f t="shared" si="247"/>
        <v>0</v>
      </c>
      <c r="CX178" s="1577">
        <f t="shared" si="248"/>
        <v>0</v>
      </c>
      <c r="CY178" s="1576">
        <f t="shared" si="215"/>
        <v>0</v>
      </c>
      <c r="CZ178" s="1574">
        <f t="shared" si="216"/>
        <v>0</v>
      </c>
      <c r="DA178" s="1578">
        <f t="shared" si="218"/>
        <v>0</v>
      </c>
      <c r="DB178" s="1579">
        <f t="shared" si="219"/>
        <v>0</v>
      </c>
      <c r="DC178" s="1578">
        <f t="shared" si="220"/>
        <v>0</v>
      </c>
      <c r="DD178" s="1578">
        <f t="shared" si="220"/>
        <v>0</v>
      </c>
      <c r="DE178" s="1578">
        <f t="shared" si="220"/>
        <v>0</v>
      </c>
      <c r="DF178" s="1578">
        <f t="shared" si="221"/>
        <v>0</v>
      </c>
      <c r="DG178" s="1538"/>
      <c r="DH178" s="1538"/>
      <c r="DI178" s="1422"/>
      <c r="DJ178" s="1428"/>
      <c r="DK178" s="1428"/>
      <c r="DL178" s="1428"/>
      <c r="DM178" s="1428"/>
      <c r="DN178" s="1428"/>
      <c r="DO178" s="1428"/>
      <c r="DP178" s="1428"/>
      <c r="DQ178" s="1422"/>
      <c r="DR178" s="1428"/>
      <c r="DS178" s="1428"/>
      <c r="DT178" s="1428"/>
      <c r="DU178" s="1428"/>
      <c r="DV178" s="1428"/>
      <c r="DW178" s="1428"/>
      <c r="DX178" s="1428"/>
      <c r="DY178" s="1428"/>
      <c r="DZ178" s="1428"/>
      <c r="EA178" s="1428"/>
      <c r="EB178" s="1428"/>
      <c r="EC178" s="1428"/>
      <c r="ED178" s="1428"/>
      <c r="EE178" s="1428"/>
      <c r="EF178" s="1428"/>
      <c r="EG178" s="1428"/>
      <c r="EH178" s="1428"/>
      <c r="EI178" s="1428"/>
      <c r="EJ178" s="1428"/>
      <c r="EK178" s="1428"/>
      <c r="EL178" s="1428"/>
      <c r="EM178" s="1428"/>
      <c r="EN178" s="1428"/>
      <c r="EO178" s="1428"/>
      <c r="EP178" s="1428"/>
      <c r="EQ178" s="1428"/>
      <c r="ER178" s="1428"/>
      <c r="ES178" s="1428"/>
      <c r="ET178" s="1428"/>
      <c r="EU178" s="1428"/>
    </row>
    <row r="179" spans="1:151" s="1440" customFormat="1" ht="15" customHeight="1">
      <c r="A179" s="1603"/>
      <c r="B179" s="1475"/>
      <c r="C179" s="1700" t="s">
        <v>1698</v>
      </c>
      <c r="D179" s="1736" t="s">
        <v>1698</v>
      </c>
      <c r="E179" s="1475"/>
      <c r="F179" s="1475"/>
      <c r="G179" s="1475"/>
      <c r="H179" s="1475"/>
      <c r="I179" s="1475"/>
      <c r="J179" s="1475"/>
      <c r="K179" s="1475"/>
      <c r="L179" s="1475"/>
      <c r="M179" s="1475"/>
      <c r="N179" s="1430"/>
      <c r="O179" s="1430"/>
      <c r="P179" s="1430"/>
      <c r="Q179" s="1430"/>
      <c r="R179" s="1430"/>
      <c r="S179" s="1430"/>
      <c r="T179" s="1430"/>
      <c r="U179" s="1430"/>
      <c r="V179" s="1430"/>
      <c r="W179" s="1430"/>
      <c r="X179" s="1430"/>
      <c r="Y179" s="1430"/>
      <c r="Z179" s="1430"/>
      <c r="AA179" s="1430"/>
      <c r="AB179" s="1430"/>
      <c r="AC179" s="1430"/>
      <c r="AD179" s="1430"/>
      <c r="AE179" s="1430"/>
      <c r="AF179" s="1430"/>
      <c r="AG179" s="1430"/>
      <c r="AH179" s="1430"/>
      <c r="AI179" s="1430"/>
      <c r="AJ179" s="1430"/>
      <c r="AK179" s="1430"/>
      <c r="AL179" s="1430"/>
      <c r="AM179" s="1430"/>
      <c r="AN179" s="1430"/>
      <c r="AO179" s="1430"/>
      <c r="AP179" s="1430"/>
      <c r="AQ179" s="1430"/>
      <c r="AR179" s="1430"/>
      <c r="AS179" s="1430"/>
      <c r="AT179" s="1430"/>
      <c r="AU179" s="1430"/>
      <c r="AV179" s="1430"/>
      <c r="AW179" s="1430"/>
      <c r="AX179" s="1430"/>
      <c r="AY179" s="1430"/>
      <c r="AZ179" s="1430"/>
      <c r="BA179" s="1430"/>
      <c r="BB179" s="1430"/>
      <c r="BC179" s="1430"/>
      <c r="BD179" s="1586"/>
      <c r="BE179" s="1571" t="s">
        <v>1213</v>
      </c>
      <c r="BF179" s="1436">
        <v>22</v>
      </c>
      <c r="BG179" s="1436">
        <v>9</v>
      </c>
      <c r="BH179" s="1436">
        <v>3</v>
      </c>
      <c r="BI179" s="1495" t="b">
        <f t="shared" si="217"/>
        <v>1</v>
      </c>
      <c r="BJ179" s="1450" t="b">
        <f t="shared" si="223"/>
        <v>0</v>
      </c>
      <c r="BK179" s="1572">
        <f t="shared" si="224"/>
        <v>0</v>
      </c>
      <c r="BL179" s="1581">
        <f>IF(SUM(BL$171:BL178,BK179)&gt;$BO$4,0,BK179)</f>
        <v>0</v>
      </c>
      <c r="BM179" s="1436">
        <f t="shared" si="202"/>
        <v>0</v>
      </c>
      <c r="BN179" s="1495">
        <f t="shared" si="203"/>
        <v>0</v>
      </c>
      <c r="BO179" s="1437">
        <f t="shared" si="222"/>
        <v>0</v>
      </c>
      <c r="BP179" s="1574">
        <f t="shared" si="225"/>
        <v>0</v>
      </c>
      <c r="BQ179" s="1577">
        <f t="shared" si="226"/>
        <v>0</v>
      </c>
      <c r="BR179" s="1576">
        <f t="shared" si="204"/>
        <v>0</v>
      </c>
      <c r="BS179" s="1574">
        <f t="shared" si="227"/>
        <v>0</v>
      </c>
      <c r="BT179" s="1577">
        <f t="shared" si="228"/>
        <v>0</v>
      </c>
      <c r="BU179" s="1576">
        <f t="shared" si="205"/>
        <v>0</v>
      </c>
      <c r="BV179" s="1574">
        <f t="shared" si="229"/>
        <v>0</v>
      </c>
      <c r="BW179" s="1577">
        <f t="shared" si="230"/>
        <v>0</v>
      </c>
      <c r="BX179" s="1576">
        <f t="shared" si="206"/>
        <v>0</v>
      </c>
      <c r="BY179" s="1574">
        <f t="shared" si="231"/>
        <v>0</v>
      </c>
      <c r="BZ179" s="1577">
        <f t="shared" si="232"/>
        <v>0</v>
      </c>
      <c r="CA179" s="1576">
        <f t="shared" si="207"/>
        <v>0</v>
      </c>
      <c r="CB179" s="1495">
        <f t="shared" si="233"/>
        <v>0</v>
      </c>
      <c r="CC179" s="1577">
        <f t="shared" si="234"/>
        <v>0</v>
      </c>
      <c r="CD179" s="1576">
        <f t="shared" si="208"/>
        <v>0</v>
      </c>
      <c r="CE179" s="1495">
        <f t="shared" si="235"/>
        <v>0</v>
      </c>
      <c r="CF179" s="1577">
        <f t="shared" si="236"/>
        <v>0</v>
      </c>
      <c r="CG179" s="1576">
        <f t="shared" si="209"/>
        <v>0</v>
      </c>
      <c r="CH179" s="1495">
        <f t="shared" si="237"/>
        <v>0</v>
      </c>
      <c r="CI179" s="1577">
        <f t="shared" si="238"/>
        <v>0</v>
      </c>
      <c r="CJ179" s="1576">
        <f t="shared" si="210"/>
        <v>0</v>
      </c>
      <c r="CK179" s="1495">
        <f t="shared" si="239"/>
        <v>0</v>
      </c>
      <c r="CL179" s="1577">
        <f t="shared" si="240"/>
        <v>0</v>
      </c>
      <c r="CM179" s="1576">
        <f t="shared" si="211"/>
        <v>0</v>
      </c>
      <c r="CN179" s="1495">
        <f t="shared" si="241"/>
        <v>0</v>
      </c>
      <c r="CO179" s="1577">
        <f t="shared" si="242"/>
        <v>0</v>
      </c>
      <c r="CP179" s="1576">
        <f t="shared" si="212"/>
        <v>0</v>
      </c>
      <c r="CQ179" s="1495">
        <f t="shared" si="243"/>
        <v>0</v>
      </c>
      <c r="CR179" s="1577">
        <f t="shared" si="244"/>
        <v>0</v>
      </c>
      <c r="CS179" s="1576">
        <f t="shared" si="213"/>
        <v>0</v>
      </c>
      <c r="CT179" s="1495">
        <f t="shared" si="245"/>
        <v>0</v>
      </c>
      <c r="CU179" s="1577">
        <f t="shared" si="246"/>
        <v>0</v>
      </c>
      <c r="CV179" s="1576">
        <f t="shared" si="214"/>
        <v>0</v>
      </c>
      <c r="CW179" s="1495">
        <f t="shared" si="247"/>
        <v>0</v>
      </c>
      <c r="CX179" s="1577">
        <f t="shared" si="248"/>
        <v>0</v>
      </c>
      <c r="CY179" s="1576">
        <f t="shared" si="215"/>
        <v>0</v>
      </c>
      <c r="CZ179" s="1574">
        <f t="shared" si="216"/>
        <v>0</v>
      </c>
      <c r="DA179" s="1578">
        <f t="shared" si="218"/>
        <v>0</v>
      </c>
      <c r="DB179" s="1579">
        <f t="shared" si="219"/>
        <v>0</v>
      </c>
      <c r="DC179" s="1578">
        <f t="shared" si="220"/>
        <v>0</v>
      </c>
      <c r="DD179" s="1578">
        <f t="shared" si="220"/>
        <v>0</v>
      </c>
      <c r="DE179" s="1578">
        <f t="shared" si="220"/>
        <v>0</v>
      </c>
      <c r="DF179" s="1578">
        <f t="shared" si="221"/>
        <v>0</v>
      </c>
      <c r="DG179" s="1538"/>
      <c r="DH179" s="1538"/>
      <c r="DI179" s="1422"/>
      <c r="DJ179" s="1428"/>
      <c r="DK179" s="1428"/>
      <c r="DL179" s="1428"/>
      <c r="DM179" s="1428"/>
      <c r="DN179" s="1428"/>
      <c r="DO179" s="1428"/>
      <c r="DP179" s="1428"/>
      <c r="DQ179" s="1422"/>
      <c r="DR179" s="1428"/>
      <c r="DS179" s="1428"/>
      <c r="DT179" s="1428"/>
      <c r="DU179" s="1428"/>
      <c r="DV179" s="1428"/>
      <c r="DW179" s="1428"/>
      <c r="DX179" s="1428"/>
      <c r="DY179" s="1428"/>
      <c r="DZ179" s="1428"/>
      <c r="EA179" s="1428"/>
      <c r="EB179" s="1428"/>
      <c r="EC179" s="1428"/>
      <c r="ED179" s="1428"/>
      <c r="EE179" s="1428"/>
      <c r="EF179" s="1428"/>
      <c r="EG179" s="1428"/>
      <c r="EH179" s="1428"/>
      <c r="EI179" s="1428"/>
      <c r="EJ179" s="1428"/>
      <c r="EK179" s="1428"/>
      <c r="EL179" s="1428"/>
      <c r="EM179" s="1428"/>
      <c r="EN179" s="1428"/>
      <c r="EO179" s="1428"/>
      <c r="EP179" s="1428"/>
      <c r="EQ179" s="1428"/>
      <c r="ER179" s="1428"/>
      <c r="ES179" s="1428"/>
      <c r="ET179" s="1428"/>
      <c r="EU179" s="1428"/>
    </row>
    <row r="180" spans="1:151" s="1440" customFormat="1" ht="15.75" customHeight="1">
      <c r="A180" s="1603"/>
      <c r="B180" s="1600" t="s">
        <v>800</v>
      </c>
      <c r="C180" s="1737">
        <f t="shared" ref="C180:C191" si="249">(D144+C162*$O$138)</f>
        <v>0</v>
      </c>
      <c r="D180" s="1737">
        <f t="shared" ref="D180:D191" si="250">J144</f>
        <v>0</v>
      </c>
      <c r="E180" s="1475"/>
      <c r="F180" s="1475"/>
      <c r="G180" s="1475"/>
      <c r="H180" s="1475"/>
      <c r="I180" s="1475"/>
      <c r="J180" s="1475"/>
      <c r="K180" s="1475"/>
      <c r="L180" s="1475"/>
      <c r="M180" s="1475"/>
      <c r="N180" s="1430"/>
      <c r="O180" s="1430"/>
      <c r="P180" s="1430"/>
      <c r="Q180" s="1430"/>
      <c r="R180" s="1430"/>
      <c r="S180" s="1430"/>
      <c r="T180" s="1430"/>
      <c r="U180" s="1430"/>
      <c r="V180" s="1430"/>
      <c r="W180" s="1430"/>
      <c r="X180" s="1430"/>
      <c r="Y180" s="1430"/>
      <c r="Z180" s="1430"/>
      <c r="AA180" s="1430"/>
      <c r="AB180" s="1430"/>
      <c r="AC180" s="1430"/>
      <c r="AD180" s="1430"/>
      <c r="AE180" s="1430"/>
      <c r="AF180" s="1430"/>
      <c r="AG180" s="1430"/>
      <c r="AH180" s="1430"/>
      <c r="AI180" s="1430"/>
      <c r="AJ180" s="1430"/>
      <c r="AK180" s="1430"/>
      <c r="AL180" s="1430"/>
      <c r="AM180" s="1430"/>
      <c r="AN180" s="1430"/>
      <c r="AO180" s="1430"/>
      <c r="AP180" s="1430"/>
      <c r="AQ180" s="1430"/>
      <c r="AR180" s="1430"/>
      <c r="AS180" s="1430"/>
      <c r="AT180" s="1430"/>
      <c r="AU180" s="1430"/>
      <c r="AV180" s="1430"/>
      <c r="AW180" s="1430"/>
      <c r="AX180" s="1430"/>
      <c r="AY180" s="1430"/>
      <c r="AZ180" s="1430"/>
      <c r="BA180" s="1430"/>
      <c r="BB180" s="1430"/>
      <c r="BC180" s="1430"/>
      <c r="BD180" s="1475"/>
      <c r="BE180" s="1571" t="s">
        <v>1213</v>
      </c>
      <c r="BF180" s="1436">
        <v>22</v>
      </c>
      <c r="BG180" s="1436">
        <v>10</v>
      </c>
      <c r="BH180" s="1436">
        <v>4</v>
      </c>
      <c r="BI180" s="1495" t="b">
        <f t="shared" si="217"/>
        <v>1</v>
      </c>
      <c r="BJ180" s="1450" t="b">
        <f t="shared" si="223"/>
        <v>0</v>
      </c>
      <c r="BK180" s="1572">
        <f t="shared" si="224"/>
        <v>0</v>
      </c>
      <c r="BL180" s="1581">
        <f>IF(SUM(BL$171:BL179,BK180)&gt;$BO$4,0,BK180)</f>
        <v>0</v>
      </c>
      <c r="BM180" s="1436">
        <f t="shared" si="202"/>
        <v>0</v>
      </c>
      <c r="BN180" s="1495">
        <f t="shared" si="203"/>
        <v>0</v>
      </c>
      <c r="BO180" s="1437">
        <f t="shared" si="222"/>
        <v>0</v>
      </c>
      <c r="BP180" s="1574">
        <f t="shared" si="225"/>
        <v>0</v>
      </c>
      <c r="BQ180" s="1577">
        <f t="shared" si="226"/>
        <v>0</v>
      </c>
      <c r="BR180" s="1576">
        <f t="shared" si="204"/>
        <v>0</v>
      </c>
      <c r="BS180" s="1574">
        <f t="shared" si="227"/>
        <v>0</v>
      </c>
      <c r="BT180" s="1577">
        <f t="shared" si="228"/>
        <v>0</v>
      </c>
      <c r="BU180" s="1576">
        <f t="shared" si="205"/>
        <v>0</v>
      </c>
      <c r="BV180" s="1574">
        <f t="shared" si="229"/>
        <v>0</v>
      </c>
      <c r="BW180" s="1577">
        <f t="shared" si="230"/>
        <v>0</v>
      </c>
      <c r="BX180" s="1576">
        <f t="shared" si="206"/>
        <v>0</v>
      </c>
      <c r="BY180" s="1574">
        <f t="shared" si="231"/>
        <v>0</v>
      </c>
      <c r="BZ180" s="1577">
        <f t="shared" si="232"/>
        <v>0</v>
      </c>
      <c r="CA180" s="1576">
        <f t="shared" si="207"/>
        <v>0</v>
      </c>
      <c r="CB180" s="1495">
        <f t="shared" si="233"/>
        <v>0</v>
      </c>
      <c r="CC180" s="1577">
        <f t="shared" si="234"/>
        <v>0</v>
      </c>
      <c r="CD180" s="1576">
        <f t="shared" si="208"/>
        <v>0</v>
      </c>
      <c r="CE180" s="1495">
        <f t="shared" si="235"/>
        <v>0</v>
      </c>
      <c r="CF180" s="1577">
        <f t="shared" si="236"/>
        <v>0</v>
      </c>
      <c r="CG180" s="1576">
        <f t="shared" si="209"/>
        <v>0</v>
      </c>
      <c r="CH180" s="1495">
        <f t="shared" si="237"/>
        <v>0</v>
      </c>
      <c r="CI180" s="1577">
        <f t="shared" si="238"/>
        <v>0</v>
      </c>
      <c r="CJ180" s="1576">
        <f t="shared" si="210"/>
        <v>0</v>
      </c>
      <c r="CK180" s="1495">
        <f t="shared" si="239"/>
        <v>0</v>
      </c>
      <c r="CL180" s="1577">
        <f t="shared" si="240"/>
        <v>0</v>
      </c>
      <c r="CM180" s="1576">
        <f t="shared" si="211"/>
        <v>0</v>
      </c>
      <c r="CN180" s="1495">
        <f t="shared" si="241"/>
        <v>0</v>
      </c>
      <c r="CO180" s="1577">
        <f t="shared" si="242"/>
        <v>0</v>
      </c>
      <c r="CP180" s="1576">
        <f t="shared" si="212"/>
        <v>0</v>
      </c>
      <c r="CQ180" s="1495">
        <f t="shared" si="243"/>
        <v>0</v>
      </c>
      <c r="CR180" s="1577">
        <f t="shared" si="244"/>
        <v>0</v>
      </c>
      <c r="CS180" s="1576">
        <f t="shared" si="213"/>
        <v>0</v>
      </c>
      <c r="CT180" s="1495">
        <f t="shared" si="245"/>
        <v>0</v>
      </c>
      <c r="CU180" s="1577">
        <f t="shared" si="246"/>
        <v>0</v>
      </c>
      <c r="CV180" s="1576">
        <f t="shared" si="214"/>
        <v>0</v>
      </c>
      <c r="CW180" s="1495">
        <f t="shared" si="247"/>
        <v>0</v>
      </c>
      <c r="CX180" s="1577">
        <f t="shared" si="248"/>
        <v>0</v>
      </c>
      <c r="CY180" s="1576">
        <f t="shared" si="215"/>
        <v>0</v>
      </c>
      <c r="CZ180" s="1574">
        <f t="shared" si="216"/>
        <v>0</v>
      </c>
      <c r="DA180" s="1578">
        <f t="shared" si="218"/>
        <v>0</v>
      </c>
      <c r="DB180" s="1579">
        <f t="shared" si="219"/>
        <v>0</v>
      </c>
      <c r="DC180" s="1578">
        <f t="shared" si="220"/>
        <v>0</v>
      </c>
      <c r="DD180" s="1578">
        <f t="shared" si="220"/>
        <v>0</v>
      </c>
      <c r="DE180" s="1578">
        <f t="shared" si="220"/>
        <v>0</v>
      </c>
      <c r="DF180" s="1578">
        <f t="shared" si="221"/>
        <v>0</v>
      </c>
      <c r="DG180" s="1538"/>
      <c r="DH180" s="1538"/>
      <c r="DI180" s="1422"/>
      <c r="DJ180" s="1428"/>
      <c r="DK180" s="1428"/>
      <c r="DL180" s="1428"/>
      <c r="DM180" s="1428"/>
      <c r="DN180" s="1428"/>
      <c r="DO180" s="1428"/>
      <c r="DP180" s="1428"/>
      <c r="DQ180" s="1422"/>
      <c r="DR180" s="1428"/>
      <c r="DS180" s="1428"/>
      <c r="DT180" s="1428"/>
      <c r="DU180" s="1428"/>
      <c r="DV180" s="1428"/>
      <c r="DW180" s="1428"/>
      <c r="DX180" s="1428"/>
      <c r="DY180" s="1428"/>
      <c r="DZ180" s="1428"/>
      <c r="EA180" s="1428"/>
      <c r="EB180" s="1428"/>
      <c r="EC180" s="1428"/>
      <c r="ED180" s="1428"/>
      <c r="EE180" s="1428"/>
      <c r="EF180" s="1428"/>
      <c r="EG180" s="1428"/>
      <c r="EH180" s="1428"/>
      <c r="EI180" s="1428"/>
      <c r="EJ180" s="1428"/>
      <c r="EK180" s="1428"/>
      <c r="EL180" s="1428"/>
      <c r="EM180" s="1428"/>
      <c r="EN180" s="1428"/>
      <c r="EO180" s="1428"/>
      <c r="EP180" s="1428"/>
      <c r="EQ180" s="1428"/>
      <c r="ER180" s="1428"/>
      <c r="ES180" s="1428"/>
      <c r="ET180" s="1428"/>
      <c r="EU180" s="1428"/>
    </row>
    <row r="181" spans="1:151" s="1440" customFormat="1" ht="15.75" customHeight="1">
      <c r="A181" s="1603"/>
      <c r="B181" s="1600" t="s">
        <v>801</v>
      </c>
      <c r="C181" s="1737">
        <f t="shared" si="249"/>
        <v>0</v>
      </c>
      <c r="D181" s="1737">
        <f t="shared" si="250"/>
        <v>0</v>
      </c>
      <c r="E181" s="1475"/>
      <c r="F181" s="1475"/>
      <c r="G181" s="1475"/>
      <c r="H181" s="1475"/>
      <c r="I181" s="1475"/>
      <c r="J181" s="1475"/>
      <c r="K181" s="1475"/>
      <c r="L181" s="1475"/>
      <c r="M181" s="1475"/>
      <c r="N181" s="1430"/>
      <c r="O181" s="1430"/>
      <c r="P181" s="1430"/>
      <c r="Q181" s="1430"/>
      <c r="R181" s="1430"/>
      <c r="S181" s="1430"/>
      <c r="T181" s="1430"/>
      <c r="U181" s="1430"/>
      <c r="V181" s="1430"/>
      <c r="W181" s="1430"/>
      <c r="X181" s="1430"/>
      <c r="Y181" s="1430"/>
      <c r="Z181" s="1430"/>
      <c r="AA181" s="1430"/>
      <c r="AB181" s="1430"/>
      <c r="AC181" s="1430"/>
      <c r="AD181" s="1430"/>
      <c r="AE181" s="1430"/>
      <c r="AF181" s="1430"/>
      <c r="AG181" s="1430"/>
      <c r="AH181" s="1430"/>
      <c r="AI181" s="1430"/>
      <c r="AJ181" s="1430"/>
      <c r="AK181" s="1430"/>
      <c r="AL181" s="1430"/>
      <c r="AM181" s="1430"/>
      <c r="AN181" s="1430"/>
      <c r="AO181" s="1430"/>
      <c r="AP181" s="1430"/>
      <c r="AQ181" s="1430"/>
      <c r="AR181" s="1430"/>
      <c r="AS181" s="1430"/>
      <c r="AT181" s="1430"/>
      <c r="AU181" s="1430"/>
      <c r="AV181" s="1430"/>
      <c r="AW181" s="1430"/>
      <c r="AX181" s="1430"/>
      <c r="AY181" s="1430"/>
      <c r="AZ181" s="1430"/>
      <c r="BA181" s="1430"/>
      <c r="BB181" s="1430"/>
      <c r="BC181" s="1430"/>
      <c r="BD181" s="1422"/>
      <c r="BE181" s="1571" t="s">
        <v>1213</v>
      </c>
      <c r="BF181" s="1436">
        <v>22</v>
      </c>
      <c r="BG181" s="1436">
        <v>11</v>
      </c>
      <c r="BH181" s="1436">
        <v>5</v>
      </c>
      <c r="BI181" s="1495" t="b">
        <f t="shared" si="217"/>
        <v>1</v>
      </c>
      <c r="BJ181" s="1450" t="b">
        <f t="shared" si="223"/>
        <v>0</v>
      </c>
      <c r="BK181" s="1572">
        <f t="shared" si="224"/>
        <v>0</v>
      </c>
      <c r="BL181" s="1581">
        <f>IF(SUM(BL$171:BL180,BK181)&gt;$BO$4,0,BK181)</f>
        <v>0</v>
      </c>
      <c r="BM181" s="1436">
        <f t="shared" si="202"/>
        <v>0</v>
      </c>
      <c r="BN181" s="1495">
        <f t="shared" si="203"/>
        <v>0</v>
      </c>
      <c r="BO181" s="1437">
        <f t="shared" si="222"/>
        <v>0</v>
      </c>
      <c r="BP181" s="1574">
        <f t="shared" si="225"/>
        <v>0</v>
      </c>
      <c r="BQ181" s="1577">
        <f t="shared" si="226"/>
        <v>0</v>
      </c>
      <c r="BR181" s="1576">
        <f t="shared" si="204"/>
        <v>0</v>
      </c>
      <c r="BS181" s="1574">
        <f t="shared" si="227"/>
        <v>0</v>
      </c>
      <c r="BT181" s="1577">
        <f t="shared" si="228"/>
        <v>0</v>
      </c>
      <c r="BU181" s="1576">
        <f t="shared" si="205"/>
        <v>0</v>
      </c>
      <c r="BV181" s="1574">
        <f t="shared" si="229"/>
        <v>0</v>
      </c>
      <c r="BW181" s="1577">
        <f t="shared" si="230"/>
        <v>0</v>
      </c>
      <c r="BX181" s="1576">
        <f t="shared" si="206"/>
        <v>0</v>
      </c>
      <c r="BY181" s="1574">
        <f t="shared" si="231"/>
        <v>0</v>
      </c>
      <c r="BZ181" s="1577">
        <f t="shared" si="232"/>
        <v>0</v>
      </c>
      <c r="CA181" s="1576">
        <f t="shared" si="207"/>
        <v>0</v>
      </c>
      <c r="CB181" s="1495">
        <f t="shared" si="233"/>
        <v>0</v>
      </c>
      <c r="CC181" s="1577">
        <f t="shared" si="234"/>
        <v>0</v>
      </c>
      <c r="CD181" s="1576">
        <f t="shared" si="208"/>
        <v>0</v>
      </c>
      <c r="CE181" s="1495">
        <f t="shared" si="235"/>
        <v>0</v>
      </c>
      <c r="CF181" s="1577">
        <f t="shared" si="236"/>
        <v>0</v>
      </c>
      <c r="CG181" s="1576">
        <f t="shared" si="209"/>
        <v>0</v>
      </c>
      <c r="CH181" s="1495">
        <f t="shared" si="237"/>
        <v>0</v>
      </c>
      <c r="CI181" s="1577">
        <f t="shared" si="238"/>
        <v>0</v>
      </c>
      <c r="CJ181" s="1576">
        <f t="shared" si="210"/>
        <v>0</v>
      </c>
      <c r="CK181" s="1495">
        <f t="shared" si="239"/>
        <v>0</v>
      </c>
      <c r="CL181" s="1577">
        <f t="shared" si="240"/>
        <v>0</v>
      </c>
      <c r="CM181" s="1576">
        <f t="shared" si="211"/>
        <v>0</v>
      </c>
      <c r="CN181" s="1495">
        <f t="shared" si="241"/>
        <v>0</v>
      </c>
      <c r="CO181" s="1577">
        <f t="shared" si="242"/>
        <v>0</v>
      </c>
      <c r="CP181" s="1576">
        <f t="shared" si="212"/>
        <v>0</v>
      </c>
      <c r="CQ181" s="1495">
        <f t="shared" si="243"/>
        <v>0</v>
      </c>
      <c r="CR181" s="1577">
        <f t="shared" si="244"/>
        <v>0</v>
      </c>
      <c r="CS181" s="1576">
        <f t="shared" si="213"/>
        <v>0</v>
      </c>
      <c r="CT181" s="1495">
        <f t="shared" si="245"/>
        <v>0</v>
      </c>
      <c r="CU181" s="1577">
        <f t="shared" si="246"/>
        <v>0</v>
      </c>
      <c r="CV181" s="1576">
        <f t="shared" si="214"/>
        <v>0</v>
      </c>
      <c r="CW181" s="1495">
        <f t="shared" si="247"/>
        <v>0</v>
      </c>
      <c r="CX181" s="1577">
        <f t="shared" si="248"/>
        <v>0</v>
      </c>
      <c r="CY181" s="1576">
        <f t="shared" si="215"/>
        <v>0</v>
      </c>
      <c r="CZ181" s="1574">
        <f t="shared" si="216"/>
        <v>0</v>
      </c>
      <c r="DA181" s="1578">
        <f t="shared" si="218"/>
        <v>0</v>
      </c>
      <c r="DB181" s="1579">
        <f t="shared" si="219"/>
        <v>0</v>
      </c>
      <c r="DC181" s="1578">
        <f t="shared" si="220"/>
        <v>0</v>
      </c>
      <c r="DD181" s="1578">
        <f t="shared" si="220"/>
        <v>0</v>
      </c>
      <c r="DE181" s="1578">
        <f t="shared" si="220"/>
        <v>0</v>
      </c>
      <c r="DF181" s="1578">
        <f t="shared" si="221"/>
        <v>0</v>
      </c>
      <c r="DG181" s="1538"/>
      <c r="DH181" s="1538"/>
      <c r="DI181" s="1422"/>
      <c r="DJ181" s="1428"/>
      <c r="DK181" s="1428"/>
      <c r="DL181" s="1428"/>
      <c r="DM181" s="1428"/>
      <c r="DN181" s="1428"/>
      <c r="DO181" s="1428"/>
      <c r="DP181" s="1428"/>
      <c r="DQ181" s="1422"/>
      <c r="DR181" s="1428"/>
      <c r="DS181" s="1428"/>
      <c r="DT181" s="1428"/>
      <c r="DU181" s="1428"/>
      <c r="DV181" s="1428"/>
      <c r="DW181" s="1428"/>
      <c r="DX181" s="1428"/>
      <c r="DY181" s="1428"/>
      <c r="DZ181" s="1428"/>
      <c r="EA181" s="1428"/>
      <c r="EB181" s="1428"/>
      <c r="EC181" s="1428"/>
      <c r="ED181" s="1428"/>
      <c r="EE181" s="1428"/>
      <c r="EF181" s="1428"/>
      <c r="EG181" s="1428"/>
      <c r="EH181" s="1428"/>
      <c r="EI181" s="1428"/>
      <c r="EJ181" s="1428"/>
      <c r="EK181" s="1428"/>
      <c r="EL181" s="1428"/>
      <c r="EM181" s="1428"/>
      <c r="EN181" s="1428"/>
      <c r="EO181" s="1428"/>
      <c r="EP181" s="1428"/>
      <c r="EQ181" s="1428"/>
      <c r="ER181" s="1428"/>
      <c r="ES181" s="1428"/>
      <c r="ET181" s="1428"/>
      <c r="EU181" s="1428"/>
    </row>
    <row r="182" spans="1:151" s="1440" customFormat="1" ht="15.75" customHeight="1">
      <c r="A182" s="1603"/>
      <c r="B182" s="1600" t="s">
        <v>881</v>
      </c>
      <c r="C182" s="1737">
        <f t="shared" si="249"/>
        <v>0</v>
      </c>
      <c r="D182" s="1737">
        <f t="shared" si="250"/>
        <v>0</v>
      </c>
      <c r="E182" s="1475"/>
      <c r="F182" s="1475"/>
      <c r="G182" s="1475"/>
      <c r="H182" s="1475"/>
      <c r="I182" s="1475"/>
      <c r="J182" s="1475"/>
      <c r="K182" s="1475"/>
      <c r="L182" s="1475"/>
      <c r="M182" s="1475"/>
      <c r="N182" s="1430"/>
      <c r="O182" s="1430"/>
      <c r="P182" s="1430"/>
      <c r="Q182" s="1430"/>
      <c r="R182" s="1430"/>
      <c r="S182" s="1430"/>
      <c r="T182" s="1430"/>
      <c r="U182" s="1430"/>
      <c r="V182" s="1430"/>
      <c r="W182" s="1430"/>
      <c r="X182" s="1430"/>
      <c r="Y182" s="1430"/>
      <c r="Z182" s="1430"/>
      <c r="AA182" s="1430"/>
      <c r="AB182" s="1430"/>
      <c r="AC182" s="1430"/>
      <c r="AD182" s="1430"/>
      <c r="AE182" s="1430"/>
      <c r="AF182" s="1430"/>
      <c r="AG182" s="1430"/>
      <c r="AH182" s="1430"/>
      <c r="AI182" s="1430"/>
      <c r="AJ182" s="1430"/>
      <c r="AK182" s="1430"/>
      <c r="AL182" s="1430"/>
      <c r="AM182" s="1430"/>
      <c r="AN182" s="1430"/>
      <c r="AO182" s="1430"/>
      <c r="AP182" s="1430"/>
      <c r="AQ182" s="1430"/>
      <c r="AR182" s="1430"/>
      <c r="AS182" s="1430"/>
      <c r="AT182" s="1430"/>
      <c r="AU182" s="1430"/>
      <c r="AV182" s="1430"/>
      <c r="AW182" s="1430"/>
      <c r="AX182" s="1430"/>
      <c r="AY182" s="1430"/>
      <c r="AZ182" s="1430"/>
      <c r="BA182" s="1430"/>
      <c r="BB182" s="1430"/>
      <c r="BC182" s="1430"/>
      <c r="BD182" s="1475"/>
      <c r="BE182" s="1571" t="s">
        <v>1213</v>
      </c>
      <c r="BF182" s="1436">
        <v>22</v>
      </c>
      <c r="BG182" s="1436">
        <v>12</v>
      </c>
      <c r="BH182" s="1436">
        <v>6</v>
      </c>
      <c r="BI182" s="1495" t="b">
        <f t="shared" si="217"/>
        <v>0</v>
      </c>
      <c r="BJ182" s="1450" t="b">
        <f t="shared" si="223"/>
        <v>0</v>
      </c>
      <c r="BK182" s="1572">
        <f t="shared" si="224"/>
        <v>0</v>
      </c>
      <c r="BL182" s="1581">
        <f>IF(SUM(BL$171:BL181,BK182)&gt;$BO$4,0,BK182)</f>
        <v>0</v>
      </c>
      <c r="BM182" s="1436">
        <f t="shared" si="202"/>
        <v>0</v>
      </c>
      <c r="BN182" s="1495">
        <f t="shared" si="203"/>
        <v>0</v>
      </c>
      <c r="BO182" s="1437">
        <f t="shared" si="222"/>
        <v>0</v>
      </c>
      <c r="BP182" s="1574">
        <f t="shared" si="225"/>
        <v>0</v>
      </c>
      <c r="BQ182" s="1577">
        <f t="shared" si="226"/>
        <v>0</v>
      </c>
      <c r="BR182" s="1576">
        <f t="shared" si="204"/>
        <v>0</v>
      </c>
      <c r="BS182" s="1574">
        <f t="shared" si="227"/>
        <v>0</v>
      </c>
      <c r="BT182" s="1577">
        <f t="shared" si="228"/>
        <v>0</v>
      </c>
      <c r="BU182" s="1576">
        <f t="shared" si="205"/>
        <v>0</v>
      </c>
      <c r="BV182" s="1574">
        <f t="shared" si="229"/>
        <v>0</v>
      </c>
      <c r="BW182" s="1577">
        <f t="shared" si="230"/>
        <v>0</v>
      </c>
      <c r="BX182" s="1576">
        <f t="shared" si="206"/>
        <v>0</v>
      </c>
      <c r="BY182" s="1574">
        <f t="shared" si="231"/>
        <v>0</v>
      </c>
      <c r="BZ182" s="1577">
        <f t="shared" si="232"/>
        <v>0</v>
      </c>
      <c r="CA182" s="1576">
        <f t="shared" si="207"/>
        <v>0</v>
      </c>
      <c r="CB182" s="1495">
        <f t="shared" si="233"/>
        <v>0</v>
      </c>
      <c r="CC182" s="1577">
        <f t="shared" si="234"/>
        <v>0</v>
      </c>
      <c r="CD182" s="1576">
        <f t="shared" si="208"/>
        <v>0</v>
      </c>
      <c r="CE182" s="1495">
        <f t="shared" si="235"/>
        <v>0</v>
      </c>
      <c r="CF182" s="1577">
        <f t="shared" si="236"/>
        <v>0</v>
      </c>
      <c r="CG182" s="1576">
        <f t="shared" si="209"/>
        <v>0</v>
      </c>
      <c r="CH182" s="1495">
        <f t="shared" si="237"/>
        <v>0</v>
      </c>
      <c r="CI182" s="1577">
        <f t="shared" si="238"/>
        <v>0</v>
      </c>
      <c r="CJ182" s="1576">
        <f t="shared" si="210"/>
        <v>0</v>
      </c>
      <c r="CK182" s="1495">
        <f t="shared" si="239"/>
        <v>0</v>
      </c>
      <c r="CL182" s="1577">
        <f t="shared" si="240"/>
        <v>0</v>
      </c>
      <c r="CM182" s="1576">
        <f t="shared" si="211"/>
        <v>0</v>
      </c>
      <c r="CN182" s="1495">
        <f t="shared" si="241"/>
        <v>0</v>
      </c>
      <c r="CO182" s="1577">
        <f t="shared" si="242"/>
        <v>0</v>
      </c>
      <c r="CP182" s="1576">
        <f t="shared" si="212"/>
        <v>0</v>
      </c>
      <c r="CQ182" s="1495">
        <f t="shared" si="243"/>
        <v>0</v>
      </c>
      <c r="CR182" s="1577">
        <f t="shared" si="244"/>
        <v>0</v>
      </c>
      <c r="CS182" s="1576">
        <f t="shared" si="213"/>
        <v>0</v>
      </c>
      <c r="CT182" s="1495">
        <f t="shared" si="245"/>
        <v>0</v>
      </c>
      <c r="CU182" s="1577">
        <f t="shared" si="246"/>
        <v>0</v>
      </c>
      <c r="CV182" s="1576">
        <f t="shared" si="214"/>
        <v>0</v>
      </c>
      <c r="CW182" s="1495">
        <f t="shared" si="247"/>
        <v>0</v>
      </c>
      <c r="CX182" s="1577">
        <f t="shared" si="248"/>
        <v>0</v>
      </c>
      <c r="CY182" s="1576">
        <f t="shared" si="215"/>
        <v>0</v>
      </c>
      <c r="CZ182" s="1574">
        <f t="shared" si="216"/>
        <v>0</v>
      </c>
      <c r="DA182" s="1578">
        <f t="shared" si="218"/>
        <v>0</v>
      </c>
      <c r="DB182" s="1579">
        <f t="shared" si="219"/>
        <v>0</v>
      </c>
      <c r="DC182" s="1578">
        <f t="shared" si="220"/>
        <v>0</v>
      </c>
      <c r="DD182" s="1578">
        <f t="shared" si="220"/>
        <v>0</v>
      </c>
      <c r="DE182" s="1578">
        <f t="shared" si="220"/>
        <v>0</v>
      </c>
      <c r="DF182" s="1578">
        <f t="shared" si="221"/>
        <v>0</v>
      </c>
      <c r="DG182" s="1538"/>
      <c r="DH182" s="1538"/>
      <c r="DI182" s="1422"/>
      <c r="DJ182" s="1428"/>
      <c r="DK182" s="1428"/>
      <c r="DL182" s="1428"/>
      <c r="DM182" s="1428"/>
      <c r="DN182" s="1428"/>
      <c r="DO182" s="1428"/>
      <c r="DP182" s="1428"/>
      <c r="DQ182" s="1422"/>
      <c r="DR182" s="1428"/>
      <c r="DS182" s="1428"/>
      <c r="DT182" s="1428"/>
      <c r="DU182" s="1428"/>
      <c r="DV182" s="1428"/>
      <c r="DW182" s="1428"/>
      <c r="DX182" s="1428"/>
      <c r="DY182" s="1428"/>
      <c r="DZ182" s="1428"/>
      <c r="EA182" s="1428"/>
      <c r="EB182" s="1428"/>
      <c r="EC182" s="1428"/>
      <c r="ED182" s="1428"/>
      <c r="EE182" s="1428"/>
      <c r="EF182" s="1428"/>
      <c r="EG182" s="1428"/>
      <c r="EH182" s="1428"/>
      <c r="EI182" s="1428"/>
      <c r="EJ182" s="1428"/>
      <c r="EK182" s="1428"/>
      <c r="EL182" s="1428"/>
      <c r="EM182" s="1428"/>
      <c r="EN182" s="1428"/>
      <c r="EO182" s="1428"/>
      <c r="EP182" s="1428"/>
      <c r="EQ182" s="1428"/>
      <c r="ER182" s="1428"/>
      <c r="ES182" s="1428"/>
      <c r="ET182" s="1428"/>
      <c r="EU182" s="1428"/>
    </row>
    <row r="183" spans="1:151" s="1440" customFormat="1">
      <c r="A183" s="1603"/>
      <c r="B183" s="1600" t="s">
        <v>882</v>
      </c>
      <c r="C183" s="1737">
        <f t="shared" si="249"/>
        <v>0</v>
      </c>
      <c r="D183" s="1737">
        <f t="shared" si="250"/>
        <v>0</v>
      </c>
      <c r="E183" s="1475"/>
      <c r="F183" s="1475"/>
      <c r="G183" s="1475"/>
      <c r="H183" s="1475"/>
      <c r="I183" s="1475"/>
      <c r="J183" s="1475"/>
      <c r="K183" s="1475"/>
      <c r="L183" s="1475"/>
      <c r="M183" s="1475"/>
      <c r="N183" s="1430"/>
      <c r="O183" s="1430"/>
      <c r="P183" s="1430"/>
      <c r="Q183" s="1430"/>
      <c r="R183" s="1430"/>
      <c r="S183" s="1430"/>
      <c r="T183" s="1430"/>
      <c r="U183" s="1430"/>
      <c r="V183" s="1430"/>
      <c r="W183" s="1430"/>
      <c r="X183" s="1430"/>
      <c r="Y183" s="1430"/>
      <c r="Z183" s="1430"/>
      <c r="AA183" s="1430"/>
      <c r="AB183" s="1430"/>
      <c r="AC183" s="1430"/>
      <c r="AD183" s="1430"/>
      <c r="AE183" s="1430"/>
      <c r="AF183" s="1430"/>
      <c r="AG183" s="1430"/>
      <c r="AH183" s="1430"/>
      <c r="AI183" s="1430"/>
      <c r="AJ183" s="1430"/>
      <c r="AK183" s="1430"/>
      <c r="AL183" s="1430"/>
      <c r="AM183" s="1430"/>
      <c r="AN183" s="1430"/>
      <c r="AO183" s="1430"/>
      <c r="AP183" s="1430"/>
      <c r="AQ183" s="1430"/>
      <c r="AR183" s="1430"/>
      <c r="AS183" s="1430"/>
      <c r="AT183" s="1430"/>
      <c r="AU183" s="1430"/>
      <c r="AV183" s="1430"/>
      <c r="AW183" s="1430"/>
      <c r="AX183" s="1430"/>
      <c r="AY183" s="1430"/>
      <c r="AZ183" s="1430"/>
      <c r="BA183" s="1430"/>
      <c r="BB183" s="1430"/>
      <c r="BC183" s="1430"/>
      <c r="BD183" s="1475"/>
      <c r="BE183" s="1571" t="s">
        <v>1213</v>
      </c>
      <c r="BF183" s="1436">
        <v>22</v>
      </c>
      <c r="BG183" s="1436">
        <v>13</v>
      </c>
      <c r="BH183" s="1436">
        <v>7</v>
      </c>
      <c r="BI183" s="1495" t="b">
        <f t="shared" si="217"/>
        <v>0</v>
      </c>
      <c r="BJ183" s="1450" t="b">
        <f t="shared" si="223"/>
        <v>0</v>
      </c>
      <c r="BK183" s="1572">
        <f t="shared" si="224"/>
        <v>0</v>
      </c>
      <c r="BL183" s="1581">
        <f>IF(SUM(BL$171:BL182,BK183)&gt;$BO$4,0,BK183)</f>
        <v>0</v>
      </c>
      <c r="BM183" s="1436">
        <f t="shared" si="202"/>
        <v>0</v>
      </c>
      <c r="BN183" s="1495">
        <f t="shared" si="203"/>
        <v>0</v>
      </c>
      <c r="BO183" s="1437">
        <f t="shared" si="222"/>
        <v>0</v>
      </c>
      <c r="BP183" s="1574">
        <f t="shared" si="225"/>
        <v>0</v>
      </c>
      <c r="BQ183" s="1577">
        <f t="shared" si="226"/>
        <v>0</v>
      </c>
      <c r="BR183" s="1576">
        <f t="shared" si="204"/>
        <v>0</v>
      </c>
      <c r="BS183" s="1574">
        <f t="shared" si="227"/>
        <v>0</v>
      </c>
      <c r="BT183" s="1577">
        <f t="shared" si="228"/>
        <v>0</v>
      </c>
      <c r="BU183" s="1576">
        <f t="shared" si="205"/>
        <v>0</v>
      </c>
      <c r="BV183" s="1574">
        <f t="shared" si="229"/>
        <v>0</v>
      </c>
      <c r="BW183" s="1577">
        <f t="shared" si="230"/>
        <v>0</v>
      </c>
      <c r="BX183" s="1576">
        <f t="shared" si="206"/>
        <v>0</v>
      </c>
      <c r="BY183" s="1574">
        <f t="shared" si="231"/>
        <v>0</v>
      </c>
      <c r="BZ183" s="1577">
        <f t="shared" si="232"/>
        <v>0</v>
      </c>
      <c r="CA183" s="1576">
        <f t="shared" si="207"/>
        <v>0</v>
      </c>
      <c r="CB183" s="1495">
        <f t="shared" si="233"/>
        <v>0</v>
      </c>
      <c r="CC183" s="1577">
        <f t="shared" si="234"/>
        <v>0</v>
      </c>
      <c r="CD183" s="1576">
        <f t="shared" si="208"/>
        <v>0</v>
      </c>
      <c r="CE183" s="1495">
        <f t="shared" si="235"/>
        <v>0</v>
      </c>
      <c r="CF183" s="1577">
        <f t="shared" si="236"/>
        <v>0</v>
      </c>
      <c r="CG183" s="1576">
        <f t="shared" si="209"/>
        <v>0</v>
      </c>
      <c r="CH183" s="1495">
        <f t="shared" si="237"/>
        <v>0</v>
      </c>
      <c r="CI183" s="1577">
        <f t="shared" si="238"/>
        <v>0</v>
      </c>
      <c r="CJ183" s="1576">
        <f t="shared" si="210"/>
        <v>0</v>
      </c>
      <c r="CK183" s="1495">
        <f t="shared" si="239"/>
        <v>0</v>
      </c>
      <c r="CL183" s="1577">
        <f t="shared" si="240"/>
        <v>0</v>
      </c>
      <c r="CM183" s="1576">
        <f t="shared" si="211"/>
        <v>0</v>
      </c>
      <c r="CN183" s="1495">
        <f t="shared" si="241"/>
        <v>0</v>
      </c>
      <c r="CO183" s="1577">
        <f t="shared" si="242"/>
        <v>0</v>
      </c>
      <c r="CP183" s="1576">
        <f t="shared" si="212"/>
        <v>0</v>
      </c>
      <c r="CQ183" s="1495">
        <f t="shared" si="243"/>
        <v>0</v>
      </c>
      <c r="CR183" s="1577">
        <f t="shared" si="244"/>
        <v>0</v>
      </c>
      <c r="CS183" s="1576">
        <f t="shared" si="213"/>
        <v>0</v>
      </c>
      <c r="CT183" s="1495">
        <f t="shared" si="245"/>
        <v>0</v>
      </c>
      <c r="CU183" s="1577">
        <f t="shared" si="246"/>
        <v>0</v>
      </c>
      <c r="CV183" s="1576">
        <f t="shared" si="214"/>
        <v>0</v>
      </c>
      <c r="CW183" s="1495">
        <f t="shared" si="247"/>
        <v>0</v>
      </c>
      <c r="CX183" s="1577">
        <f t="shared" si="248"/>
        <v>0</v>
      </c>
      <c r="CY183" s="1576">
        <f t="shared" si="215"/>
        <v>0</v>
      </c>
      <c r="CZ183" s="1574">
        <f t="shared" si="216"/>
        <v>0</v>
      </c>
      <c r="DA183" s="1578">
        <f t="shared" si="218"/>
        <v>0</v>
      </c>
      <c r="DB183" s="1579">
        <f t="shared" si="219"/>
        <v>0</v>
      </c>
      <c r="DC183" s="1578">
        <f t="shared" si="220"/>
        <v>0</v>
      </c>
      <c r="DD183" s="1578">
        <f t="shared" si="220"/>
        <v>0</v>
      </c>
      <c r="DE183" s="1578">
        <f t="shared" si="220"/>
        <v>0</v>
      </c>
      <c r="DF183" s="1578">
        <f t="shared" si="221"/>
        <v>0</v>
      </c>
      <c r="DG183" s="1538"/>
      <c r="DH183" s="1538"/>
      <c r="DI183" s="1422"/>
      <c r="DJ183" s="1428"/>
      <c r="DK183" s="1428"/>
      <c r="DL183" s="1428"/>
      <c r="DM183" s="1428"/>
      <c r="DN183" s="1428"/>
      <c r="DO183" s="1428"/>
      <c r="DP183" s="1428"/>
      <c r="DQ183" s="1422"/>
      <c r="DR183" s="1428"/>
      <c r="DS183" s="1428"/>
      <c r="DT183" s="1428"/>
      <c r="DU183" s="1428"/>
      <c r="DV183" s="1428"/>
      <c r="DW183" s="1428"/>
      <c r="DX183" s="1428"/>
      <c r="DY183" s="1428"/>
      <c r="DZ183" s="1428"/>
      <c r="EA183" s="1428"/>
      <c r="EB183" s="1428"/>
      <c r="EC183" s="1428"/>
      <c r="ED183" s="1428"/>
      <c r="EE183" s="1428"/>
      <c r="EF183" s="1428"/>
      <c r="EG183" s="1428"/>
      <c r="EH183" s="1428"/>
      <c r="EI183" s="1428"/>
      <c r="EJ183" s="1428"/>
      <c r="EK183" s="1428"/>
      <c r="EL183" s="1428"/>
      <c r="EM183" s="1428"/>
      <c r="EN183" s="1428"/>
      <c r="EO183" s="1428"/>
      <c r="EP183" s="1428"/>
      <c r="EQ183" s="1428"/>
      <c r="ER183" s="1428"/>
      <c r="ES183" s="1428"/>
      <c r="ET183" s="1428"/>
      <c r="EU183" s="1428"/>
    </row>
    <row r="184" spans="1:151" s="1440" customFormat="1" ht="18" customHeight="1">
      <c r="A184" s="1603"/>
      <c r="B184" s="1600" t="s">
        <v>1212</v>
      </c>
      <c r="C184" s="1737">
        <f t="shared" si="249"/>
        <v>0</v>
      </c>
      <c r="D184" s="1737">
        <f t="shared" si="250"/>
        <v>0</v>
      </c>
      <c r="E184" s="1475"/>
      <c r="F184" s="1475"/>
      <c r="G184" s="1475"/>
      <c r="H184" s="1475"/>
      <c r="I184" s="1475"/>
      <c r="J184" s="1475"/>
      <c r="K184" s="1475"/>
      <c r="L184" s="1475"/>
      <c r="M184" s="1475"/>
      <c r="N184" s="1430"/>
      <c r="O184" s="1430"/>
      <c r="P184" s="1430"/>
      <c r="Q184" s="1430"/>
      <c r="R184" s="1430"/>
      <c r="S184" s="1430"/>
      <c r="T184" s="1430"/>
      <c r="U184" s="1430"/>
      <c r="V184" s="1430"/>
      <c r="W184" s="1430"/>
      <c r="X184" s="1430"/>
      <c r="Y184" s="1430"/>
      <c r="Z184" s="1430"/>
      <c r="AA184" s="1430"/>
      <c r="AB184" s="1430"/>
      <c r="AC184" s="1430"/>
      <c r="AD184" s="1430"/>
      <c r="AE184" s="1430"/>
      <c r="AF184" s="1430"/>
      <c r="AG184" s="1430"/>
      <c r="AH184" s="1430"/>
      <c r="AI184" s="1430"/>
      <c r="AJ184" s="1430"/>
      <c r="AK184" s="1430"/>
      <c r="AL184" s="1430"/>
      <c r="AM184" s="1430"/>
      <c r="AN184" s="1430"/>
      <c r="AO184" s="1430"/>
      <c r="AP184" s="1430"/>
      <c r="AQ184" s="1430"/>
      <c r="AR184" s="1430"/>
      <c r="AS184" s="1430"/>
      <c r="AT184" s="1430"/>
      <c r="AU184" s="1430"/>
      <c r="AV184" s="1430"/>
      <c r="AW184" s="1430"/>
      <c r="AX184" s="1430"/>
      <c r="AY184" s="1430"/>
      <c r="AZ184" s="1430"/>
      <c r="BA184" s="1430"/>
      <c r="BB184" s="1430"/>
      <c r="BC184" s="1430"/>
      <c r="BD184" s="1475"/>
      <c r="BE184" s="1571" t="s">
        <v>1213</v>
      </c>
      <c r="BF184" s="1436">
        <v>22</v>
      </c>
      <c r="BG184" s="1436">
        <v>14</v>
      </c>
      <c r="BH184" s="1436">
        <v>1</v>
      </c>
      <c r="BI184" s="1495" t="b">
        <f t="shared" si="217"/>
        <v>1</v>
      </c>
      <c r="BJ184" s="1450" t="b">
        <f t="shared" si="223"/>
        <v>0</v>
      </c>
      <c r="BK184" s="1572">
        <f t="shared" si="224"/>
        <v>0</v>
      </c>
      <c r="BL184" s="1581">
        <f>IF(SUM(BL$171:BL183,BK184)&gt;$BO$4,0,BK184)</f>
        <v>0</v>
      </c>
      <c r="BM184" s="1436">
        <f t="shared" si="202"/>
        <v>0</v>
      </c>
      <c r="BN184" s="1495">
        <f t="shared" si="203"/>
        <v>0</v>
      </c>
      <c r="BO184" s="1437">
        <f t="shared" si="222"/>
        <v>0</v>
      </c>
      <c r="BP184" s="1574">
        <f t="shared" si="225"/>
        <v>0</v>
      </c>
      <c r="BQ184" s="1577">
        <f t="shared" si="226"/>
        <v>0</v>
      </c>
      <c r="BR184" s="1576">
        <f t="shared" si="204"/>
        <v>0</v>
      </c>
      <c r="BS184" s="1574">
        <f t="shared" si="227"/>
        <v>0</v>
      </c>
      <c r="BT184" s="1577">
        <f t="shared" si="228"/>
        <v>0</v>
      </c>
      <c r="BU184" s="1576">
        <f t="shared" si="205"/>
        <v>0</v>
      </c>
      <c r="BV184" s="1574">
        <f t="shared" si="229"/>
        <v>0</v>
      </c>
      <c r="BW184" s="1577">
        <f t="shared" si="230"/>
        <v>0</v>
      </c>
      <c r="BX184" s="1576">
        <f t="shared" si="206"/>
        <v>0</v>
      </c>
      <c r="BY184" s="1574">
        <f t="shared" si="231"/>
        <v>0</v>
      </c>
      <c r="BZ184" s="1577">
        <f t="shared" si="232"/>
        <v>0</v>
      </c>
      <c r="CA184" s="1576">
        <f t="shared" si="207"/>
        <v>0</v>
      </c>
      <c r="CB184" s="1495">
        <f t="shared" si="233"/>
        <v>0</v>
      </c>
      <c r="CC184" s="1577">
        <f t="shared" si="234"/>
        <v>0</v>
      </c>
      <c r="CD184" s="1576">
        <f t="shared" si="208"/>
        <v>0</v>
      </c>
      <c r="CE184" s="1495">
        <f t="shared" si="235"/>
        <v>0</v>
      </c>
      <c r="CF184" s="1577">
        <f t="shared" si="236"/>
        <v>0</v>
      </c>
      <c r="CG184" s="1576">
        <f t="shared" si="209"/>
        <v>0</v>
      </c>
      <c r="CH184" s="1495">
        <f t="shared" si="237"/>
        <v>0</v>
      </c>
      <c r="CI184" s="1577">
        <f t="shared" si="238"/>
        <v>0</v>
      </c>
      <c r="CJ184" s="1576">
        <f t="shared" si="210"/>
        <v>0</v>
      </c>
      <c r="CK184" s="1495">
        <f t="shared" si="239"/>
        <v>0</v>
      </c>
      <c r="CL184" s="1577">
        <f t="shared" si="240"/>
        <v>0</v>
      </c>
      <c r="CM184" s="1576">
        <f t="shared" si="211"/>
        <v>0</v>
      </c>
      <c r="CN184" s="1495">
        <f t="shared" si="241"/>
        <v>0</v>
      </c>
      <c r="CO184" s="1577">
        <f t="shared" si="242"/>
        <v>0</v>
      </c>
      <c r="CP184" s="1576">
        <f t="shared" si="212"/>
        <v>0</v>
      </c>
      <c r="CQ184" s="1495">
        <f t="shared" si="243"/>
        <v>0</v>
      </c>
      <c r="CR184" s="1577">
        <f t="shared" si="244"/>
        <v>0</v>
      </c>
      <c r="CS184" s="1576">
        <f t="shared" si="213"/>
        <v>0</v>
      </c>
      <c r="CT184" s="1495">
        <f t="shared" si="245"/>
        <v>0</v>
      </c>
      <c r="CU184" s="1577">
        <f t="shared" si="246"/>
        <v>0</v>
      </c>
      <c r="CV184" s="1576">
        <f t="shared" si="214"/>
        <v>0</v>
      </c>
      <c r="CW184" s="1495">
        <f t="shared" si="247"/>
        <v>0</v>
      </c>
      <c r="CX184" s="1577">
        <f t="shared" si="248"/>
        <v>0</v>
      </c>
      <c r="CY184" s="1576">
        <f t="shared" si="215"/>
        <v>0</v>
      </c>
      <c r="CZ184" s="1574">
        <f t="shared" si="216"/>
        <v>0</v>
      </c>
      <c r="DA184" s="1578">
        <f t="shared" si="218"/>
        <v>0</v>
      </c>
      <c r="DB184" s="1579">
        <f t="shared" si="219"/>
        <v>0</v>
      </c>
      <c r="DC184" s="1578">
        <f t="shared" si="220"/>
        <v>0</v>
      </c>
      <c r="DD184" s="1578">
        <f t="shared" si="220"/>
        <v>0</v>
      </c>
      <c r="DE184" s="1578">
        <f t="shared" si="220"/>
        <v>0</v>
      </c>
      <c r="DF184" s="1578">
        <f t="shared" si="221"/>
        <v>0</v>
      </c>
      <c r="DG184" s="1538"/>
      <c r="DH184" s="1538"/>
      <c r="DI184" s="1422"/>
      <c r="DJ184" s="1428"/>
      <c r="DK184" s="1428"/>
      <c r="DL184" s="1428"/>
      <c r="DM184" s="1428"/>
      <c r="DN184" s="1428"/>
      <c r="DO184" s="1428"/>
      <c r="DP184" s="1428"/>
      <c r="DQ184" s="1422"/>
      <c r="DR184" s="1428"/>
      <c r="DS184" s="1428"/>
      <c r="DT184" s="1428"/>
      <c r="DU184" s="1428"/>
      <c r="DV184" s="1428"/>
      <c r="DW184" s="1428"/>
      <c r="DX184" s="1428"/>
      <c r="DY184" s="1428"/>
      <c r="DZ184" s="1428"/>
      <c r="EA184" s="1428"/>
      <c r="EB184" s="1428"/>
      <c r="EC184" s="1428"/>
      <c r="ED184" s="1428"/>
      <c r="EE184" s="1428"/>
      <c r="EF184" s="1428"/>
      <c r="EG184" s="1428"/>
      <c r="EH184" s="1428"/>
      <c r="EI184" s="1428"/>
      <c r="EJ184" s="1428"/>
      <c r="EK184" s="1428"/>
      <c r="EL184" s="1428"/>
      <c r="EM184" s="1428"/>
      <c r="EN184" s="1428"/>
      <c r="EO184" s="1428"/>
      <c r="EP184" s="1428"/>
      <c r="EQ184" s="1428"/>
      <c r="ER184" s="1428"/>
      <c r="ES184" s="1428"/>
      <c r="ET184" s="1428"/>
      <c r="EU184" s="1428"/>
    </row>
    <row r="185" spans="1:151" s="1440" customFormat="1" ht="18" customHeight="1">
      <c r="A185" s="1603"/>
      <c r="B185" s="1600" t="s">
        <v>883</v>
      </c>
      <c r="C185" s="1737">
        <f t="shared" si="249"/>
        <v>0</v>
      </c>
      <c r="D185" s="1737">
        <f t="shared" si="250"/>
        <v>0</v>
      </c>
      <c r="E185" s="1475"/>
      <c r="F185" s="1475"/>
      <c r="G185" s="1475"/>
      <c r="H185" s="1475"/>
      <c r="I185" s="1475"/>
      <c r="J185" s="1475"/>
      <c r="K185" s="1475"/>
      <c r="L185" s="1475"/>
      <c r="M185" s="1475"/>
      <c r="N185" s="1430"/>
      <c r="O185" s="1430"/>
      <c r="P185" s="1430"/>
      <c r="Q185" s="1430"/>
      <c r="R185" s="1430"/>
      <c r="S185" s="1430"/>
      <c r="T185" s="1430"/>
      <c r="U185" s="1430"/>
      <c r="V185" s="1430"/>
      <c r="W185" s="1430"/>
      <c r="X185" s="1430"/>
      <c r="Y185" s="1430"/>
      <c r="Z185" s="1430"/>
      <c r="AA185" s="1430"/>
      <c r="AB185" s="1430"/>
      <c r="AC185" s="1430"/>
      <c r="AD185" s="1430"/>
      <c r="AE185" s="1430"/>
      <c r="AF185" s="1430"/>
      <c r="AG185" s="1430"/>
      <c r="AH185" s="1430"/>
      <c r="AI185" s="1430"/>
      <c r="AJ185" s="1430"/>
      <c r="AK185" s="1430"/>
      <c r="AL185" s="1430"/>
      <c r="AM185" s="1430"/>
      <c r="AN185" s="1430"/>
      <c r="AO185" s="1430"/>
      <c r="AP185" s="1430"/>
      <c r="AQ185" s="1430"/>
      <c r="AR185" s="1430"/>
      <c r="AS185" s="1430"/>
      <c r="AT185" s="1430"/>
      <c r="AU185" s="1430"/>
      <c r="AV185" s="1430"/>
      <c r="AW185" s="1430"/>
      <c r="AX185" s="1430"/>
      <c r="AY185" s="1430"/>
      <c r="AZ185" s="1430"/>
      <c r="BA185" s="1430"/>
      <c r="BB185" s="1430"/>
      <c r="BC185" s="1430"/>
      <c r="BD185" s="1475"/>
      <c r="BE185" s="1571" t="s">
        <v>1213</v>
      </c>
      <c r="BF185" s="1436">
        <v>22</v>
      </c>
      <c r="BG185" s="1436">
        <v>15</v>
      </c>
      <c r="BH185" s="1436">
        <v>2</v>
      </c>
      <c r="BI185" s="1495" t="b">
        <f t="shared" si="217"/>
        <v>1</v>
      </c>
      <c r="BJ185" s="1450" t="b">
        <f t="shared" si="223"/>
        <v>0</v>
      </c>
      <c r="BK185" s="1572">
        <f t="shared" si="224"/>
        <v>0</v>
      </c>
      <c r="BL185" s="1581">
        <f>IF(SUM(BL$171:BL184,BK185)&gt;$BO$4,0,BK185)</f>
        <v>0</v>
      </c>
      <c r="BM185" s="1436">
        <f t="shared" si="202"/>
        <v>0</v>
      </c>
      <c r="BN185" s="1495">
        <f t="shared" si="203"/>
        <v>0</v>
      </c>
      <c r="BO185" s="1437">
        <f t="shared" si="222"/>
        <v>0</v>
      </c>
      <c r="BP185" s="1574">
        <f t="shared" si="225"/>
        <v>0</v>
      </c>
      <c r="BQ185" s="1577">
        <f t="shared" si="226"/>
        <v>0</v>
      </c>
      <c r="BR185" s="1576">
        <f t="shared" si="204"/>
        <v>0</v>
      </c>
      <c r="BS185" s="1574">
        <f t="shared" si="227"/>
        <v>0</v>
      </c>
      <c r="BT185" s="1577">
        <f t="shared" si="228"/>
        <v>0</v>
      </c>
      <c r="BU185" s="1576">
        <f t="shared" si="205"/>
        <v>0</v>
      </c>
      <c r="BV185" s="1574">
        <f t="shared" si="229"/>
        <v>0</v>
      </c>
      <c r="BW185" s="1577">
        <f t="shared" si="230"/>
        <v>0</v>
      </c>
      <c r="BX185" s="1576">
        <f t="shared" si="206"/>
        <v>0</v>
      </c>
      <c r="BY185" s="1574">
        <f t="shared" si="231"/>
        <v>0</v>
      </c>
      <c r="BZ185" s="1577">
        <f t="shared" si="232"/>
        <v>0</v>
      </c>
      <c r="CA185" s="1576">
        <f t="shared" si="207"/>
        <v>0</v>
      </c>
      <c r="CB185" s="1495">
        <f t="shared" si="233"/>
        <v>0</v>
      </c>
      <c r="CC185" s="1577">
        <f t="shared" si="234"/>
        <v>0</v>
      </c>
      <c r="CD185" s="1576">
        <f t="shared" si="208"/>
        <v>0</v>
      </c>
      <c r="CE185" s="1495">
        <f t="shared" si="235"/>
        <v>0</v>
      </c>
      <c r="CF185" s="1577">
        <f t="shared" si="236"/>
        <v>0</v>
      </c>
      <c r="CG185" s="1576">
        <f t="shared" si="209"/>
        <v>0</v>
      </c>
      <c r="CH185" s="1495">
        <f t="shared" si="237"/>
        <v>0</v>
      </c>
      <c r="CI185" s="1577">
        <f t="shared" si="238"/>
        <v>0</v>
      </c>
      <c r="CJ185" s="1576">
        <f t="shared" si="210"/>
        <v>0</v>
      </c>
      <c r="CK185" s="1495">
        <f t="shared" si="239"/>
        <v>0</v>
      </c>
      <c r="CL185" s="1577">
        <f t="shared" si="240"/>
        <v>0</v>
      </c>
      <c r="CM185" s="1576">
        <f t="shared" si="211"/>
        <v>0</v>
      </c>
      <c r="CN185" s="1495">
        <f t="shared" si="241"/>
        <v>0</v>
      </c>
      <c r="CO185" s="1577">
        <f t="shared" si="242"/>
        <v>0</v>
      </c>
      <c r="CP185" s="1576">
        <f t="shared" si="212"/>
        <v>0</v>
      </c>
      <c r="CQ185" s="1495">
        <f t="shared" si="243"/>
        <v>0</v>
      </c>
      <c r="CR185" s="1577">
        <f t="shared" si="244"/>
        <v>0</v>
      </c>
      <c r="CS185" s="1576">
        <f t="shared" si="213"/>
        <v>0</v>
      </c>
      <c r="CT185" s="1495">
        <f t="shared" si="245"/>
        <v>0</v>
      </c>
      <c r="CU185" s="1577">
        <f t="shared" si="246"/>
        <v>0</v>
      </c>
      <c r="CV185" s="1576">
        <f t="shared" si="214"/>
        <v>0</v>
      </c>
      <c r="CW185" s="1495">
        <f t="shared" si="247"/>
        <v>0</v>
      </c>
      <c r="CX185" s="1577">
        <f t="shared" si="248"/>
        <v>0</v>
      </c>
      <c r="CY185" s="1576">
        <f t="shared" si="215"/>
        <v>0</v>
      </c>
      <c r="CZ185" s="1574">
        <f t="shared" si="216"/>
        <v>0</v>
      </c>
      <c r="DA185" s="1578">
        <f t="shared" si="218"/>
        <v>0</v>
      </c>
      <c r="DB185" s="1579">
        <f t="shared" si="219"/>
        <v>0</v>
      </c>
      <c r="DC185" s="1578">
        <f t="shared" si="220"/>
        <v>0</v>
      </c>
      <c r="DD185" s="1578">
        <f t="shared" si="220"/>
        <v>0</v>
      </c>
      <c r="DE185" s="1578">
        <f t="shared" si="220"/>
        <v>0</v>
      </c>
      <c r="DF185" s="1578">
        <f t="shared" si="221"/>
        <v>0</v>
      </c>
      <c r="DG185" s="1538"/>
      <c r="DH185" s="1538"/>
      <c r="DI185" s="1422"/>
      <c r="DJ185" s="1428"/>
      <c r="DK185" s="1428"/>
      <c r="DL185" s="1428"/>
      <c r="DM185" s="1428"/>
      <c r="DN185" s="1428"/>
      <c r="DO185" s="1428"/>
      <c r="DP185" s="1428"/>
      <c r="DQ185" s="1422"/>
      <c r="DR185" s="1428"/>
      <c r="DS185" s="1428"/>
      <c r="DT185" s="1428"/>
      <c r="DU185" s="1428"/>
      <c r="DV185" s="1428"/>
      <c r="DW185" s="1428"/>
      <c r="DX185" s="1428"/>
      <c r="DY185" s="1428"/>
      <c r="DZ185" s="1428"/>
      <c r="EA185" s="1428"/>
      <c r="EB185" s="1428"/>
      <c r="EC185" s="1428"/>
      <c r="ED185" s="1428"/>
      <c r="EE185" s="1428"/>
      <c r="EF185" s="1428"/>
      <c r="EG185" s="1428"/>
      <c r="EH185" s="1428"/>
      <c r="EI185" s="1428"/>
      <c r="EJ185" s="1428"/>
      <c r="EK185" s="1428"/>
      <c r="EL185" s="1428"/>
      <c r="EM185" s="1428"/>
      <c r="EN185" s="1428"/>
      <c r="EO185" s="1428"/>
      <c r="EP185" s="1428"/>
      <c r="EQ185" s="1428"/>
      <c r="ER185" s="1428"/>
      <c r="ES185" s="1428"/>
      <c r="ET185" s="1428"/>
      <c r="EU185" s="1428"/>
    </row>
    <row r="186" spans="1:151" s="1440" customFormat="1" ht="18" customHeight="1">
      <c r="A186" s="1587"/>
      <c r="B186" s="1600" t="s">
        <v>884</v>
      </c>
      <c r="C186" s="1737">
        <f t="shared" si="249"/>
        <v>0</v>
      </c>
      <c r="D186" s="1737">
        <f t="shared" si="250"/>
        <v>0</v>
      </c>
      <c r="E186" s="1475"/>
      <c r="F186" s="1475"/>
      <c r="G186" s="1475"/>
      <c r="H186" s="1475"/>
      <c r="I186" s="1475"/>
      <c r="J186" s="1475"/>
      <c r="K186" s="1475"/>
      <c r="L186" s="1475"/>
      <c r="M186" s="1475"/>
      <c r="N186" s="1430"/>
      <c r="O186" s="1430"/>
      <c r="P186" s="1430"/>
      <c r="Q186" s="1430"/>
      <c r="R186" s="1430"/>
      <c r="S186" s="1430"/>
      <c r="T186" s="1430"/>
      <c r="U186" s="1430"/>
      <c r="V186" s="1430"/>
      <c r="W186" s="1430"/>
      <c r="X186" s="1430"/>
      <c r="Y186" s="1430"/>
      <c r="Z186" s="1430"/>
      <c r="AA186" s="1430"/>
      <c r="AB186" s="1430"/>
      <c r="AC186" s="1430"/>
      <c r="AD186" s="1430"/>
      <c r="AE186" s="1430"/>
      <c r="AF186" s="1430"/>
      <c r="AG186" s="1430"/>
      <c r="AH186" s="1430"/>
      <c r="AI186" s="1430"/>
      <c r="AJ186" s="1430"/>
      <c r="AK186" s="1430"/>
      <c r="AL186" s="1430"/>
      <c r="AM186" s="1430"/>
      <c r="AN186" s="1430"/>
      <c r="AO186" s="1430"/>
      <c r="AP186" s="1430"/>
      <c r="AQ186" s="1430"/>
      <c r="AR186" s="1430"/>
      <c r="AS186" s="1430"/>
      <c r="AT186" s="1430"/>
      <c r="AU186" s="1430"/>
      <c r="AV186" s="1430"/>
      <c r="AW186" s="1430"/>
      <c r="AX186" s="1430"/>
      <c r="AY186" s="1430"/>
      <c r="AZ186" s="1430"/>
      <c r="BA186" s="1430"/>
      <c r="BB186" s="1430"/>
      <c r="BC186" s="1430"/>
      <c r="BD186" s="1475"/>
      <c r="BE186" s="1571" t="s">
        <v>1213</v>
      </c>
      <c r="BF186" s="1436">
        <v>22</v>
      </c>
      <c r="BG186" s="1436">
        <v>16</v>
      </c>
      <c r="BH186" s="1436">
        <v>3</v>
      </c>
      <c r="BI186" s="1495" t="b">
        <f t="shared" si="217"/>
        <v>1</v>
      </c>
      <c r="BJ186" s="1450" t="b">
        <f t="shared" si="223"/>
        <v>0</v>
      </c>
      <c r="BK186" s="1572">
        <f t="shared" si="224"/>
        <v>0</v>
      </c>
      <c r="BL186" s="1581">
        <f>IF(SUM(BL$171:BL185,BK186)&gt;$BO$4,0,BK186)</f>
        <v>0</v>
      </c>
      <c r="BM186" s="1436">
        <f t="shared" si="202"/>
        <v>0</v>
      </c>
      <c r="BN186" s="1495">
        <f t="shared" si="203"/>
        <v>0</v>
      </c>
      <c r="BO186" s="1437">
        <f t="shared" si="222"/>
        <v>0</v>
      </c>
      <c r="BP186" s="1574">
        <f t="shared" si="225"/>
        <v>0</v>
      </c>
      <c r="BQ186" s="1577">
        <f t="shared" si="226"/>
        <v>0</v>
      </c>
      <c r="BR186" s="1576">
        <f t="shared" si="204"/>
        <v>0</v>
      </c>
      <c r="BS186" s="1574">
        <f t="shared" si="227"/>
        <v>0</v>
      </c>
      <c r="BT186" s="1577">
        <f t="shared" si="228"/>
        <v>0</v>
      </c>
      <c r="BU186" s="1576">
        <f t="shared" si="205"/>
        <v>0</v>
      </c>
      <c r="BV186" s="1574">
        <f t="shared" si="229"/>
        <v>0</v>
      </c>
      <c r="BW186" s="1577">
        <f t="shared" si="230"/>
        <v>0</v>
      </c>
      <c r="BX186" s="1576">
        <f t="shared" si="206"/>
        <v>0</v>
      </c>
      <c r="BY186" s="1574">
        <f t="shared" si="231"/>
        <v>0</v>
      </c>
      <c r="BZ186" s="1577">
        <f t="shared" si="232"/>
        <v>0</v>
      </c>
      <c r="CA186" s="1576">
        <f t="shared" si="207"/>
        <v>0</v>
      </c>
      <c r="CB186" s="1495">
        <f t="shared" si="233"/>
        <v>0</v>
      </c>
      <c r="CC186" s="1577">
        <f t="shared" si="234"/>
        <v>0</v>
      </c>
      <c r="CD186" s="1576">
        <f t="shared" si="208"/>
        <v>0</v>
      </c>
      <c r="CE186" s="1495">
        <f t="shared" si="235"/>
        <v>0</v>
      </c>
      <c r="CF186" s="1577">
        <f t="shared" si="236"/>
        <v>0</v>
      </c>
      <c r="CG186" s="1576">
        <f t="shared" si="209"/>
        <v>0</v>
      </c>
      <c r="CH186" s="1495">
        <f t="shared" si="237"/>
        <v>0</v>
      </c>
      <c r="CI186" s="1577">
        <f t="shared" si="238"/>
        <v>0</v>
      </c>
      <c r="CJ186" s="1576">
        <f t="shared" si="210"/>
        <v>0</v>
      </c>
      <c r="CK186" s="1495">
        <f t="shared" si="239"/>
        <v>0</v>
      </c>
      <c r="CL186" s="1577">
        <f t="shared" si="240"/>
        <v>0</v>
      </c>
      <c r="CM186" s="1576">
        <f t="shared" si="211"/>
        <v>0</v>
      </c>
      <c r="CN186" s="1495">
        <f t="shared" si="241"/>
        <v>0</v>
      </c>
      <c r="CO186" s="1577">
        <f t="shared" si="242"/>
        <v>0</v>
      </c>
      <c r="CP186" s="1576">
        <f t="shared" si="212"/>
        <v>0</v>
      </c>
      <c r="CQ186" s="1495">
        <f t="shared" si="243"/>
        <v>0</v>
      </c>
      <c r="CR186" s="1577">
        <f t="shared" si="244"/>
        <v>0</v>
      </c>
      <c r="CS186" s="1576">
        <f t="shared" si="213"/>
        <v>0</v>
      </c>
      <c r="CT186" s="1495">
        <f t="shared" si="245"/>
        <v>0</v>
      </c>
      <c r="CU186" s="1577">
        <f t="shared" si="246"/>
        <v>0</v>
      </c>
      <c r="CV186" s="1576">
        <f t="shared" si="214"/>
        <v>0</v>
      </c>
      <c r="CW186" s="1495">
        <f t="shared" si="247"/>
        <v>0</v>
      </c>
      <c r="CX186" s="1577">
        <f t="shared" si="248"/>
        <v>0</v>
      </c>
      <c r="CY186" s="1576">
        <f t="shared" si="215"/>
        <v>0</v>
      </c>
      <c r="CZ186" s="1574">
        <f t="shared" si="216"/>
        <v>0</v>
      </c>
      <c r="DA186" s="1578">
        <f t="shared" si="218"/>
        <v>0</v>
      </c>
      <c r="DB186" s="1579">
        <f t="shared" si="219"/>
        <v>0</v>
      </c>
      <c r="DC186" s="1578">
        <f t="shared" si="220"/>
        <v>0</v>
      </c>
      <c r="DD186" s="1578">
        <f t="shared" si="220"/>
        <v>0</v>
      </c>
      <c r="DE186" s="1578">
        <f t="shared" si="220"/>
        <v>0</v>
      </c>
      <c r="DF186" s="1578">
        <f t="shared" si="221"/>
        <v>0</v>
      </c>
      <c r="DG186" s="1538"/>
      <c r="DH186" s="1538"/>
      <c r="DI186" s="1422"/>
      <c r="DJ186" s="1428"/>
      <c r="DK186" s="1428"/>
      <c r="DL186" s="1428"/>
      <c r="DM186" s="1428"/>
      <c r="DN186" s="1428"/>
      <c r="DO186" s="1428"/>
      <c r="DP186" s="1428"/>
      <c r="DQ186" s="1422"/>
      <c r="DR186" s="1428"/>
      <c r="DS186" s="1428"/>
      <c r="DT186" s="1428"/>
      <c r="DU186" s="1428"/>
      <c r="DV186" s="1428"/>
      <c r="DW186" s="1428"/>
      <c r="DX186" s="1428"/>
      <c r="DY186" s="1428"/>
      <c r="DZ186" s="1428"/>
      <c r="EA186" s="1428"/>
      <c r="EB186" s="1428"/>
      <c r="EC186" s="1428"/>
      <c r="ED186" s="1428"/>
      <c r="EE186" s="1428"/>
      <c r="EF186" s="1428"/>
      <c r="EG186" s="1428"/>
      <c r="EH186" s="1428"/>
      <c r="EI186" s="1428"/>
      <c r="EJ186" s="1428"/>
      <c r="EK186" s="1428"/>
      <c r="EL186" s="1428"/>
      <c r="EM186" s="1428"/>
      <c r="EN186" s="1428"/>
      <c r="EO186" s="1428"/>
      <c r="EP186" s="1428"/>
      <c r="EQ186" s="1428"/>
      <c r="ER186" s="1428"/>
      <c r="ES186" s="1428"/>
      <c r="ET186" s="1428"/>
      <c r="EU186" s="1428"/>
    </row>
    <row r="187" spans="1:151" s="1440" customFormat="1" ht="18" customHeight="1">
      <c r="A187" s="1587"/>
      <c r="B187" s="1600" t="s">
        <v>885</v>
      </c>
      <c r="C187" s="1737">
        <f t="shared" si="249"/>
        <v>0</v>
      </c>
      <c r="D187" s="1737">
        <f t="shared" si="250"/>
        <v>0</v>
      </c>
      <c r="E187" s="1475"/>
      <c r="F187" s="1475"/>
      <c r="G187" s="1475"/>
      <c r="H187" s="1475"/>
      <c r="I187" s="1475"/>
      <c r="J187" s="1475"/>
      <c r="K187" s="1475"/>
      <c r="L187" s="1475"/>
      <c r="M187" s="1475"/>
      <c r="N187" s="1430"/>
      <c r="O187" s="1430"/>
      <c r="P187" s="1430"/>
      <c r="Q187" s="1430"/>
      <c r="R187" s="1430"/>
      <c r="S187" s="1430"/>
      <c r="T187" s="1430"/>
      <c r="U187" s="1430"/>
      <c r="V187" s="1430"/>
      <c r="W187" s="1430"/>
      <c r="X187" s="1430"/>
      <c r="Y187" s="1430"/>
      <c r="Z187" s="1430"/>
      <c r="AA187" s="1430"/>
      <c r="AB187" s="1430"/>
      <c r="AC187" s="1430"/>
      <c r="AD187" s="1430"/>
      <c r="AE187" s="1430"/>
      <c r="AF187" s="1430"/>
      <c r="AG187" s="1430"/>
      <c r="AH187" s="1430"/>
      <c r="AI187" s="1430"/>
      <c r="AJ187" s="1430"/>
      <c r="AK187" s="1430"/>
      <c r="AL187" s="1430"/>
      <c r="AM187" s="1430"/>
      <c r="AN187" s="1430"/>
      <c r="AO187" s="1430"/>
      <c r="AP187" s="1430"/>
      <c r="AQ187" s="1430"/>
      <c r="AR187" s="1430"/>
      <c r="AS187" s="1430"/>
      <c r="AT187" s="1430"/>
      <c r="AU187" s="1430"/>
      <c r="AV187" s="1430"/>
      <c r="AW187" s="1430"/>
      <c r="AX187" s="1430"/>
      <c r="AY187" s="1430"/>
      <c r="AZ187" s="1430"/>
      <c r="BA187" s="1430"/>
      <c r="BB187" s="1430"/>
      <c r="BC187" s="1430"/>
      <c r="BD187" s="1475"/>
      <c r="BE187" s="1571" t="s">
        <v>1213</v>
      </c>
      <c r="BF187" s="1436">
        <v>22</v>
      </c>
      <c r="BG187" s="1436">
        <v>17</v>
      </c>
      <c r="BH187" s="1436">
        <v>4</v>
      </c>
      <c r="BI187" s="1495" t="b">
        <f t="shared" si="217"/>
        <v>1</v>
      </c>
      <c r="BJ187" s="1450" t="b">
        <f t="shared" si="223"/>
        <v>0</v>
      </c>
      <c r="BK187" s="1572">
        <f t="shared" si="224"/>
        <v>0</v>
      </c>
      <c r="BL187" s="1581">
        <f>IF(SUM(BL$171:BL186,BK187)&gt;$BO$4,0,BK187)</f>
        <v>0</v>
      </c>
      <c r="BM187" s="1436">
        <f t="shared" si="202"/>
        <v>0</v>
      </c>
      <c r="BN187" s="1495">
        <f t="shared" si="203"/>
        <v>0</v>
      </c>
      <c r="BO187" s="1437">
        <f t="shared" si="222"/>
        <v>0</v>
      </c>
      <c r="BP187" s="1574">
        <f t="shared" si="225"/>
        <v>0</v>
      </c>
      <c r="BQ187" s="1577">
        <f t="shared" si="226"/>
        <v>0</v>
      </c>
      <c r="BR187" s="1576">
        <f t="shared" si="204"/>
        <v>0</v>
      </c>
      <c r="BS187" s="1574">
        <f t="shared" si="227"/>
        <v>0</v>
      </c>
      <c r="BT187" s="1577">
        <f t="shared" si="228"/>
        <v>0</v>
      </c>
      <c r="BU187" s="1576">
        <f t="shared" si="205"/>
        <v>0</v>
      </c>
      <c r="BV187" s="1574">
        <f t="shared" si="229"/>
        <v>0</v>
      </c>
      <c r="BW187" s="1577">
        <f t="shared" si="230"/>
        <v>0</v>
      </c>
      <c r="BX187" s="1576">
        <f t="shared" si="206"/>
        <v>0</v>
      </c>
      <c r="BY187" s="1574">
        <f t="shared" si="231"/>
        <v>0</v>
      </c>
      <c r="BZ187" s="1577">
        <f t="shared" si="232"/>
        <v>0</v>
      </c>
      <c r="CA187" s="1576">
        <f t="shared" si="207"/>
        <v>0</v>
      </c>
      <c r="CB187" s="1495">
        <f t="shared" si="233"/>
        <v>0</v>
      </c>
      <c r="CC187" s="1577">
        <f t="shared" si="234"/>
        <v>0</v>
      </c>
      <c r="CD187" s="1576">
        <f t="shared" si="208"/>
        <v>0</v>
      </c>
      <c r="CE187" s="1495">
        <f t="shared" si="235"/>
        <v>0</v>
      </c>
      <c r="CF187" s="1577">
        <f t="shared" si="236"/>
        <v>0</v>
      </c>
      <c r="CG187" s="1576">
        <f t="shared" si="209"/>
        <v>0</v>
      </c>
      <c r="CH187" s="1495">
        <f t="shared" si="237"/>
        <v>0</v>
      </c>
      <c r="CI187" s="1577">
        <f t="shared" si="238"/>
        <v>0</v>
      </c>
      <c r="CJ187" s="1576">
        <f t="shared" si="210"/>
        <v>0</v>
      </c>
      <c r="CK187" s="1495">
        <f t="shared" si="239"/>
        <v>0</v>
      </c>
      <c r="CL187" s="1577">
        <f t="shared" si="240"/>
        <v>0</v>
      </c>
      <c r="CM187" s="1576">
        <f t="shared" si="211"/>
        <v>0</v>
      </c>
      <c r="CN187" s="1495">
        <f t="shared" si="241"/>
        <v>0</v>
      </c>
      <c r="CO187" s="1577">
        <f t="shared" si="242"/>
        <v>0</v>
      </c>
      <c r="CP187" s="1576">
        <f t="shared" si="212"/>
        <v>0</v>
      </c>
      <c r="CQ187" s="1495">
        <f t="shared" si="243"/>
        <v>0</v>
      </c>
      <c r="CR187" s="1577">
        <f t="shared" si="244"/>
        <v>0</v>
      </c>
      <c r="CS187" s="1576">
        <f t="shared" si="213"/>
        <v>0</v>
      </c>
      <c r="CT187" s="1495">
        <f t="shared" si="245"/>
        <v>0</v>
      </c>
      <c r="CU187" s="1577">
        <f t="shared" si="246"/>
        <v>0</v>
      </c>
      <c r="CV187" s="1576">
        <f t="shared" si="214"/>
        <v>0</v>
      </c>
      <c r="CW187" s="1495">
        <f t="shared" si="247"/>
        <v>0</v>
      </c>
      <c r="CX187" s="1577">
        <f t="shared" si="248"/>
        <v>0</v>
      </c>
      <c r="CY187" s="1576">
        <f t="shared" si="215"/>
        <v>0</v>
      </c>
      <c r="CZ187" s="1574">
        <f t="shared" si="216"/>
        <v>0</v>
      </c>
      <c r="DA187" s="1578">
        <f t="shared" si="218"/>
        <v>0</v>
      </c>
      <c r="DB187" s="1579">
        <f t="shared" si="219"/>
        <v>0</v>
      </c>
      <c r="DC187" s="1578">
        <f t="shared" si="220"/>
        <v>0</v>
      </c>
      <c r="DD187" s="1578">
        <f t="shared" si="220"/>
        <v>0</v>
      </c>
      <c r="DE187" s="1578">
        <f t="shared" si="220"/>
        <v>0</v>
      </c>
      <c r="DF187" s="1578">
        <f t="shared" si="221"/>
        <v>0</v>
      </c>
      <c r="DG187" s="1538"/>
      <c r="DH187" s="1538"/>
      <c r="DI187" s="1422"/>
      <c r="DJ187" s="1428"/>
      <c r="DK187" s="1428"/>
      <c r="DL187" s="1428"/>
      <c r="DM187" s="1428"/>
      <c r="DN187" s="1428"/>
      <c r="DO187" s="1428"/>
      <c r="DP187" s="1428"/>
      <c r="DQ187" s="1422"/>
      <c r="DR187" s="1428"/>
      <c r="DS187" s="1428"/>
      <c r="DT187" s="1428"/>
      <c r="DU187" s="1428"/>
      <c r="DV187" s="1428"/>
      <c r="DW187" s="1428"/>
      <c r="DX187" s="1428"/>
      <c r="DY187" s="1428"/>
      <c r="DZ187" s="1428"/>
      <c r="EA187" s="1428"/>
      <c r="EB187" s="1428"/>
      <c r="EC187" s="1428"/>
      <c r="ED187" s="1428"/>
      <c r="EE187" s="1428"/>
      <c r="EF187" s="1428"/>
      <c r="EG187" s="1428"/>
      <c r="EH187" s="1428"/>
      <c r="EI187" s="1428"/>
      <c r="EJ187" s="1428"/>
      <c r="EK187" s="1428"/>
      <c r="EL187" s="1428"/>
      <c r="EM187" s="1428"/>
      <c r="EN187" s="1428"/>
      <c r="EO187" s="1428"/>
      <c r="EP187" s="1428"/>
      <c r="EQ187" s="1428"/>
      <c r="ER187" s="1428"/>
      <c r="ES187" s="1428"/>
      <c r="ET187" s="1428"/>
      <c r="EU187" s="1428"/>
    </row>
    <row r="188" spans="1:151" s="1440" customFormat="1" ht="18" customHeight="1">
      <c r="A188" s="1587"/>
      <c r="B188" s="1600" t="s">
        <v>802</v>
      </c>
      <c r="C188" s="1737">
        <f t="shared" si="249"/>
        <v>0</v>
      </c>
      <c r="D188" s="1737">
        <f t="shared" si="250"/>
        <v>0</v>
      </c>
      <c r="E188" s="1475"/>
      <c r="F188" s="1475"/>
      <c r="G188" s="1475"/>
      <c r="H188" s="1475"/>
      <c r="I188" s="1475"/>
      <c r="J188" s="1475"/>
      <c r="K188" s="1475"/>
      <c r="L188" s="1475"/>
      <c r="M188" s="1475"/>
      <c r="N188" s="1430"/>
      <c r="O188" s="1430"/>
      <c r="P188" s="1430"/>
      <c r="Q188" s="1430"/>
      <c r="R188" s="1430"/>
      <c r="S188" s="1430"/>
      <c r="T188" s="1430"/>
      <c r="U188" s="1430"/>
      <c r="V188" s="1430"/>
      <c r="W188" s="1430"/>
      <c r="X188" s="1430"/>
      <c r="Y188" s="1430"/>
      <c r="Z188" s="1430"/>
      <c r="AA188" s="1430"/>
      <c r="AB188" s="1430"/>
      <c r="AC188" s="1430"/>
      <c r="AD188" s="1430"/>
      <c r="AE188" s="1430"/>
      <c r="AF188" s="1430"/>
      <c r="AG188" s="1430"/>
      <c r="AH188" s="1430"/>
      <c r="AI188" s="1430"/>
      <c r="AJ188" s="1430"/>
      <c r="AK188" s="1430"/>
      <c r="AL188" s="1430"/>
      <c r="AM188" s="1430"/>
      <c r="AN188" s="1430"/>
      <c r="AO188" s="1430"/>
      <c r="AP188" s="1430"/>
      <c r="AQ188" s="1430"/>
      <c r="AR188" s="1430"/>
      <c r="AS188" s="1430"/>
      <c r="AT188" s="1430"/>
      <c r="AU188" s="1430"/>
      <c r="AV188" s="1430"/>
      <c r="AW188" s="1430"/>
      <c r="AX188" s="1430"/>
      <c r="AY188" s="1430"/>
      <c r="AZ188" s="1430"/>
      <c r="BA188" s="1430"/>
      <c r="BB188" s="1430"/>
      <c r="BC188" s="1430"/>
      <c r="BD188" s="1475"/>
      <c r="BE188" s="1571" t="s">
        <v>1213</v>
      </c>
      <c r="BF188" s="1436">
        <v>22</v>
      </c>
      <c r="BG188" s="1436">
        <v>18</v>
      </c>
      <c r="BH188" s="1436">
        <v>5</v>
      </c>
      <c r="BI188" s="1495" t="b">
        <f t="shared" si="217"/>
        <v>1</v>
      </c>
      <c r="BJ188" s="1450" t="b">
        <f t="shared" si="223"/>
        <v>0</v>
      </c>
      <c r="BK188" s="1572">
        <f t="shared" si="224"/>
        <v>0</v>
      </c>
      <c r="BL188" s="1581">
        <f>IF(SUM(BL$171:BL187,BK188)&gt;$BO$4,0,BK188)</f>
        <v>0</v>
      </c>
      <c r="BM188" s="1436">
        <f t="shared" si="202"/>
        <v>0</v>
      </c>
      <c r="BN188" s="1495">
        <f t="shared" si="203"/>
        <v>0</v>
      </c>
      <c r="BO188" s="1437">
        <f t="shared" si="222"/>
        <v>0</v>
      </c>
      <c r="BP188" s="1574">
        <f t="shared" si="225"/>
        <v>0</v>
      </c>
      <c r="BQ188" s="1577">
        <f t="shared" si="226"/>
        <v>0</v>
      </c>
      <c r="BR188" s="1576">
        <f t="shared" si="204"/>
        <v>0</v>
      </c>
      <c r="BS188" s="1574">
        <f t="shared" si="227"/>
        <v>0</v>
      </c>
      <c r="BT188" s="1577">
        <f t="shared" si="228"/>
        <v>0</v>
      </c>
      <c r="BU188" s="1576">
        <f t="shared" si="205"/>
        <v>0</v>
      </c>
      <c r="BV188" s="1574">
        <f t="shared" si="229"/>
        <v>0</v>
      </c>
      <c r="BW188" s="1577">
        <f t="shared" si="230"/>
        <v>0</v>
      </c>
      <c r="BX188" s="1576">
        <f t="shared" si="206"/>
        <v>0</v>
      </c>
      <c r="BY188" s="1574">
        <f t="shared" si="231"/>
        <v>0</v>
      </c>
      <c r="BZ188" s="1577">
        <f t="shared" si="232"/>
        <v>0</v>
      </c>
      <c r="CA188" s="1576">
        <f t="shared" si="207"/>
        <v>0</v>
      </c>
      <c r="CB188" s="1495">
        <f t="shared" si="233"/>
        <v>0</v>
      </c>
      <c r="CC188" s="1577">
        <f t="shared" si="234"/>
        <v>0</v>
      </c>
      <c r="CD188" s="1576">
        <f t="shared" si="208"/>
        <v>0</v>
      </c>
      <c r="CE188" s="1495">
        <f t="shared" si="235"/>
        <v>0</v>
      </c>
      <c r="CF188" s="1577">
        <f t="shared" si="236"/>
        <v>0</v>
      </c>
      <c r="CG188" s="1576">
        <f t="shared" si="209"/>
        <v>0</v>
      </c>
      <c r="CH188" s="1495">
        <f t="shared" si="237"/>
        <v>0</v>
      </c>
      <c r="CI188" s="1577">
        <f t="shared" si="238"/>
        <v>0</v>
      </c>
      <c r="CJ188" s="1576">
        <f t="shared" si="210"/>
        <v>0</v>
      </c>
      <c r="CK188" s="1495">
        <f t="shared" si="239"/>
        <v>0</v>
      </c>
      <c r="CL188" s="1577">
        <f t="shared" si="240"/>
        <v>0</v>
      </c>
      <c r="CM188" s="1576">
        <f t="shared" si="211"/>
        <v>0</v>
      </c>
      <c r="CN188" s="1495">
        <f t="shared" si="241"/>
        <v>0</v>
      </c>
      <c r="CO188" s="1577">
        <f t="shared" si="242"/>
        <v>0</v>
      </c>
      <c r="CP188" s="1576">
        <f t="shared" si="212"/>
        <v>0</v>
      </c>
      <c r="CQ188" s="1495">
        <f t="shared" si="243"/>
        <v>0</v>
      </c>
      <c r="CR188" s="1577">
        <f t="shared" si="244"/>
        <v>0</v>
      </c>
      <c r="CS188" s="1576">
        <f t="shared" si="213"/>
        <v>0</v>
      </c>
      <c r="CT188" s="1495">
        <f t="shared" si="245"/>
        <v>0</v>
      </c>
      <c r="CU188" s="1577">
        <f t="shared" si="246"/>
        <v>0</v>
      </c>
      <c r="CV188" s="1576">
        <f t="shared" si="214"/>
        <v>0</v>
      </c>
      <c r="CW188" s="1495">
        <f t="shared" si="247"/>
        <v>0</v>
      </c>
      <c r="CX188" s="1577">
        <f t="shared" si="248"/>
        <v>0</v>
      </c>
      <c r="CY188" s="1576">
        <f t="shared" si="215"/>
        <v>0</v>
      </c>
      <c r="CZ188" s="1574">
        <f t="shared" si="216"/>
        <v>0</v>
      </c>
      <c r="DA188" s="1578">
        <f t="shared" si="218"/>
        <v>0</v>
      </c>
      <c r="DB188" s="1579">
        <f t="shared" si="219"/>
        <v>0</v>
      </c>
      <c r="DC188" s="1578">
        <f t="shared" si="220"/>
        <v>0</v>
      </c>
      <c r="DD188" s="1578">
        <f t="shared" si="220"/>
        <v>0</v>
      </c>
      <c r="DE188" s="1578">
        <f t="shared" si="220"/>
        <v>0</v>
      </c>
      <c r="DF188" s="1578">
        <f t="shared" si="221"/>
        <v>0</v>
      </c>
      <c r="DG188" s="1538"/>
      <c r="DH188" s="1538"/>
      <c r="DI188" s="1422"/>
      <c r="DJ188" s="1428"/>
      <c r="DK188" s="1428"/>
      <c r="DL188" s="1428"/>
      <c r="DM188" s="1428"/>
      <c r="DN188" s="1428"/>
      <c r="DO188" s="1428"/>
      <c r="DP188" s="1428"/>
      <c r="DQ188" s="1422"/>
      <c r="DR188" s="1428"/>
      <c r="DS188" s="1428"/>
      <c r="DT188" s="1428"/>
      <c r="DU188" s="1428"/>
      <c r="DV188" s="1428"/>
      <c r="DW188" s="1428"/>
      <c r="DX188" s="1428"/>
      <c r="DY188" s="1428"/>
      <c r="DZ188" s="1428"/>
      <c r="EA188" s="1428"/>
      <c r="EB188" s="1428"/>
      <c r="EC188" s="1428"/>
      <c r="ED188" s="1428"/>
      <c r="EE188" s="1428"/>
      <c r="EF188" s="1428"/>
      <c r="EG188" s="1428"/>
      <c r="EH188" s="1428"/>
      <c r="EI188" s="1428"/>
      <c r="EJ188" s="1428"/>
      <c r="EK188" s="1428"/>
      <c r="EL188" s="1428"/>
      <c r="EM188" s="1428"/>
      <c r="EN188" s="1428"/>
      <c r="EO188" s="1428"/>
      <c r="EP188" s="1428"/>
      <c r="EQ188" s="1428"/>
      <c r="ER188" s="1428"/>
      <c r="ES188" s="1428"/>
      <c r="ET188" s="1428"/>
      <c r="EU188" s="1428"/>
    </row>
    <row r="189" spans="1:151" s="1440" customFormat="1">
      <c r="A189" s="1627"/>
      <c r="B189" s="1600" t="s">
        <v>803</v>
      </c>
      <c r="C189" s="1737">
        <f t="shared" si="249"/>
        <v>0</v>
      </c>
      <c r="D189" s="1737">
        <f t="shared" si="250"/>
        <v>0</v>
      </c>
      <c r="E189" s="1475"/>
      <c r="F189" s="1475"/>
      <c r="G189" s="1475"/>
      <c r="H189" s="1475"/>
      <c r="I189" s="1475"/>
      <c r="J189" s="1475"/>
      <c r="K189" s="1475"/>
      <c r="L189" s="1475"/>
      <c r="M189" s="1475"/>
      <c r="N189" s="1430"/>
      <c r="O189" s="1430"/>
      <c r="P189" s="1430"/>
      <c r="Q189" s="1430"/>
      <c r="R189" s="1430"/>
      <c r="S189" s="1430"/>
      <c r="T189" s="1430"/>
      <c r="U189" s="1430"/>
      <c r="V189" s="1430"/>
      <c r="W189" s="1430"/>
      <c r="X189" s="1430"/>
      <c r="Y189" s="1430"/>
      <c r="Z189" s="1430"/>
      <c r="AA189" s="1430"/>
      <c r="AB189" s="1430"/>
      <c r="AC189" s="1430"/>
      <c r="AD189" s="1430"/>
      <c r="AE189" s="1430"/>
      <c r="AF189" s="1430"/>
      <c r="AG189" s="1430"/>
      <c r="AH189" s="1430"/>
      <c r="AI189" s="1430"/>
      <c r="AJ189" s="1430"/>
      <c r="AK189" s="1430"/>
      <c r="AL189" s="1430"/>
      <c r="AM189" s="1430"/>
      <c r="AN189" s="1430"/>
      <c r="AO189" s="1430"/>
      <c r="AP189" s="1430"/>
      <c r="AQ189" s="1430"/>
      <c r="AR189" s="1430"/>
      <c r="AS189" s="1430"/>
      <c r="AT189" s="1430"/>
      <c r="AU189" s="1430"/>
      <c r="AV189" s="1430"/>
      <c r="AW189" s="1430"/>
      <c r="AX189" s="1430"/>
      <c r="AY189" s="1430"/>
      <c r="AZ189" s="1430"/>
      <c r="BA189" s="1430"/>
      <c r="BB189" s="1430"/>
      <c r="BC189" s="1430"/>
      <c r="BD189" s="1475"/>
      <c r="BE189" s="1571" t="s">
        <v>1213</v>
      </c>
      <c r="BF189" s="1436">
        <v>22</v>
      </c>
      <c r="BG189" s="1436">
        <v>19</v>
      </c>
      <c r="BH189" s="1436">
        <v>6</v>
      </c>
      <c r="BI189" s="1495" t="b">
        <f t="shared" si="217"/>
        <v>0</v>
      </c>
      <c r="BJ189" s="1450" t="b">
        <f t="shared" si="223"/>
        <v>0</v>
      </c>
      <c r="BK189" s="1572">
        <f t="shared" si="224"/>
        <v>0</v>
      </c>
      <c r="BL189" s="1581">
        <f>IF(SUM(BL$171:BL188,BK189)&gt;$BO$4,0,BK189)</f>
        <v>0</v>
      </c>
      <c r="BM189" s="1436">
        <f t="shared" si="202"/>
        <v>0</v>
      </c>
      <c r="BN189" s="1495">
        <f t="shared" si="203"/>
        <v>0</v>
      </c>
      <c r="BO189" s="1437">
        <f t="shared" si="222"/>
        <v>0</v>
      </c>
      <c r="BP189" s="1574">
        <f t="shared" si="225"/>
        <v>0</v>
      </c>
      <c r="BQ189" s="1577">
        <f t="shared" si="226"/>
        <v>0</v>
      </c>
      <c r="BR189" s="1576">
        <f t="shared" si="204"/>
        <v>0</v>
      </c>
      <c r="BS189" s="1574">
        <f t="shared" si="227"/>
        <v>0</v>
      </c>
      <c r="BT189" s="1577">
        <f t="shared" si="228"/>
        <v>0</v>
      </c>
      <c r="BU189" s="1576">
        <f t="shared" si="205"/>
        <v>0</v>
      </c>
      <c r="BV189" s="1574">
        <f t="shared" si="229"/>
        <v>0</v>
      </c>
      <c r="BW189" s="1577">
        <f t="shared" si="230"/>
        <v>0</v>
      </c>
      <c r="BX189" s="1576">
        <f t="shared" si="206"/>
        <v>0</v>
      </c>
      <c r="BY189" s="1574">
        <f t="shared" si="231"/>
        <v>0</v>
      </c>
      <c r="BZ189" s="1577">
        <f t="shared" si="232"/>
        <v>0</v>
      </c>
      <c r="CA189" s="1576">
        <f t="shared" si="207"/>
        <v>0</v>
      </c>
      <c r="CB189" s="1495">
        <f t="shared" si="233"/>
        <v>0</v>
      </c>
      <c r="CC189" s="1577">
        <f t="shared" si="234"/>
        <v>0</v>
      </c>
      <c r="CD189" s="1576">
        <f t="shared" si="208"/>
        <v>0</v>
      </c>
      <c r="CE189" s="1495">
        <f t="shared" si="235"/>
        <v>0</v>
      </c>
      <c r="CF189" s="1577">
        <f t="shared" si="236"/>
        <v>0</v>
      </c>
      <c r="CG189" s="1576">
        <f t="shared" si="209"/>
        <v>0</v>
      </c>
      <c r="CH189" s="1495">
        <f t="shared" si="237"/>
        <v>0</v>
      </c>
      <c r="CI189" s="1577">
        <f t="shared" si="238"/>
        <v>0</v>
      </c>
      <c r="CJ189" s="1576">
        <f t="shared" si="210"/>
        <v>0</v>
      </c>
      <c r="CK189" s="1495">
        <f t="shared" si="239"/>
        <v>0</v>
      </c>
      <c r="CL189" s="1577">
        <f t="shared" si="240"/>
        <v>0</v>
      </c>
      <c r="CM189" s="1576">
        <f t="shared" si="211"/>
        <v>0</v>
      </c>
      <c r="CN189" s="1495">
        <f t="shared" si="241"/>
        <v>0</v>
      </c>
      <c r="CO189" s="1577">
        <f t="shared" si="242"/>
        <v>0</v>
      </c>
      <c r="CP189" s="1576">
        <f t="shared" si="212"/>
        <v>0</v>
      </c>
      <c r="CQ189" s="1495">
        <f t="shared" si="243"/>
        <v>0</v>
      </c>
      <c r="CR189" s="1577">
        <f t="shared" si="244"/>
        <v>0</v>
      </c>
      <c r="CS189" s="1576">
        <f t="shared" si="213"/>
        <v>0</v>
      </c>
      <c r="CT189" s="1495">
        <f t="shared" si="245"/>
        <v>0</v>
      </c>
      <c r="CU189" s="1577">
        <f t="shared" si="246"/>
        <v>0</v>
      </c>
      <c r="CV189" s="1576">
        <f t="shared" si="214"/>
        <v>0</v>
      </c>
      <c r="CW189" s="1495">
        <f t="shared" si="247"/>
        <v>0</v>
      </c>
      <c r="CX189" s="1577">
        <f t="shared" si="248"/>
        <v>0</v>
      </c>
      <c r="CY189" s="1576">
        <f t="shared" si="215"/>
        <v>0</v>
      </c>
      <c r="CZ189" s="1574">
        <f t="shared" si="216"/>
        <v>0</v>
      </c>
      <c r="DA189" s="1578">
        <f t="shared" si="218"/>
        <v>0</v>
      </c>
      <c r="DB189" s="1579">
        <f t="shared" si="219"/>
        <v>0</v>
      </c>
      <c r="DC189" s="1578">
        <f t="shared" si="220"/>
        <v>0</v>
      </c>
      <c r="DD189" s="1578">
        <f t="shared" si="220"/>
        <v>0</v>
      </c>
      <c r="DE189" s="1578">
        <f t="shared" si="220"/>
        <v>0</v>
      </c>
      <c r="DF189" s="1578">
        <f t="shared" si="221"/>
        <v>0</v>
      </c>
      <c r="DG189" s="1538"/>
      <c r="DH189" s="1538"/>
      <c r="DI189" s="1422"/>
      <c r="DJ189" s="1428"/>
      <c r="DK189" s="1428"/>
      <c r="DL189" s="1428"/>
      <c r="DM189" s="1428"/>
      <c r="DN189" s="1428"/>
      <c r="DO189" s="1428"/>
      <c r="DP189" s="1428"/>
      <c r="DQ189" s="1422"/>
      <c r="DR189" s="1685"/>
      <c r="DS189" s="1685"/>
      <c r="DT189" s="1685"/>
      <c r="DU189" s="1685"/>
      <c r="DV189" s="1685"/>
      <c r="DW189" s="1685"/>
      <c r="DX189" s="1685"/>
      <c r="DY189" s="1685"/>
      <c r="DZ189" s="1685"/>
      <c r="EA189" s="1685"/>
      <c r="EB189" s="1685"/>
      <c r="EC189" s="1685"/>
      <c r="ED189" s="1685"/>
      <c r="EE189" s="1685"/>
      <c r="EF189" s="1685"/>
      <c r="EG189" s="1685"/>
      <c r="EH189" s="1685"/>
      <c r="EI189" s="1685"/>
      <c r="EJ189" s="1685"/>
      <c r="EK189" s="1685"/>
      <c r="EL189" s="1685"/>
      <c r="EM189" s="1685"/>
      <c r="EN189" s="1685"/>
      <c r="EO189" s="1685"/>
      <c r="EP189" s="1685"/>
      <c r="EQ189" s="1685"/>
      <c r="ER189" s="1685"/>
      <c r="ES189" s="1685"/>
      <c r="ET189" s="1428"/>
      <c r="EU189" s="1428"/>
    </row>
    <row r="190" spans="1:151" s="1440" customFormat="1">
      <c r="A190" s="1594"/>
      <c r="B190" s="1600" t="s">
        <v>804</v>
      </c>
      <c r="C190" s="1737">
        <f t="shared" si="249"/>
        <v>0</v>
      </c>
      <c r="D190" s="1737">
        <f t="shared" si="250"/>
        <v>0</v>
      </c>
      <c r="E190" s="1475"/>
      <c r="F190" s="1475"/>
      <c r="G190" s="1475"/>
      <c r="H190" s="1475"/>
      <c r="I190" s="1475"/>
      <c r="J190" s="1475"/>
      <c r="K190" s="1475"/>
      <c r="L190" s="1475"/>
      <c r="M190" s="1475"/>
      <c r="N190" s="1430"/>
      <c r="O190" s="1430"/>
      <c r="P190" s="1430"/>
      <c r="Q190" s="1430"/>
      <c r="R190" s="1430"/>
      <c r="S190" s="1430"/>
      <c r="T190" s="1430"/>
      <c r="U190" s="1430"/>
      <c r="V190" s="1430"/>
      <c r="W190" s="1430"/>
      <c r="X190" s="1430"/>
      <c r="Y190" s="1430"/>
      <c r="Z190" s="1430"/>
      <c r="AA190" s="1430"/>
      <c r="AB190" s="1430"/>
      <c r="AC190" s="1430"/>
      <c r="AD190" s="1430"/>
      <c r="AE190" s="1430"/>
      <c r="AF190" s="1430"/>
      <c r="AG190" s="1430"/>
      <c r="AH190" s="1430"/>
      <c r="AI190" s="1430"/>
      <c r="AJ190" s="1430"/>
      <c r="AK190" s="1430"/>
      <c r="AL190" s="1430"/>
      <c r="AM190" s="1430"/>
      <c r="AN190" s="1430"/>
      <c r="AO190" s="1430"/>
      <c r="AP190" s="1430"/>
      <c r="AQ190" s="1430"/>
      <c r="AR190" s="1430"/>
      <c r="AS190" s="1430"/>
      <c r="AT190" s="1430"/>
      <c r="AU190" s="1430"/>
      <c r="AV190" s="1430"/>
      <c r="AW190" s="1430"/>
      <c r="AX190" s="1430"/>
      <c r="AY190" s="1430"/>
      <c r="AZ190" s="1430"/>
      <c r="BA190" s="1430"/>
      <c r="BB190" s="1430"/>
      <c r="BC190" s="1430"/>
      <c r="BD190" s="1686"/>
      <c r="BE190" s="1612" t="s">
        <v>1213</v>
      </c>
      <c r="BF190" s="1613">
        <v>22</v>
      </c>
      <c r="BG190" s="1613">
        <v>20</v>
      </c>
      <c r="BH190" s="1613">
        <v>7</v>
      </c>
      <c r="BI190" s="1614" t="b">
        <f t="shared" si="217"/>
        <v>0</v>
      </c>
      <c r="BJ190" s="1615" t="b">
        <f t="shared" si="223"/>
        <v>0</v>
      </c>
      <c r="BK190" s="1616">
        <f t="shared" si="224"/>
        <v>0</v>
      </c>
      <c r="BL190" s="1617">
        <f>IF(SUM(BL$171:BL189,BK190)&gt;$BO$4,0,BK190)</f>
        <v>0</v>
      </c>
      <c r="BM190" s="1613">
        <f t="shared" si="202"/>
        <v>0</v>
      </c>
      <c r="BN190" s="1614">
        <f t="shared" si="203"/>
        <v>0</v>
      </c>
      <c r="BO190" s="1618">
        <f t="shared" si="222"/>
        <v>0</v>
      </c>
      <c r="BP190" s="1574">
        <f t="shared" si="225"/>
        <v>0</v>
      </c>
      <c r="BQ190" s="1577">
        <f t="shared" si="226"/>
        <v>0</v>
      </c>
      <c r="BR190" s="1576">
        <f t="shared" si="204"/>
        <v>0</v>
      </c>
      <c r="BS190" s="1574">
        <f t="shared" si="227"/>
        <v>0</v>
      </c>
      <c r="BT190" s="1577">
        <f t="shared" si="228"/>
        <v>0</v>
      </c>
      <c r="BU190" s="1576">
        <f t="shared" si="205"/>
        <v>0</v>
      </c>
      <c r="BV190" s="1574">
        <f t="shared" si="229"/>
        <v>0</v>
      </c>
      <c r="BW190" s="1577">
        <f t="shared" si="230"/>
        <v>0</v>
      </c>
      <c r="BX190" s="1576">
        <f t="shared" si="206"/>
        <v>0</v>
      </c>
      <c r="BY190" s="1574">
        <f t="shared" si="231"/>
        <v>0</v>
      </c>
      <c r="BZ190" s="1577">
        <f t="shared" si="232"/>
        <v>0</v>
      </c>
      <c r="CA190" s="1576">
        <f t="shared" si="207"/>
        <v>0</v>
      </c>
      <c r="CB190" s="1614">
        <f t="shared" si="233"/>
        <v>0</v>
      </c>
      <c r="CC190" s="1577">
        <f t="shared" si="234"/>
        <v>0</v>
      </c>
      <c r="CD190" s="1576">
        <f t="shared" si="208"/>
        <v>0</v>
      </c>
      <c r="CE190" s="1614">
        <f t="shared" si="235"/>
        <v>0</v>
      </c>
      <c r="CF190" s="1577">
        <f t="shared" si="236"/>
        <v>0</v>
      </c>
      <c r="CG190" s="1576">
        <f t="shared" si="209"/>
        <v>0</v>
      </c>
      <c r="CH190" s="1614">
        <f t="shared" si="237"/>
        <v>0</v>
      </c>
      <c r="CI190" s="1577">
        <f t="shared" si="238"/>
        <v>0</v>
      </c>
      <c r="CJ190" s="1576">
        <f t="shared" si="210"/>
        <v>0</v>
      </c>
      <c r="CK190" s="1495">
        <f t="shared" si="239"/>
        <v>0</v>
      </c>
      <c r="CL190" s="1577">
        <f t="shared" si="240"/>
        <v>0</v>
      </c>
      <c r="CM190" s="1576">
        <f t="shared" si="211"/>
        <v>0</v>
      </c>
      <c r="CN190" s="1495">
        <f t="shared" si="241"/>
        <v>0</v>
      </c>
      <c r="CO190" s="1577">
        <f t="shared" si="242"/>
        <v>0</v>
      </c>
      <c r="CP190" s="1576">
        <f t="shared" si="212"/>
        <v>0</v>
      </c>
      <c r="CQ190" s="1495">
        <f t="shared" si="243"/>
        <v>0</v>
      </c>
      <c r="CR190" s="1577">
        <f t="shared" si="244"/>
        <v>0</v>
      </c>
      <c r="CS190" s="1576">
        <f t="shared" si="213"/>
        <v>0</v>
      </c>
      <c r="CT190" s="1495">
        <f t="shared" si="245"/>
        <v>0</v>
      </c>
      <c r="CU190" s="1577">
        <f t="shared" si="246"/>
        <v>0</v>
      </c>
      <c r="CV190" s="1576">
        <f t="shared" si="214"/>
        <v>0</v>
      </c>
      <c r="CW190" s="1495">
        <f t="shared" si="247"/>
        <v>0</v>
      </c>
      <c r="CX190" s="1577">
        <f t="shared" si="248"/>
        <v>0</v>
      </c>
      <c r="CY190" s="1576">
        <f t="shared" si="215"/>
        <v>0</v>
      </c>
      <c r="CZ190" s="1619">
        <f t="shared" si="216"/>
        <v>0</v>
      </c>
      <c r="DA190" s="1578">
        <f t="shared" si="218"/>
        <v>0</v>
      </c>
      <c r="DB190" s="1620">
        <f t="shared" si="219"/>
        <v>0</v>
      </c>
      <c r="DC190" s="1621">
        <f t="shared" si="220"/>
        <v>0</v>
      </c>
      <c r="DD190" s="1621">
        <f t="shared" si="220"/>
        <v>0</v>
      </c>
      <c r="DE190" s="1621">
        <f t="shared" si="220"/>
        <v>0</v>
      </c>
      <c r="DF190" s="1621">
        <f t="shared" si="221"/>
        <v>0</v>
      </c>
      <c r="DG190" s="1468"/>
      <c r="DH190" s="1468"/>
      <c r="DI190" s="1422"/>
      <c r="DJ190" s="1428"/>
      <c r="DK190" s="1428"/>
      <c r="DL190" s="1428"/>
      <c r="DM190" s="1428"/>
      <c r="DN190" s="1428"/>
      <c r="DO190" s="1428"/>
      <c r="DP190" s="1428"/>
      <c r="DQ190" s="1422"/>
      <c r="DR190" s="1428"/>
      <c r="DS190" s="1428"/>
      <c r="DT190" s="1428"/>
      <c r="DU190" s="1428"/>
      <c r="DV190" s="1428"/>
      <c r="DW190" s="1428"/>
      <c r="DX190" s="1428"/>
      <c r="DY190" s="1428"/>
      <c r="DZ190" s="1428"/>
      <c r="EA190" s="1428"/>
      <c r="EB190" s="1428"/>
      <c r="EC190" s="1428"/>
      <c r="ED190" s="1428"/>
      <c r="EE190" s="1428"/>
      <c r="EF190" s="1428"/>
      <c r="EG190" s="1428"/>
      <c r="EH190" s="1428"/>
      <c r="EI190" s="1428"/>
      <c r="EJ190" s="1428"/>
      <c r="EK190" s="1428"/>
      <c r="EL190" s="1428"/>
      <c r="EM190" s="1428"/>
      <c r="EN190" s="1428"/>
      <c r="EO190" s="1428"/>
      <c r="EP190" s="1428"/>
      <c r="EQ190" s="1428"/>
      <c r="ER190" s="1428"/>
      <c r="ES190" s="1428"/>
      <c r="ET190" s="1428"/>
      <c r="EU190" s="1428"/>
    </row>
    <row r="191" spans="1:151" s="1459" customFormat="1" ht="17.25" customHeight="1">
      <c r="A191" s="1592"/>
      <c r="B191" s="1600" t="s">
        <v>1603</v>
      </c>
      <c r="C191" s="1737">
        <f t="shared" si="249"/>
        <v>0</v>
      </c>
      <c r="D191" s="1737">
        <f t="shared" si="250"/>
        <v>0</v>
      </c>
      <c r="E191" s="1475"/>
      <c r="F191" s="1475"/>
      <c r="G191" s="1475"/>
      <c r="H191" s="1475"/>
      <c r="I191" s="1475"/>
      <c r="J191" s="1475"/>
      <c r="K191" s="1475"/>
      <c r="L191" s="1475"/>
      <c r="M191" s="1475"/>
      <c r="N191" s="1430"/>
      <c r="O191" s="1430"/>
      <c r="P191" s="1430"/>
      <c r="Q191" s="1430"/>
      <c r="R191" s="1430"/>
      <c r="S191" s="1430"/>
      <c r="T191" s="1430"/>
      <c r="U191" s="1430"/>
      <c r="V191" s="1430"/>
      <c r="W191" s="1430"/>
      <c r="X191" s="1430"/>
      <c r="Y191" s="1430"/>
      <c r="Z191" s="1430"/>
      <c r="AA191" s="1430"/>
      <c r="AB191" s="1430"/>
      <c r="AC191" s="1430"/>
      <c r="AD191" s="1430"/>
      <c r="AE191" s="1430"/>
      <c r="AF191" s="1430"/>
      <c r="AG191" s="1430"/>
      <c r="AH191" s="1430"/>
      <c r="AI191" s="1430"/>
      <c r="AJ191" s="1430"/>
      <c r="AK191" s="1430"/>
      <c r="AL191" s="1430"/>
      <c r="AM191" s="1430"/>
      <c r="AN191" s="1430"/>
      <c r="AO191" s="1430"/>
      <c r="AP191" s="1430"/>
      <c r="AQ191" s="1430"/>
      <c r="AR191" s="1430"/>
      <c r="AS191" s="1430"/>
      <c r="AT191" s="1430"/>
      <c r="AU191" s="1430"/>
      <c r="AV191" s="1430"/>
      <c r="AW191" s="1430"/>
      <c r="AX191" s="1430"/>
      <c r="AY191" s="1430"/>
      <c r="AZ191" s="1430"/>
      <c r="BA191" s="1430"/>
      <c r="BB191" s="1430"/>
      <c r="BC191" s="1430"/>
      <c r="BD191" s="1721"/>
      <c r="BE191" s="1571" t="s">
        <v>1213</v>
      </c>
      <c r="BF191" s="1436">
        <v>22</v>
      </c>
      <c r="BG191" s="1436">
        <v>21</v>
      </c>
      <c r="BH191" s="1436">
        <v>1</v>
      </c>
      <c r="BI191" s="1495" t="b">
        <f t="shared" si="217"/>
        <v>1</v>
      </c>
      <c r="BJ191" s="1450" t="b">
        <f t="shared" si="223"/>
        <v>0</v>
      </c>
      <c r="BK191" s="1572">
        <f t="shared" si="224"/>
        <v>0</v>
      </c>
      <c r="BL191" s="1581">
        <f>IF(SUM(BL$171:BL190,BK191)&gt;$BO$4,0,BK191)</f>
        <v>0</v>
      </c>
      <c r="BM191" s="1436">
        <f t="shared" si="202"/>
        <v>0</v>
      </c>
      <c r="BN191" s="1495">
        <f t="shared" si="203"/>
        <v>0</v>
      </c>
      <c r="BO191" s="1437">
        <f t="shared" si="222"/>
        <v>0</v>
      </c>
      <c r="BP191" s="1574">
        <f t="shared" si="225"/>
        <v>0</v>
      </c>
      <c r="BQ191" s="1577">
        <f t="shared" si="226"/>
        <v>0</v>
      </c>
      <c r="BR191" s="1576">
        <f t="shared" si="204"/>
        <v>0</v>
      </c>
      <c r="BS191" s="1574">
        <f t="shared" si="227"/>
        <v>0</v>
      </c>
      <c r="BT191" s="1577">
        <f t="shared" si="228"/>
        <v>0</v>
      </c>
      <c r="BU191" s="1576">
        <f t="shared" si="205"/>
        <v>0</v>
      </c>
      <c r="BV191" s="1574">
        <f t="shared" si="229"/>
        <v>0</v>
      </c>
      <c r="BW191" s="1577">
        <f t="shared" si="230"/>
        <v>0</v>
      </c>
      <c r="BX191" s="1576">
        <f t="shared" si="206"/>
        <v>0</v>
      </c>
      <c r="BY191" s="1574">
        <f t="shared" si="231"/>
        <v>0</v>
      </c>
      <c r="BZ191" s="1577">
        <f t="shared" si="232"/>
        <v>0</v>
      </c>
      <c r="CA191" s="1576">
        <f t="shared" si="207"/>
        <v>0</v>
      </c>
      <c r="CB191" s="1495">
        <f t="shared" si="233"/>
        <v>0</v>
      </c>
      <c r="CC191" s="1577">
        <f t="shared" si="234"/>
        <v>0</v>
      </c>
      <c r="CD191" s="1576">
        <f t="shared" si="208"/>
        <v>0</v>
      </c>
      <c r="CE191" s="1495">
        <f t="shared" si="235"/>
        <v>0</v>
      </c>
      <c r="CF191" s="1577">
        <f t="shared" si="236"/>
        <v>0</v>
      </c>
      <c r="CG191" s="1576">
        <f t="shared" si="209"/>
        <v>0</v>
      </c>
      <c r="CH191" s="1495">
        <f t="shared" si="237"/>
        <v>0</v>
      </c>
      <c r="CI191" s="1577">
        <f t="shared" si="238"/>
        <v>0</v>
      </c>
      <c r="CJ191" s="1576">
        <f t="shared" si="210"/>
        <v>0</v>
      </c>
      <c r="CK191" s="1495">
        <f t="shared" si="239"/>
        <v>0</v>
      </c>
      <c r="CL191" s="1577">
        <f t="shared" si="240"/>
        <v>0</v>
      </c>
      <c r="CM191" s="1576">
        <f t="shared" si="211"/>
        <v>0</v>
      </c>
      <c r="CN191" s="1495">
        <f t="shared" si="241"/>
        <v>0</v>
      </c>
      <c r="CO191" s="1577">
        <f t="shared" si="242"/>
        <v>0</v>
      </c>
      <c r="CP191" s="1576">
        <f t="shared" si="212"/>
        <v>0</v>
      </c>
      <c r="CQ191" s="1495">
        <f t="shared" si="243"/>
        <v>0</v>
      </c>
      <c r="CR191" s="1577">
        <f t="shared" si="244"/>
        <v>0</v>
      </c>
      <c r="CS191" s="1576">
        <f t="shared" si="213"/>
        <v>0</v>
      </c>
      <c r="CT191" s="1495">
        <f t="shared" si="245"/>
        <v>0</v>
      </c>
      <c r="CU191" s="1577">
        <f t="shared" si="246"/>
        <v>0</v>
      </c>
      <c r="CV191" s="1576">
        <f t="shared" si="214"/>
        <v>0</v>
      </c>
      <c r="CW191" s="1495">
        <f t="shared" si="247"/>
        <v>0</v>
      </c>
      <c r="CX191" s="1577">
        <f t="shared" si="248"/>
        <v>0</v>
      </c>
      <c r="CY191" s="1576">
        <f t="shared" si="215"/>
        <v>0</v>
      </c>
      <c r="CZ191" s="1574">
        <f t="shared" si="216"/>
        <v>0</v>
      </c>
      <c r="DA191" s="1578">
        <f t="shared" si="218"/>
        <v>0</v>
      </c>
      <c r="DB191" s="1579">
        <f t="shared" si="219"/>
        <v>0</v>
      </c>
      <c r="DC191" s="1578">
        <f t="shared" si="220"/>
        <v>0</v>
      </c>
      <c r="DD191" s="1578">
        <f t="shared" si="220"/>
        <v>0</v>
      </c>
      <c r="DE191" s="1578">
        <f t="shared" si="220"/>
        <v>0</v>
      </c>
      <c r="DF191" s="1578">
        <f t="shared" si="221"/>
        <v>0</v>
      </c>
      <c r="DG191" s="1538"/>
      <c r="DH191" s="1538"/>
      <c r="DI191" s="1687"/>
      <c r="DJ191" s="1685"/>
      <c r="DK191" s="1685"/>
      <c r="DL191" s="1685"/>
      <c r="DM191" s="1685"/>
      <c r="DN191" s="1685"/>
      <c r="DO191" s="1685"/>
      <c r="DP191" s="1685"/>
      <c r="DQ191" s="1687"/>
      <c r="DR191" s="1428"/>
      <c r="DS191" s="1428"/>
      <c r="DT191" s="1428"/>
      <c r="DU191" s="1428"/>
      <c r="DV191" s="1428"/>
      <c r="DW191" s="1428"/>
      <c r="DX191" s="1428"/>
      <c r="DY191" s="1428"/>
      <c r="DZ191" s="1428"/>
      <c r="EA191" s="1428"/>
      <c r="EB191" s="1428"/>
      <c r="EC191" s="1428"/>
      <c r="ED191" s="1428"/>
      <c r="EE191" s="1428"/>
      <c r="EF191" s="1428"/>
      <c r="EG191" s="1428"/>
      <c r="EH191" s="1428"/>
      <c r="EI191" s="1428"/>
      <c r="EJ191" s="1428"/>
      <c r="EK191" s="1428"/>
      <c r="EL191" s="1428"/>
      <c r="EM191" s="1428"/>
      <c r="EN191" s="1428"/>
      <c r="EO191" s="1428"/>
      <c r="EP191" s="1428"/>
      <c r="EQ191" s="1428"/>
      <c r="ER191" s="1428"/>
      <c r="ES191" s="1428"/>
      <c r="ET191" s="1428"/>
      <c r="EU191" s="1428"/>
    </row>
    <row r="192" spans="1:151" s="1440" customFormat="1" ht="30" customHeight="1">
      <c r="A192" s="1528"/>
      <c r="B192" s="1475"/>
      <c r="C192" s="1684">
        <f>SUM(C180:C191)</f>
        <v>0</v>
      </c>
      <c r="D192" s="1682">
        <f>SUM(D180:D191)</f>
        <v>0</v>
      </c>
      <c r="E192" s="1475"/>
      <c r="F192" s="1475"/>
      <c r="G192" s="1475"/>
      <c r="H192" s="1475"/>
      <c r="I192" s="1475"/>
      <c r="J192" s="1475"/>
      <c r="K192" s="1475"/>
      <c r="L192" s="1475"/>
      <c r="M192" s="1475"/>
      <c r="N192" s="1624"/>
      <c r="O192" s="1624"/>
      <c r="P192" s="1624"/>
      <c r="Q192" s="1624"/>
      <c r="R192" s="1624"/>
      <c r="S192" s="1624"/>
      <c r="T192" s="1624"/>
      <c r="U192" s="1624"/>
      <c r="V192" s="1624"/>
      <c r="W192" s="1624"/>
      <c r="X192" s="1624"/>
      <c r="Y192" s="1624"/>
      <c r="Z192" s="1624"/>
      <c r="AA192" s="1624"/>
      <c r="AB192" s="1624"/>
      <c r="AC192" s="1624"/>
      <c r="AD192" s="1624"/>
      <c r="AE192" s="1624"/>
      <c r="AF192" s="1624"/>
      <c r="AG192" s="1624"/>
      <c r="AH192" s="1624"/>
      <c r="AI192" s="1624"/>
      <c r="AJ192" s="1624"/>
      <c r="AK192" s="1624"/>
      <c r="AL192" s="1624"/>
      <c r="AM192" s="1624"/>
      <c r="AN192" s="1624"/>
      <c r="AO192" s="1624"/>
      <c r="AP192" s="1624"/>
      <c r="AQ192" s="1624"/>
      <c r="AR192" s="1624"/>
      <c r="AS192" s="1624"/>
      <c r="AT192" s="1624"/>
      <c r="AU192" s="1624"/>
      <c r="AV192" s="1624"/>
      <c r="AW192" s="1624"/>
      <c r="AX192" s="1624"/>
      <c r="AY192" s="1624"/>
      <c r="AZ192" s="1624"/>
      <c r="BA192" s="1624"/>
      <c r="BB192" s="1624"/>
      <c r="BC192" s="1624"/>
      <c r="BD192" s="1721"/>
      <c r="BE192" s="1571" t="s">
        <v>1213</v>
      </c>
      <c r="BF192" s="1436">
        <v>22</v>
      </c>
      <c r="BG192" s="1436">
        <v>22</v>
      </c>
      <c r="BH192" s="1436">
        <v>2</v>
      </c>
      <c r="BI192" s="1495" t="b">
        <f t="shared" si="217"/>
        <v>1</v>
      </c>
      <c r="BJ192" s="1450" t="b">
        <f t="shared" si="223"/>
        <v>0</v>
      </c>
      <c r="BK192" s="1572">
        <f t="shared" si="224"/>
        <v>0</v>
      </c>
      <c r="BL192" s="1581">
        <f>IF(SUM(BL$171:BL191,BK192)&gt;$BO$4,0,BK192)</f>
        <v>0</v>
      </c>
      <c r="BM192" s="1436">
        <f t="shared" si="202"/>
        <v>0</v>
      </c>
      <c r="BN192" s="1495">
        <f t="shared" si="203"/>
        <v>0</v>
      </c>
      <c r="BO192" s="1437">
        <f t="shared" si="222"/>
        <v>0</v>
      </c>
      <c r="BP192" s="1574">
        <f t="shared" si="225"/>
        <v>0</v>
      </c>
      <c r="BQ192" s="1577">
        <f t="shared" si="226"/>
        <v>0</v>
      </c>
      <c r="BR192" s="1576">
        <f t="shared" si="204"/>
        <v>0</v>
      </c>
      <c r="BS192" s="1574">
        <f t="shared" si="227"/>
        <v>0</v>
      </c>
      <c r="BT192" s="1577">
        <f t="shared" si="228"/>
        <v>0</v>
      </c>
      <c r="BU192" s="1576">
        <f t="shared" si="205"/>
        <v>0</v>
      </c>
      <c r="BV192" s="1574">
        <f t="shared" si="229"/>
        <v>0</v>
      </c>
      <c r="BW192" s="1577">
        <f t="shared" si="230"/>
        <v>0</v>
      </c>
      <c r="BX192" s="1576">
        <f t="shared" si="206"/>
        <v>0</v>
      </c>
      <c r="BY192" s="1574">
        <f t="shared" si="231"/>
        <v>0</v>
      </c>
      <c r="BZ192" s="1577">
        <f t="shared" si="232"/>
        <v>0</v>
      </c>
      <c r="CA192" s="1576">
        <f t="shared" si="207"/>
        <v>0</v>
      </c>
      <c r="CB192" s="1495">
        <f t="shared" si="233"/>
        <v>0</v>
      </c>
      <c r="CC192" s="1577">
        <f t="shared" si="234"/>
        <v>0</v>
      </c>
      <c r="CD192" s="1576">
        <f t="shared" si="208"/>
        <v>0</v>
      </c>
      <c r="CE192" s="1495">
        <f t="shared" si="235"/>
        <v>0</v>
      </c>
      <c r="CF192" s="1577">
        <f t="shared" si="236"/>
        <v>0</v>
      </c>
      <c r="CG192" s="1576">
        <f t="shared" si="209"/>
        <v>0</v>
      </c>
      <c r="CH192" s="1495">
        <f t="shared" si="237"/>
        <v>0</v>
      </c>
      <c r="CI192" s="1577">
        <f t="shared" si="238"/>
        <v>0</v>
      </c>
      <c r="CJ192" s="1576">
        <f t="shared" si="210"/>
        <v>0</v>
      </c>
      <c r="CK192" s="1495">
        <f t="shared" si="239"/>
        <v>0</v>
      </c>
      <c r="CL192" s="1577">
        <f t="shared" si="240"/>
        <v>0</v>
      </c>
      <c r="CM192" s="1576">
        <f t="shared" si="211"/>
        <v>0</v>
      </c>
      <c r="CN192" s="1495">
        <f t="shared" si="241"/>
        <v>0</v>
      </c>
      <c r="CO192" s="1577">
        <f t="shared" si="242"/>
        <v>0</v>
      </c>
      <c r="CP192" s="1576">
        <f t="shared" si="212"/>
        <v>0</v>
      </c>
      <c r="CQ192" s="1495">
        <f t="shared" si="243"/>
        <v>0</v>
      </c>
      <c r="CR192" s="1577">
        <f t="shared" si="244"/>
        <v>0</v>
      </c>
      <c r="CS192" s="1576">
        <f t="shared" si="213"/>
        <v>0</v>
      </c>
      <c r="CT192" s="1495">
        <f t="shared" si="245"/>
        <v>0</v>
      </c>
      <c r="CU192" s="1577">
        <f t="shared" si="246"/>
        <v>0</v>
      </c>
      <c r="CV192" s="1576">
        <f t="shared" si="214"/>
        <v>0</v>
      </c>
      <c r="CW192" s="1495">
        <f t="shared" si="247"/>
        <v>0</v>
      </c>
      <c r="CX192" s="1577">
        <f t="shared" si="248"/>
        <v>0</v>
      </c>
      <c r="CY192" s="1576">
        <f t="shared" si="215"/>
        <v>0</v>
      </c>
      <c r="CZ192" s="1574">
        <f t="shared" si="216"/>
        <v>0</v>
      </c>
      <c r="DA192" s="1578">
        <f t="shared" si="218"/>
        <v>0</v>
      </c>
      <c r="DB192" s="1579">
        <f t="shared" si="219"/>
        <v>0</v>
      </c>
      <c r="DC192" s="1578">
        <f t="shared" si="220"/>
        <v>0</v>
      </c>
      <c r="DD192" s="1578">
        <f t="shared" si="220"/>
        <v>0</v>
      </c>
      <c r="DE192" s="1578">
        <f t="shared" si="220"/>
        <v>0</v>
      </c>
      <c r="DF192" s="1578">
        <f t="shared" si="221"/>
        <v>0</v>
      </c>
      <c r="DG192" s="1538"/>
      <c r="DH192" s="1538"/>
      <c r="DI192" s="1422"/>
      <c r="DJ192" s="1428"/>
      <c r="DK192" s="1428"/>
      <c r="DL192" s="1738" t="s">
        <v>1988</v>
      </c>
      <c r="DM192" s="1428"/>
      <c r="DN192" s="1428"/>
      <c r="DO192" s="1428"/>
      <c r="DP192" s="1428"/>
      <c r="DQ192" s="1422"/>
      <c r="DR192" s="1428"/>
      <c r="DS192" s="1428"/>
      <c r="DT192" s="1428"/>
      <c r="DU192" s="1428"/>
      <c r="DV192" s="1428"/>
      <c r="DW192" s="1428"/>
      <c r="DX192" s="1428"/>
      <c r="DY192" s="1428"/>
      <c r="DZ192" s="1428"/>
      <c r="EA192" s="1428"/>
      <c r="EB192" s="1428"/>
      <c r="EC192" s="1428"/>
      <c r="ED192" s="1428"/>
      <c r="EE192" s="1428"/>
      <c r="EF192" s="1428"/>
      <c r="EG192" s="1428"/>
      <c r="EH192" s="1428"/>
      <c r="EI192" s="1428"/>
      <c r="EJ192" s="1428"/>
      <c r="EK192" s="1428"/>
      <c r="EL192" s="1428"/>
      <c r="EM192" s="1428"/>
      <c r="EN192" s="1428"/>
      <c r="EO192" s="1428"/>
      <c r="EP192" s="1428"/>
      <c r="EQ192" s="1428"/>
      <c r="ER192" s="1428"/>
      <c r="ES192" s="1428"/>
      <c r="ET192" s="1428"/>
      <c r="EU192" s="1428"/>
    </row>
    <row r="193" spans="1:151" s="1440" customFormat="1" ht="40.5" customHeight="1">
      <c r="A193" s="1528"/>
      <c r="B193" s="1095"/>
      <c r="C193" s="1475"/>
      <c r="D193" s="1475"/>
      <c r="E193" s="1475"/>
      <c r="F193" s="1475"/>
      <c r="G193" s="1475"/>
      <c r="H193" s="1475"/>
      <c r="I193" s="1475"/>
      <c r="J193" s="1475"/>
      <c r="K193" s="1475"/>
      <c r="L193" s="1475"/>
      <c r="M193" s="1475"/>
      <c r="N193" s="1430"/>
      <c r="O193" s="1430"/>
      <c r="P193" s="1430"/>
      <c r="Q193" s="1739" t="s">
        <v>1706</v>
      </c>
      <c r="R193" s="1739"/>
      <c r="S193" s="1739"/>
      <c r="T193" s="1739"/>
      <c r="U193" s="1739" t="s">
        <v>1653</v>
      </c>
      <c r="V193" s="1739"/>
      <c r="W193" s="1739"/>
      <c r="X193" s="1430"/>
      <c r="Y193" s="1430"/>
      <c r="Z193" s="1430"/>
      <c r="AA193" s="1430"/>
      <c r="AB193" s="1430"/>
      <c r="AC193" s="1430"/>
      <c r="AD193" s="1430"/>
      <c r="AE193" s="1430"/>
      <c r="AF193" s="1430"/>
      <c r="AG193" s="1430"/>
      <c r="AH193" s="1430"/>
      <c r="AI193" s="1740" t="s">
        <v>1707</v>
      </c>
      <c r="AJ193" s="1441"/>
      <c r="AK193" s="1441"/>
      <c r="AL193" s="1441"/>
      <c r="AM193" s="1441"/>
      <c r="AN193" s="1430"/>
      <c r="AO193" s="1430"/>
      <c r="AP193" s="1430"/>
      <c r="AQ193" s="1430"/>
      <c r="AR193" s="1430"/>
      <c r="AS193" s="1430"/>
      <c r="AT193" s="1430"/>
      <c r="AU193" s="1430"/>
      <c r="AV193" s="1430"/>
      <c r="AW193" s="1430"/>
      <c r="AX193" s="1430"/>
      <c r="AY193" s="1430"/>
      <c r="AZ193" s="1430"/>
      <c r="BA193" s="1430"/>
      <c r="BB193" s="1430"/>
      <c r="BC193" s="1430"/>
      <c r="BD193" s="1721"/>
      <c r="BE193" s="1571" t="s">
        <v>1213</v>
      </c>
      <c r="BF193" s="1436">
        <v>22</v>
      </c>
      <c r="BG193" s="1436">
        <v>23</v>
      </c>
      <c r="BH193" s="1436">
        <v>3</v>
      </c>
      <c r="BI193" s="1495" t="b">
        <f t="shared" si="217"/>
        <v>1</v>
      </c>
      <c r="BJ193" s="1450" t="b">
        <f t="shared" si="223"/>
        <v>0</v>
      </c>
      <c r="BK193" s="1572">
        <f t="shared" si="224"/>
        <v>0</v>
      </c>
      <c r="BL193" s="1581">
        <f>IF(SUM(BL$171:BL192,BK193)&gt;$BO$4,0,BK193)</f>
        <v>0</v>
      </c>
      <c r="BM193" s="1436">
        <f t="shared" si="202"/>
        <v>0</v>
      </c>
      <c r="BN193" s="1495">
        <f t="shared" si="203"/>
        <v>0</v>
      </c>
      <c r="BO193" s="1437">
        <f t="shared" si="222"/>
        <v>0</v>
      </c>
      <c r="BP193" s="1574">
        <f t="shared" si="225"/>
        <v>0</v>
      </c>
      <c r="BQ193" s="1577">
        <f t="shared" si="226"/>
        <v>0</v>
      </c>
      <c r="BR193" s="1576">
        <f t="shared" si="204"/>
        <v>0</v>
      </c>
      <c r="BS193" s="1574">
        <f t="shared" si="227"/>
        <v>0</v>
      </c>
      <c r="BT193" s="1577">
        <f t="shared" si="228"/>
        <v>0</v>
      </c>
      <c r="BU193" s="1576">
        <f t="shared" si="205"/>
        <v>0</v>
      </c>
      <c r="BV193" s="1574">
        <f t="shared" si="229"/>
        <v>0</v>
      </c>
      <c r="BW193" s="1577">
        <f t="shared" si="230"/>
        <v>0</v>
      </c>
      <c r="BX193" s="1576">
        <f t="shared" si="206"/>
        <v>0</v>
      </c>
      <c r="BY193" s="1574">
        <f t="shared" si="231"/>
        <v>0</v>
      </c>
      <c r="BZ193" s="1577">
        <f t="shared" si="232"/>
        <v>0</v>
      </c>
      <c r="CA193" s="1576">
        <f t="shared" si="207"/>
        <v>0</v>
      </c>
      <c r="CB193" s="1495">
        <f t="shared" si="233"/>
        <v>0</v>
      </c>
      <c r="CC193" s="1577">
        <f t="shared" si="234"/>
        <v>0</v>
      </c>
      <c r="CD193" s="1576">
        <f t="shared" si="208"/>
        <v>0</v>
      </c>
      <c r="CE193" s="1495">
        <f t="shared" si="235"/>
        <v>0</v>
      </c>
      <c r="CF193" s="1577">
        <f t="shared" si="236"/>
        <v>0</v>
      </c>
      <c r="CG193" s="1576">
        <f t="shared" si="209"/>
        <v>0</v>
      </c>
      <c r="CH193" s="1495">
        <f t="shared" si="237"/>
        <v>0</v>
      </c>
      <c r="CI193" s="1577">
        <f t="shared" si="238"/>
        <v>0</v>
      </c>
      <c r="CJ193" s="1576">
        <f t="shared" si="210"/>
        <v>0</v>
      </c>
      <c r="CK193" s="1495">
        <f t="shared" si="239"/>
        <v>0</v>
      </c>
      <c r="CL193" s="1577">
        <f t="shared" si="240"/>
        <v>0</v>
      </c>
      <c r="CM193" s="1576">
        <f t="shared" si="211"/>
        <v>0</v>
      </c>
      <c r="CN193" s="1495">
        <f t="shared" si="241"/>
        <v>0</v>
      </c>
      <c r="CO193" s="1577">
        <f t="shared" si="242"/>
        <v>0</v>
      </c>
      <c r="CP193" s="1576">
        <f t="shared" si="212"/>
        <v>0</v>
      </c>
      <c r="CQ193" s="1495">
        <f t="shared" si="243"/>
        <v>0</v>
      </c>
      <c r="CR193" s="1577">
        <f t="shared" si="244"/>
        <v>0</v>
      </c>
      <c r="CS193" s="1576">
        <f t="shared" si="213"/>
        <v>0</v>
      </c>
      <c r="CT193" s="1495">
        <f t="shared" si="245"/>
        <v>0</v>
      </c>
      <c r="CU193" s="1577">
        <f t="shared" si="246"/>
        <v>0</v>
      </c>
      <c r="CV193" s="1576">
        <f t="shared" si="214"/>
        <v>0</v>
      </c>
      <c r="CW193" s="1495">
        <f t="shared" si="247"/>
        <v>0</v>
      </c>
      <c r="CX193" s="1577">
        <f t="shared" si="248"/>
        <v>0</v>
      </c>
      <c r="CY193" s="1576">
        <f t="shared" si="215"/>
        <v>0</v>
      </c>
      <c r="CZ193" s="1574">
        <f t="shared" si="216"/>
        <v>0</v>
      </c>
      <c r="DA193" s="1578">
        <f t="shared" si="218"/>
        <v>0</v>
      </c>
      <c r="DB193" s="1579">
        <f t="shared" si="219"/>
        <v>0</v>
      </c>
      <c r="DC193" s="1578">
        <f t="shared" si="220"/>
        <v>0</v>
      </c>
      <c r="DD193" s="1578">
        <f t="shared" si="220"/>
        <v>0</v>
      </c>
      <c r="DE193" s="1578">
        <f t="shared" si="220"/>
        <v>0</v>
      </c>
      <c r="DF193" s="1578">
        <f>IF(DA193-(DE192+CZ193)&lt;0,0,DA193-(DE192+CZ193))</f>
        <v>0</v>
      </c>
      <c r="DG193" s="1538"/>
      <c r="DH193" s="1538"/>
      <c r="DI193" s="1422"/>
      <c r="DJ193" s="1741" t="s">
        <v>1726</v>
      </c>
      <c r="DK193" s="1738" t="s">
        <v>1727</v>
      </c>
      <c r="DL193" s="1742"/>
      <c r="DM193" s="1428"/>
      <c r="DN193" s="1428"/>
      <c r="DO193" s="1428"/>
      <c r="DP193" s="1428"/>
      <c r="DQ193" s="1422"/>
      <c r="DR193" s="1428"/>
      <c r="DS193" s="1428"/>
      <c r="DT193" s="1428"/>
      <c r="DU193" s="1428"/>
      <c r="DV193" s="1428"/>
      <c r="DW193" s="1428"/>
      <c r="DX193" s="1428"/>
      <c r="DY193" s="1428"/>
      <c r="DZ193" s="1428"/>
      <c r="EA193" s="1428"/>
      <c r="EB193" s="1428"/>
      <c r="EC193" s="1428"/>
      <c r="ED193" s="1428"/>
      <c r="EE193" s="1428"/>
      <c r="EF193" s="1428"/>
      <c r="EG193" s="1428"/>
      <c r="EH193" s="1428"/>
      <c r="EI193" s="1428"/>
      <c r="EJ193" s="1428"/>
      <c r="EK193" s="1428"/>
      <c r="EL193" s="1428"/>
      <c r="EM193" s="1428"/>
      <c r="EN193" s="1428"/>
      <c r="EO193" s="1428"/>
      <c r="EP193" s="1428"/>
      <c r="EQ193" s="1428"/>
      <c r="ER193" s="1428"/>
      <c r="ES193" s="1428"/>
      <c r="ET193" s="1428"/>
      <c r="EU193" s="1428"/>
    </row>
    <row r="194" spans="1:151" s="1440" customFormat="1" ht="15" customHeight="1">
      <c r="A194" s="1528"/>
      <c r="B194" s="1623" t="s">
        <v>1699</v>
      </c>
      <c r="C194" s="1624"/>
      <c r="D194" s="1624"/>
      <c r="E194" s="1624"/>
      <c r="F194" s="1624"/>
      <c r="G194" s="1624"/>
      <c r="H194" s="1624"/>
      <c r="I194" s="1624"/>
      <c r="J194" s="1624"/>
      <c r="K194" s="1624"/>
      <c r="L194" s="1624"/>
      <c r="M194" s="1624"/>
      <c r="N194" s="1430"/>
      <c r="O194" s="1743" t="s">
        <v>1714</v>
      </c>
      <c r="P194" s="1743" t="s">
        <v>1715</v>
      </c>
      <c r="Q194" s="1743" t="s">
        <v>1716</v>
      </c>
      <c r="R194" s="1743" t="s">
        <v>1717</v>
      </c>
      <c r="S194" s="1743" t="s">
        <v>1719</v>
      </c>
      <c r="T194" s="1743" t="s">
        <v>1720</v>
      </c>
      <c r="U194" s="1743" t="s">
        <v>1721</v>
      </c>
      <c r="V194" s="1743" t="s">
        <v>1722</v>
      </c>
      <c r="W194" s="1743" t="s">
        <v>1713</v>
      </c>
      <c r="X194" s="1430"/>
      <c r="Y194" s="1430"/>
      <c r="Z194" s="1430"/>
      <c r="AA194" s="1430"/>
      <c r="AB194" s="1430"/>
      <c r="AC194" s="1430"/>
      <c r="AD194" s="1430"/>
      <c r="AE194" s="1430"/>
      <c r="AF194" s="1430"/>
      <c r="AG194" s="1430"/>
      <c r="AH194" s="1430"/>
      <c r="AI194" s="1743" t="s">
        <v>1723</v>
      </c>
      <c r="AJ194" s="1743" t="s">
        <v>1717</v>
      </c>
      <c r="AK194" s="1743" t="s">
        <v>1718</v>
      </c>
      <c r="AL194" s="1743" t="s">
        <v>1724</v>
      </c>
      <c r="AM194" s="1743" t="s">
        <v>1720</v>
      </c>
      <c r="AN194" s="1430"/>
      <c r="AO194" s="1430"/>
      <c r="AP194" s="1430"/>
      <c r="AQ194" s="1430"/>
      <c r="AR194" s="1430"/>
      <c r="AS194" s="1430"/>
      <c r="AT194" s="1430"/>
      <c r="AU194" s="1430"/>
      <c r="AV194" s="1430"/>
      <c r="AW194" s="1430"/>
      <c r="AX194" s="1430"/>
      <c r="AY194" s="1430"/>
      <c r="AZ194" s="1430"/>
      <c r="BA194" s="1430"/>
      <c r="BB194" s="1430"/>
      <c r="BC194" s="1430"/>
      <c r="BD194" s="1721"/>
      <c r="BE194" s="1571" t="s">
        <v>1213</v>
      </c>
      <c r="BF194" s="1436">
        <v>22</v>
      </c>
      <c r="BG194" s="1436">
        <v>24</v>
      </c>
      <c r="BH194" s="1436">
        <v>4</v>
      </c>
      <c r="BI194" s="1495" t="b">
        <f t="shared" si="217"/>
        <v>1</v>
      </c>
      <c r="BJ194" s="1450" t="b">
        <f t="shared" si="223"/>
        <v>0</v>
      </c>
      <c r="BK194" s="1572">
        <f t="shared" si="224"/>
        <v>0</v>
      </c>
      <c r="BL194" s="1581">
        <f>IF(SUM(BL$171:BL193,BK194)&gt;$BO$4,0,BK194)</f>
        <v>0</v>
      </c>
      <c r="BM194" s="1436">
        <f t="shared" si="202"/>
        <v>0</v>
      </c>
      <c r="BN194" s="1495">
        <f t="shared" si="203"/>
        <v>0</v>
      </c>
      <c r="BO194" s="1437">
        <f t="shared" si="222"/>
        <v>0</v>
      </c>
      <c r="BP194" s="1574">
        <f t="shared" si="225"/>
        <v>0</v>
      </c>
      <c r="BQ194" s="1577">
        <f t="shared" si="226"/>
        <v>0</v>
      </c>
      <c r="BR194" s="1576">
        <f t="shared" si="204"/>
        <v>0</v>
      </c>
      <c r="BS194" s="1574">
        <f t="shared" si="227"/>
        <v>0</v>
      </c>
      <c r="BT194" s="1577">
        <f t="shared" si="228"/>
        <v>0</v>
      </c>
      <c r="BU194" s="1576">
        <f t="shared" si="205"/>
        <v>0</v>
      </c>
      <c r="BV194" s="1574">
        <f t="shared" si="229"/>
        <v>0</v>
      </c>
      <c r="BW194" s="1577">
        <f t="shared" si="230"/>
        <v>0</v>
      </c>
      <c r="BX194" s="1576">
        <f t="shared" si="206"/>
        <v>0</v>
      </c>
      <c r="BY194" s="1574">
        <f t="shared" si="231"/>
        <v>0</v>
      </c>
      <c r="BZ194" s="1577">
        <f t="shared" si="232"/>
        <v>0</v>
      </c>
      <c r="CA194" s="1576">
        <f t="shared" si="207"/>
        <v>0</v>
      </c>
      <c r="CB194" s="1495">
        <f t="shared" si="233"/>
        <v>0</v>
      </c>
      <c r="CC194" s="1577">
        <f t="shared" si="234"/>
        <v>0</v>
      </c>
      <c r="CD194" s="1576">
        <f t="shared" si="208"/>
        <v>0</v>
      </c>
      <c r="CE194" s="1495">
        <f t="shared" si="235"/>
        <v>0</v>
      </c>
      <c r="CF194" s="1577">
        <f t="shared" si="236"/>
        <v>0</v>
      </c>
      <c r="CG194" s="1576">
        <f t="shared" si="209"/>
        <v>0</v>
      </c>
      <c r="CH194" s="1495">
        <f t="shared" si="237"/>
        <v>0</v>
      </c>
      <c r="CI194" s="1577">
        <f t="shared" si="238"/>
        <v>0</v>
      </c>
      <c r="CJ194" s="1576">
        <f t="shared" si="210"/>
        <v>0</v>
      </c>
      <c r="CK194" s="1495">
        <f t="shared" si="239"/>
        <v>0</v>
      </c>
      <c r="CL194" s="1577">
        <f t="shared" si="240"/>
        <v>0</v>
      </c>
      <c r="CM194" s="1576">
        <f t="shared" si="211"/>
        <v>0</v>
      </c>
      <c r="CN194" s="1495">
        <f t="shared" si="241"/>
        <v>0</v>
      </c>
      <c r="CO194" s="1577">
        <f t="shared" si="242"/>
        <v>0</v>
      </c>
      <c r="CP194" s="1576">
        <f t="shared" si="212"/>
        <v>0</v>
      </c>
      <c r="CQ194" s="1495">
        <f t="shared" si="243"/>
        <v>0</v>
      </c>
      <c r="CR194" s="1577">
        <f t="shared" si="244"/>
        <v>0</v>
      </c>
      <c r="CS194" s="1576">
        <f t="shared" si="213"/>
        <v>0</v>
      </c>
      <c r="CT194" s="1495">
        <f t="shared" si="245"/>
        <v>0</v>
      </c>
      <c r="CU194" s="1577">
        <f t="shared" si="246"/>
        <v>0</v>
      </c>
      <c r="CV194" s="1576">
        <f t="shared" si="214"/>
        <v>0</v>
      </c>
      <c r="CW194" s="1495">
        <f t="shared" si="247"/>
        <v>0</v>
      </c>
      <c r="CX194" s="1577">
        <f t="shared" si="248"/>
        <v>0</v>
      </c>
      <c r="CY194" s="1576">
        <f t="shared" si="215"/>
        <v>0</v>
      </c>
      <c r="CZ194" s="1574">
        <f t="shared" si="216"/>
        <v>0</v>
      </c>
      <c r="DA194" s="1578">
        <f t="shared" si="218"/>
        <v>0</v>
      </c>
      <c r="DB194" s="1579">
        <f t="shared" si="219"/>
        <v>0</v>
      </c>
      <c r="DC194" s="1578">
        <f t="shared" si="220"/>
        <v>0</v>
      </c>
      <c r="DD194" s="1578">
        <f t="shared" si="220"/>
        <v>0</v>
      </c>
      <c r="DE194" s="1578">
        <f t="shared" si="220"/>
        <v>0</v>
      </c>
      <c r="DF194" s="1578">
        <f>IF(DA194-(DE193+CZ194)&lt;0,0,DA194-(DE193+CZ194))</f>
        <v>0</v>
      </c>
      <c r="DG194" s="1538"/>
      <c r="DH194" s="1538"/>
      <c r="DI194" s="1422"/>
      <c r="DJ194" s="1744" t="s">
        <v>1732</v>
      </c>
      <c r="DK194" s="1745" t="s">
        <v>1733</v>
      </c>
      <c r="DL194" s="1746">
        <v>0</v>
      </c>
      <c r="DM194" s="1428"/>
      <c r="DN194" s="2508" t="s">
        <v>1708</v>
      </c>
      <c r="DO194" s="2508"/>
      <c r="DP194" s="1428"/>
      <c r="DQ194" s="1422"/>
      <c r="DR194" s="1428"/>
      <c r="DS194" s="1428"/>
      <c r="DT194" s="1428"/>
      <c r="DU194" s="1428"/>
      <c r="DV194" s="1428"/>
      <c r="DW194" s="1428"/>
      <c r="DX194" s="1428"/>
      <c r="DY194" s="1428"/>
      <c r="DZ194" s="1428"/>
      <c r="EA194" s="1428"/>
      <c r="EB194" s="1428"/>
      <c r="EC194" s="1428"/>
      <c r="ED194" s="1428"/>
      <c r="EE194" s="1428"/>
      <c r="EF194" s="1428"/>
      <c r="EG194" s="1428"/>
      <c r="EH194" s="1428"/>
      <c r="EI194" s="1428"/>
      <c r="EJ194" s="1428"/>
      <c r="EK194" s="1428"/>
      <c r="EL194" s="1428"/>
      <c r="EM194" s="1428"/>
      <c r="EN194" s="1428"/>
      <c r="EO194" s="1428"/>
      <c r="EP194" s="1428"/>
      <c r="EQ194" s="1428"/>
      <c r="ER194" s="1428"/>
      <c r="ES194" s="1428"/>
      <c r="ET194" s="1428"/>
      <c r="EU194" s="1428"/>
    </row>
    <row r="195" spans="1:151" s="1440" customFormat="1" ht="15" customHeight="1">
      <c r="A195" s="1747"/>
      <c r="B195" s="1688" t="s">
        <v>2324</v>
      </c>
      <c r="C195" s="1748"/>
      <c r="D195" s="1458"/>
      <c r="E195" s="1458"/>
      <c r="F195" s="1458"/>
      <c r="G195" s="1748"/>
      <c r="H195" s="1748"/>
      <c r="I195" s="1748"/>
      <c r="J195" s="1748"/>
      <c r="K195" s="1748"/>
      <c r="L195" s="1748"/>
      <c r="M195" s="1748"/>
      <c r="N195" s="1430"/>
      <c r="O195" s="1646" t="str">
        <f t="shared" ref="O195:P199" si="251">B197</f>
        <v>Landscape 1</v>
      </c>
      <c r="P195" s="1646">
        <f t="shared" si="251"/>
        <v>0</v>
      </c>
      <c r="Q195" s="1749">
        <f>IFERROR(VLOOKUP(D197,$DJ$194:$DL$200,3,FALSE),0)</f>
        <v>0</v>
      </c>
      <c r="R195" s="1750">
        <f>IFERROR(VLOOKUP(H197,$DJ$203:$DK$206,2,FALSE),0)</f>
        <v>0</v>
      </c>
      <c r="S195" s="1751">
        <f>Q195*R195</f>
        <v>0</v>
      </c>
      <c r="T195" s="1752">
        <f>IFERROR(VLOOKUP(F197,$DN$196:$DO$206,2,FALSE),1)</f>
        <v>1</v>
      </c>
      <c r="U195" s="1752" t="b">
        <f t="shared" ref="U195:W199" si="252">$I197=U$194</f>
        <v>0</v>
      </c>
      <c r="V195" s="1752" t="b">
        <f t="shared" si="252"/>
        <v>0</v>
      </c>
      <c r="W195" s="1752" t="b">
        <f t="shared" si="252"/>
        <v>0</v>
      </c>
      <c r="X195" s="1430"/>
      <c r="Y195" s="1430"/>
      <c r="Z195" s="1430"/>
      <c r="AA195" s="1430"/>
      <c r="AB195" s="1430"/>
      <c r="AC195" s="1430"/>
      <c r="AD195" s="1430"/>
      <c r="AE195" s="1430"/>
      <c r="AF195" s="1430"/>
      <c r="AG195" s="1430"/>
      <c r="AH195" s="1430"/>
      <c r="AI195" s="1749">
        <f>$DL$199</f>
        <v>4.2857142857142856</v>
      </c>
      <c r="AJ195" s="1646">
        <f>$DO$214</f>
        <v>1</v>
      </c>
      <c r="AK195" s="1646">
        <f>$DO$215</f>
        <v>1</v>
      </c>
      <c r="AL195" s="1751">
        <f>AI195*AJ195*AK195</f>
        <v>4.2857142857142856</v>
      </c>
      <c r="AM195" s="1752">
        <f>$DO$216</f>
        <v>0.75</v>
      </c>
      <c r="AN195" s="1430"/>
      <c r="AO195" s="1430"/>
      <c r="AP195" s="1430"/>
      <c r="AQ195" s="1430"/>
      <c r="AR195" s="1430"/>
      <c r="AS195" s="1430"/>
      <c r="AT195" s="1430"/>
      <c r="AU195" s="1430"/>
      <c r="AV195" s="1430"/>
      <c r="AW195" s="1430"/>
      <c r="AX195" s="1430"/>
      <c r="AY195" s="1430"/>
      <c r="AZ195" s="1430"/>
      <c r="BA195" s="1430"/>
      <c r="BB195" s="1430"/>
      <c r="BC195" s="1430"/>
      <c r="BD195" s="1721"/>
      <c r="BE195" s="1571" t="s">
        <v>1213</v>
      </c>
      <c r="BF195" s="1436">
        <v>22</v>
      </c>
      <c r="BG195" s="1436">
        <v>25</v>
      </c>
      <c r="BH195" s="1436">
        <v>5</v>
      </c>
      <c r="BI195" s="1495" t="b">
        <f t="shared" si="217"/>
        <v>1</v>
      </c>
      <c r="BJ195" s="1450" t="b">
        <f t="shared" si="223"/>
        <v>0</v>
      </c>
      <c r="BK195" s="1572">
        <f t="shared" si="224"/>
        <v>0</v>
      </c>
      <c r="BL195" s="1581">
        <f>IF(SUM(BL$171:BL194,BK195)&gt;$BO$4,0,BK195)</f>
        <v>0</v>
      </c>
      <c r="BM195" s="1436">
        <f t="shared" si="202"/>
        <v>0</v>
      </c>
      <c r="BN195" s="1495">
        <f t="shared" si="203"/>
        <v>0</v>
      </c>
      <c r="BO195" s="1437">
        <f t="shared" si="222"/>
        <v>0</v>
      </c>
      <c r="BP195" s="1574">
        <f t="shared" si="225"/>
        <v>0</v>
      </c>
      <c r="BQ195" s="1577">
        <f t="shared" si="226"/>
        <v>0</v>
      </c>
      <c r="BR195" s="1576">
        <f t="shared" si="204"/>
        <v>0</v>
      </c>
      <c r="BS195" s="1574">
        <f t="shared" si="227"/>
        <v>0</v>
      </c>
      <c r="BT195" s="1577">
        <f t="shared" si="228"/>
        <v>0</v>
      </c>
      <c r="BU195" s="1576">
        <f t="shared" si="205"/>
        <v>0</v>
      </c>
      <c r="BV195" s="1574">
        <f t="shared" si="229"/>
        <v>0</v>
      </c>
      <c r="BW195" s="1577">
        <f t="shared" si="230"/>
        <v>0</v>
      </c>
      <c r="BX195" s="1576">
        <f t="shared" si="206"/>
        <v>0</v>
      </c>
      <c r="BY195" s="1574">
        <f t="shared" si="231"/>
        <v>0</v>
      </c>
      <c r="BZ195" s="1577">
        <f t="shared" si="232"/>
        <v>0</v>
      </c>
      <c r="CA195" s="1576">
        <f t="shared" si="207"/>
        <v>0</v>
      </c>
      <c r="CB195" s="1495">
        <f t="shared" si="233"/>
        <v>0</v>
      </c>
      <c r="CC195" s="1577">
        <f t="shared" si="234"/>
        <v>0</v>
      </c>
      <c r="CD195" s="1576">
        <f t="shared" si="208"/>
        <v>0</v>
      </c>
      <c r="CE195" s="1495">
        <f t="shared" si="235"/>
        <v>0</v>
      </c>
      <c r="CF195" s="1577">
        <f t="shared" si="236"/>
        <v>0</v>
      </c>
      <c r="CG195" s="1576">
        <f t="shared" si="209"/>
        <v>0</v>
      </c>
      <c r="CH195" s="1495">
        <f t="shared" si="237"/>
        <v>0</v>
      </c>
      <c r="CI195" s="1577">
        <f t="shared" si="238"/>
        <v>0</v>
      </c>
      <c r="CJ195" s="1576">
        <f t="shared" si="210"/>
        <v>0</v>
      </c>
      <c r="CK195" s="1495">
        <f t="shared" si="239"/>
        <v>0</v>
      </c>
      <c r="CL195" s="1577">
        <f t="shared" si="240"/>
        <v>0</v>
      </c>
      <c r="CM195" s="1576">
        <f t="shared" si="211"/>
        <v>0</v>
      </c>
      <c r="CN195" s="1495">
        <f t="shared" si="241"/>
        <v>0</v>
      </c>
      <c r="CO195" s="1577">
        <f t="shared" si="242"/>
        <v>0</v>
      </c>
      <c r="CP195" s="1576">
        <f t="shared" si="212"/>
        <v>0</v>
      </c>
      <c r="CQ195" s="1495">
        <f t="shared" si="243"/>
        <v>0</v>
      </c>
      <c r="CR195" s="1577">
        <f t="shared" si="244"/>
        <v>0</v>
      </c>
      <c r="CS195" s="1576">
        <f t="shared" si="213"/>
        <v>0</v>
      </c>
      <c r="CT195" s="1495">
        <f t="shared" si="245"/>
        <v>0</v>
      </c>
      <c r="CU195" s="1577">
        <f t="shared" si="246"/>
        <v>0</v>
      </c>
      <c r="CV195" s="1576">
        <f t="shared" si="214"/>
        <v>0</v>
      </c>
      <c r="CW195" s="1495">
        <f t="shared" si="247"/>
        <v>0</v>
      </c>
      <c r="CX195" s="1577">
        <f t="shared" si="248"/>
        <v>0</v>
      </c>
      <c r="CY195" s="1576">
        <f t="shared" si="215"/>
        <v>0</v>
      </c>
      <c r="CZ195" s="1574">
        <f t="shared" si="216"/>
        <v>0</v>
      </c>
      <c r="DA195" s="1578">
        <f t="shared" si="218"/>
        <v>0</v>
      </c>
      <c r="DB195" s="1579">
        <f t="shared" si="219"/>
        <v>0</v>
      </c>
      <c r="DC195" s="1578">
        <f t="shared" si="220"/>
        <v>0</v>
      </c>
      <c r="DD195" s="1578">
        <f t="shared" si="220"/>
        <v>0</v>
      </c>
      <c r="DE195" s="1578">
        <f t="shared" si="220"/>
        <v>0</v>
      </c>
      <c r="DF195" s="1578">
        <f t="shared" si="221"/>
        <v>0</v>
      </c>
      <c r="DG195" s="1538"/>
      <c r="DH195" s="1538"/>
      <c r="DI195" s="1422"/>
      <c r="DJ195" s="1744" t="s">
        <v>1738</v>
      </c>
      <c r="DK195" s="1745" t="s">
        <v>1982</v>
      </c>
      <c r="DL195" s="1746">
        <v>0</v>
      </c>
      <c r="DM195" s="1428"/>
      <c r="DN195" s="1753" t="s">
        <v>1728</v>
      </c>
      <c r="DO195" s="1754">
        <v>0.6</v>
      </c>
      <c r="DP195" s="1428"/>
      <c r="DQ195" s="1422"/>
      <c r="DR195" s="1428"/>
      <c r="DS195" s="1428"/>
      <c r="DT195" s="1428"/>
      <c r="DU195" s="1428"/>
      <c r="DV195" s="1428"/>
      <c r="DW195" s="1428"/>
      <c r="DX195" s="1428"/>
      <c r="DY195" s="1428"/>
      <c r="DZ195" s="1428"/>
      <c r="EA195" s="1428"/>
      <c r="EB195" s="1428"/>
      <c r="EC195" s="1428"/>
      <c r="ED195" s="1428"/>
      <c r="EE195" s="1428"/>
      <c r="EF195" s="1428"/>
      <c r="EG195" s="1428"/>
      <c r="EH195" s="1428"/>
      <c r="EI195" s="1428"/>
      <c r="EJ195" s="1428"/>
      <c r="EK195" s="1428"/>
      <c r="EL195" s="1428"/>
      <c r="EM195" s="1428"/>
      <c r="EN195" s="1428"/>
      <c r="EO195" s="1428"/>
      <c r="EP195" s="1428"/>
      <c r="EQ195" s="1428"/>
      <c r="ER195" s="1428"/>
      <c r="ES195" s="1428"/>
      <c r="ET195" s="1428"/>
      <c r="EU195" s="1428"/>
    </row>
    <row r="196" spans="1:151" s="1440" customFormat="1" ht="38.25" customHeight="1">
      <c r="A196" s="1755"/>
      <c r="B196" s="1667" t="s">
        <v>1700</v>
      </c>
      <c r="C196" s="1596" t="s">
        <v>1701</v>
      </c>
      <c r="D196" s="1596" t="s">
        <v>1702</v>
      </c>
      <c r="E196" s="1596" t="s">
        <v>2219</v>
      </c>
      <c r="F196" s="2449" t="s">
        <v>1703</v>
      </c>
      <c r="G196" s="2449"/>
      <c r="H196" s="1596" t="s">
        <v>1704</v>
      </c>
      <c r="I196" s="2449" t="s">
        <v>1705</v>
      </c>
      <c r="J196" s="2449"/>
      <c r="K196" s="1700" t="s">
        <v>2220</v>
      </c>
      <c r="L196" s="1736" t="s">
        <v>2221</v>
      </c>
      <c r="M196" s="1748"/>
      <c r="N196" s="1430"/>
      <c r="O196" s="1646" t="str">
        <f t="shared" si="251"/>
        <v>Landscape 2</v>
      </c>
      <c r="P196" s="1646">
        <f t="shared" si="251"/>
        <v>0</v>
      </c>
      <c r="Q196" s="1749">
        <f>IFERROR(VLOOKUP(D198,$DJ$194:$DL$200,3,FALSE),0)</f>
        <v>0</v>
      </c>
      <c r="R196" s="1750">
        <f>IFERROR(VLOOKUP(H198,$DJ$203:$DK$206,2,FALSE),0)</f>
        <v>0</v>
      </c>
      <c r="S196" s="1751">
        <f>Q196*R196</f>
        <v>0</v>
      </c>
      <c r="T196" s="1752">
        <f>IFERROR(VLOOKUP(F198,$DN$196:$DO$206,2,FALSE),1)</f>
        <v>1</v>
      </c>
      <c r="U196" s="1752" t="b">
        <f t="shared" si="252"/>
        <v>0</v>
      </c>
      <c r="V196" s="1752" t="b">
        <f t="shared" si="252"/>
        <v>0</v>
      </c>
      <c r="W196" s="1752" t="b">
        <f t="shared" si="252"/>
        <v>0</v>
      </c>
      <c r="X196" s="1430"/>
      <c r="Y196" s="1430"/>
      <c r="Z196" s="1430"/>
      <c r="AA196" s="1430"/>
      <c r="AB196" s="1430"/>
      <c r="AC196" s="1430"/>
      <c r="AD196" s="1430"/>
      <c r="AE196" s="1430"/>
      <c r="AF196" s="1430"/>
      <c r="AG196" s="1430"/>
      <c r="AH196" s="1430"/>
      <c r="AI196" s="1430"/>
      <c r="AJ196" s="1430"/>
      <c r="AK196" s="1430"/>
      <c r="AL196" s="1430"/>
      <c r="AM196" s="1430"/>
      <c r="AN196" s="1430"/>
      <c r="AO196" s="1430"/>
      <c r="AP196" s="1430"/>
      <c r="AQ196" s="1430"/>
      <c r="AR196" s="1430"/>
      <c r="AS196" s="1430"/>
      <c r="AT196" s="1430"/>
      <c r="AU196" s="1430"/>
      <c r="AV196" s="1430"/>
      <c r="AW196" s="1430"/>
      <c r="AX196" s="1430"/>
      <c r="AY196" s="1430"/>
      <c r="AZ196" s="1430"/>
      <c r="BA196" s="1430"/>
      <c r="BB196" s="1430"/>
      <c r="BC196" s="1430"/>
      <c r="BD196" s="1422"/>
      <c r="BE196" s="1571" t="s">
        <v>1213</v>
      </c>
      <c r="BF196" s="1436">
        <v>22</v>
      </c>
      <c r="BG196" s="1436">
        <v>26</v>
      </c>
      <c r="BH196" s="1436">
        <v>6</v>
      </c>
      <c r="BI196" s="1495" t="b">
        <f t="shared" si="217"/>
        <v>0</v>
      </c>
      <c r="BJ196" s="1450" t="b">
        <f t="shared" si="223"/>
        <v>0</v>
      </c>
      <c r="BK196" s="1572">
        <f t="shared" si="224"/>
        <v>0</v>
      </c>
      <c r="BL196" s="1581">
        <f>IF(SUM(BL$171:BL195,BK196)&gt;$BO$4,0,BK196)</f>
        <v>0</v>
      </c>
      <c r="BM196" s="1436">
        <f t="shared" si="202"/>
        <v>0</v>
      </c>
      <c r="BN196" s="1495">
        <f t="shared" si="203"/>
        <v>0</v>
      </c>
      <c r="BO196" s="1437">
        <f t="shared" si="222"/>
        <v>0</v>
      </c>
      <c r="BP196" s="1574">
        <f t="shared" si="225"/>
        <v>0</v>
      </c>
      <c r="BQ196" s="1577">
        <f t="shared" si="226"/>
        <v>0</v>
      </c>
      <c r="BR196" s="1576">
        <f t="shared" si="204"/>
        <v>0</v>
      </c>
      <c r="BS196" s="1574">
        <f t="shared" si="227"/>
        <v>0</v>
      </c>
      <c r="BT196" s="1577">
        <f t="shared" si="228"/>
        <v>0</v>
      </c>
      <c r="BU196" s="1576">
        <f t="shared" si="205"/>
        <v>0</v>
      </c>
      <c r="BV196" s="1574">
        <f t="shared" si="229"/>
        <v>0</v>
      </c>
      <c r="BW196" s="1577">
        <f t="shared" si="230"/>
        <v>0</v>
      </c>
      <c r="BX196" s="1576">
        <f t="shared" si="206"/>
        <v>0</v>
      </c>
      <c r="BY196" s="1574">
        <f t="shared" si="231"/>
        <v>0</v>
      </c>
      <c r="BZ196" s="1577">
        <f t="shared" si="232"/>
        <v>0</v>
      </c>
      <c r="CA196" s="1576">
        <f t="shared" si="207"/>
        <v>0</v>
      </c>
      <c r="CB196" s="1495">
        <f t="shared" si="233"/>
        <v>0</v>
      </c>
      <c r="CC196" s="1577">
        <f t="shared" si="234"/>
        <v>0</v>
      </c>
      <c r="CD196" s="1576">
        <f t="shared" si="208"/>
        <v>0</v>
      </c>
      <c r="CE196" s="1495">
        <f t="shared" si="235"/>
        <v>0</v>
      </c>
      <c r="CF196" s="1577">
        <f t="shared" si="236"/>
        <v>0</v>
      </c>
      <c r="CG196" s="1576">
        <f t="shared" si="209"/>
        <v>0</v>
      </c>
      <c r="CH196" s="1495">
        <f t="shared" si="237"/>
        <v>0</v>
      </c>
      <c r="CI196" s="1577">
        <f t="shared" si="238"/>
        <v>0</v>
      </c>
      <c r="CJ196" s="1576">
        <f t="shared" si="210"/>
        <v>0</v>
      </c>
      <c r="CK196" s="1495">
        <f t="shared" si="239"/>
        <v>0</v>
      </c>
      <c r="CL196" s="1577">
        <f t="shared" si="240"/>
        <v>0</v>
      </c>
      <c r="CM196" s="1576">
        <f t="shared" si="211"/>
        <v>0</v>
      </c>
      <c r="CN196" s="1495">
        <f t="shared" si="241"/>
        <v>0</v>
      </c>
      <c r="CO196" s="1577">
        <f t="shared" si="242"/>
        <v>0</v>
      </c>
      <c r="CP196" s="1576">
        <f t="shared" si="212"/>
        <v>0</v>
      </c>
      <c r="CQ196" s="1495">
        <f t="shared" si="243"/>
        <v>0</v>
      </c>
      <c r="CR196" s="1577">
        <f t="shared" si="244"/>
        <v>0</v>
      </c>
      <c r="CS196" s="1576">
        <f t="shared" si="213"/>
        <v>0</v>
      </c>
      <c r="CT196" s="1495">
        <f t="shared" si="245"/>
        <v>0</v>
      </c>
      <c r="CU196" s="1577">
        <f t="shared" si="246"/>
        <v>0</v>
      </c>
      <c r="CV196" s="1576">
        <f t="shared" si="214"/>
        <v>0</v>
      </c>
      <c r="CW196" s="1495">
        <f t="shared" si="247"/>
        <v>0</v>
      </c>
      <c r="CX196" s="1577">
        <f t="shared" si="248"/>
        <v>0</v>
      </c>
      <c r="CY196" s="1576">
        <f t="shared" si="215"/>
        <v>0</v>
      </c>
      <c r="CZ196" s="1574">
        <f t="shared" si="216"/>
        <v>0</v>
      </c>
      <c r="DA196" s="1578">
        <f t="shared" si="218"/>
        <v>0</v>
      </c>
      <c r="DB196" s="1579">
        <f t="shared" si="219"/>
        <v>0</v>
      </c>
      <c r="DC196" s="1578">
        <f t="shared" si="220"/>
        <v>0</v>
      </c>
      <c r="DD196" s="1578">
        <f t="shared" si="220"/>
        <v>0</v>
      </c>
      <c r="DE196" s="1578">
        <f t="shared" si="220"/>
        <v>0</v>
      </c>
      <c r="DF196" s="1578">
        <f t="shared" si="221"/>
        <v>0</v>
      </c>
      <c r="DG196" s="1420"/>
      <c r="DH196" s="1420"/>
      <c r="DI196" s="1422"/>
      <c r="DJ196" s="1744" t="s">
        <v>1746</v>
      </c>
      <c r="DK196" s="1745" t="s">
        <v>1983</v>
      </c>
      <c r="DL196" s="1746">
        <f>7.5/7</f>
        <v>1.0714285714285714</v>
      </c>
      <c r="DM196" s="1428"/>
      <c r="DN196" s="1753" t="s">
        <v>1499</v>
      </c>
      <c r="DO196" s="1756">
        <v>1</v>
      </c>
      <c r="DP196" s="1428"/>
      <c r="DQ196" s="1422"/>
      <c r="DR196" s="1428"/>
      <c r="DS196" s="1428"/>
      <c r="DT196" s="1428"/>
      <c r="DU196" s="1428"/>
      <c r="DV196" s="1428"/>
      <c r="DW196" s="1428"/>
      <c r="DX196" s="1428"/>
      <c r="DY196" s="1428"/>
      <c r="DZ196" s="1428"/>
      <c r="EA196" s="1428"/>
      <c r="EB196" s="1428"/>
      <c r="EC196" s="1428"/>
      <c r="ED196" s="1428"/>
      <c r="EE196" s="1428"/>
      <c r="EF196" s="1428"/>
      <c r="EG196" s="1428"/>
      <c r="EH196" s="1428"/>
      <c r="EI196" s="1428"/>
      <c r="EJ196" s="1428"/>
      <c r="EK196" s="1428"/>
      <c r="EL196" s="1428"/>
      <c r="EM196" s="1428"/>
      <c r="EN196" s="1428"/>
      <c r="EO196" s="1428"/>
      <c r="EP196" s="1428"/>
      <c r="EQ196" s="1428"/>
      <c r="ER196" s="1428"/>
      <c r="ES196" s="1428"/>
      <c r="ET196" s="1428"/>
      <c r="EU196" s="1428"/>
    </row>
    <row r="197" spans="1:151" s="1440" customFormat="1" ht="15" customHeight="1">
      <c r="A197" s="1587"/>
      <c r="B197" s="1757" t="s">
        <v>1709</v>
      </c>
      <c r="C197" s="1637"/>
      <c r="D197" s="1637"/>
      <c r="E197" s="1758" t="str">
        <f>IFERROR(VLOOKUP(D197,$DJ$194:$DK$200,2,FALSE),"")</f>
        <v/>
      </c>
      <c r="F197" s="2506"/>
      <c r="G197" s="2506"/>
      <c r="H197" s="1637"/>
      <c r="I197" s="2509"/>
      <c r="J197" s="2509"/>
      <c r="K197" s="1758">
        <f>IFERROR(U217,"")</f>
        <v>0</v>
      </c>
      <c r="L197" s="1758">
        <f>AI217</f>
        <v>0</v>
      </c>
      <c r="M197" s="1748"/>
      <c r="N197" s="1430"/>
      <c r="O197" s="1646" t="str">
        <f t="shared" si="251"/>
        <v>Landscape 3</v>
      </c>
      <c r="P197" s="1646">
        <f t="shared" si="251"/>
        <v>0</v>
      </c>
      <c r="Q197" s="1749">
        <f>IFERROR(VLOOKUP(D199,$DJ$194:$DL$200,3,FALSE),0)</f>
        <v>0</v>
      </c>
      <c r="R197" s="1750">
        <f>IFERROR(VLOOKUP(H199,$DJ$203:$DK$206,2,FALSE),0)</f>
        <v>0</v>
      </c>
      <c r="S197" s="1751">
        <f>Q197*R197</f>
        <v>0</v>
      </c>
      <c r="T197" s="1752">
        <f>IFERROR(VLOOKUP(F199,$DN$196:$DO$206,2,FALSE),1)</f>
        <v>1</v>
      </c>
      <c r="U197" s="1752" t="b">
        <f t="shared" si="252"/>
        <v>0</v>
      </c>
      <c r="V197" s="1752" t="b">
        <f t="shared" si="252"/>
        <v>0</v>
      </c>
      <c r="W197" s="1752" t="b">
        <f t="shared" si="252"/>
        <v>0</v>
      </c>
      <c r="X197" s="1430"/>
      <c r="Y197" s="1430"/>
      <c r="Z197" s="1430"/>
      <c r="AA197" s="1430"/>
      <c r="AB197" s="1430"/>
      <c r="AC197" s="1430"/>
      <c r="AD197" s="1430"/>
      <c r="AE197" s="1430"/>
      <c r="AF197" s="1430"/>
      <c r="AG197" s="1430"/>
      <c r="AH197" s="1430"/>
      <c r="AI197" s="1430"/>
      <c r="AJ197" s="1430"/>
      <c r="AK197" s="1430"/>
      <c r="AL197" s="1430"/>
      <c r="AM197" s="1430"/>
      <c r="AN197" s="1430"/>
      <c r="AO197" s="1430"/>
      <c r="AP197" s="1430"/>
      <c r="AQ197" s="1430"/>
      <c r="AR197" s="1430"/>
      <c r="AS197" s="1430"/>
      <c r="AT197" s="1430"/>
      <c r="AU197" s="1430"/>
      <c r="AV197" s="1430"/>
      <c r="AW197" s="1430"/>
      <c r="AX197" s="1430"/>
      <c r="AY197" s="1430"/>
      <c r="AZ197" s="1430"/>
      <c r="BA197" s="1430"/>
      <c r="BB197" s="1430"/>
      <c r="BC197" s="1430"/>
      <c r="BD197" s="1721"/>
      <c r="BE197" s="1571" t="s">
        <v>1213</v>
      </c>
      <c r="BF197" s="1436">
        <v>22</v>
      </c>
      <c r="BG197" s="1436">
        <v>27</v>
      </c>
      <c r="BH197" s="1436">
        <v>7</v>
      </c>
      <c r="BI197" s="1495" t="b">
        <f t="shared" si="217"/>
        <v>0</v>
      </c>
      <c r="BJ197" s="1450" t="b">
        <f t="shared" si="223"/>
        <v>0</v>
      </c>
      <c r="BK197" s="1572">
        <f t="shared" si="224"/>
        <v>0</v>
      </c>
      <c r="BL197" s="1581">
        <f>IF(SUM(BL$171:BL196,BK197)&gt;$BO$4,0,BK197)</f>
        <v>0</v>
      </c>
      <c r="BM197" s="1436">
        <f t="shared" si="202"/>
        <v>0</v>
      </c>
      <c r="BN197" s="1495">
        <f t="shared" si="203"/>
        <v>0</v>
      </c>
      <c r="BO197" s="1437">
        <f t="shared" si="222"/>
        <v>0</v>
      </c>
      <c r="BP197" s="1574">
        <f t="shared" si="225"/>
        <v>0</v>
      </c>
      <c r="BQ197" s="1577">
        <f t="shared" si="226"/>
        <v>0</v>
      </c>
      <c r="BR197" s="1576">
        <f t="shared" si="204"/>
        <v>0</v>
      </c>
      <c r="BS197" s="1574">
        <f t="shared" si="227"/>
        <v>0</v>
      </c>
      <c r="BT197" s="1577">
        <f t="shared" si="228"/>
        <v>0</v>
      </c>
      <c r="BU197" s="1576">
        <f t="shared" si="205"/>
        <v>0</v>
      </c>
      <c r="BV197" s="1574">
        <f t="shared" si="229"/>
        <v>0</v>
      </c>
      <c r="BW197" s="1577">
        <f t="shared" si="230"/>
        <v>0</v>
      </c>
      <c r="BX197" s="1576">
        <f t="shared" si="206"/>
        <v>0</v>
      </c>
      <c r="BY197" s="1574">
        <f t="shared" si="231"/>
        <v>0</v>
      </c>
      <c r="BZ197" s="1577">
        <f t="shared" si="232"/>
        <v>0</v>
      </c>
      <c r="CA197" s="1576">
        <f t="shared" si="207"/>
        <v>0</v>
      </c>
      <c r="CB197" s="1495">
        <f t="shared" si="233"/>
        <v>0</v>
      </c>
      <c r="CC197" s="1577">
        <f t="shared" si="234"/>
        <v>0</v>
      </c>
      <c r="CD197" s="1576">
        <f t="shared" si="208"/>
        <v>0</v>
      </c>
      <c r="CE197" s="1495">
        <f t="shared" si="235"/>
        <v>0</v>
      </c>
      <c r="CF197" s="1577">
        <f t="shared" si="236"/>
        <v>0</v>
      </c>
      <c r="CG197" s="1576">
        <f t="shared" si="209"/>
        <v>0</v>
      </c>
      <c r="CH197" s="1495">
        <f t="shared" si="237"/>
        <v>0</v>
      </c>
      <c r="CI197" s="1577">
        <f t="shared" si="238"/>
        <v>0</v>
      </c>
      <c r="CJ197" s="1576">
        <f t="shared" si="210"/>
        <v>0</v>
      </c>
      <c r="CK197" s="1495">
        <f t="shared" si="239"/>
        <v>0</v>
      </c>
      <c r="CL197" s="1577">
        <f t="shared" si="240"/>
        <v>0</v>
      </c>
      <c r="CM197" s="1576">
        <f t="shared" si="211"/>
        <v>0</v>
      </c>
      <c r="CN197" s="1495">
        <f t="shared" si="241"/>
        <v>0</v>
      </c>
      <c r="CO197" s="1577">
        <f t="shared" si="242"/>
        <v>0</v>
      </c>
      <c r="CP197" s="1576">
        <f t="shared" si="212"/>
        <v>0</v>
      </c>
      <c r="CQ197" s="1495">
        <f t="shared" si="243"/>
        <v>0</v>
      </c>
      <c r="CR197" s="1577">
        <f t="shared" si="244"/>
        <v>0</v>
      </c>
      <c r="CS197" s="1576">
        <f t="shared" si="213"/>
        <v>0</v>
      </c>
      <c r="CT197" s="1495">
        <f t="shared" si="245"/>
        <v>0</v>
      </c>
      <c r="CU197" s="1577">
        <f t="shared" si="246"/>
        <v>0</v>
      </c>
      <c r="CV197" s="1576">
        <f t="shared" si="214"/>
        <v>0</v>
      </c>
      <c r="CW197" s="1495">
        <f t="shared" si="247"/>
        <v>0</v>
      </c>
      <c r="CX197" s="1577">
        <f t="shared" si="248"/>
        <v>0</v>
      </c>
      <c r="CY197" s="1576">
        <f t="shared" si="215"/>
        <v>0</v>
      </c>
      <c r="CZ197" s="1574">
        <f t="shared" si="216"/>
        <v>0</v>
      </c>
      <c r="DA197" s="1578">
        <f t="shared" si="218"/>
        <v>0</v>
      </c>
      <c r="DB197" s="1579">
        <f t="shared" si="219"/>
        <v>0</v>
      </c>
      <c r="DC197" s="1578">
        <f t="shared" si="220"/>
        <v>0</v>
      </c>
      <c r="DD197" s="1578">
        <f t="shared" si="220"/>
        <v>0</v>
      </c>
      <c r="DE197" s="1578">
        <f t="shared" si="220"/>
        <v>0</v>
      </c>
      <c r="DF197" s="1578">
        <f t="shared" si="221"/>
        <v>0</v>
      </c>
      <c r="DG197" s="1420"/>
      <c r="DH197" s="1420"/>
      <c r="DI197" s="1422"/>
      <c r="DJ197" s="1744" t="s">
        <v>1980</v>
      </c>
      <c r="DK197" s="1745" t="s">
        <v>1984</v>
      </c>
      <c r="DL197" s="1746">
        <f>12.5/7</f>
        <v>1.7857142857142858</v>
      </c>
      <c r="DM197" s="1428"/>
      <c r="DN197" s="1753" t="s">
        <v>1739</v>
      </c>
      <c r="DO197" s="1756">
        <v>0.65</v>
      </c>
      <c r="DP197" s="1428"/>
      <c r="DQ197" s="1422"/>
      <c r="DR197" s="1428"/>
      <c r="DS197" s="1428"/>
      <c r="DT197" s="1428"/>
      <c r="DU197" s="1428"/>
      <c r="DV197" s="1428"/>
      <c r="DW197" s="1428"/>
      <c r="DX197" s="1428"/>
      <c r="DY197" s="1428"/>
      <c r="DZ197" s="1428"/>
      <c r="EA197" s="1428"/>
      <c r="EB197" s="1428"/>
      <c r="EC197" s="1428"/>
      <c r="ED197" s="1428"/>
      <c r="EE197" s="1428"/>
      <c r="EF197" s="1428"/>
      <c r="EG197" s="1428"/>
      <c r="EH197" s="1428"/>
      <c r="EI197" s="1428"/>
      <c r="EJ197" s="1428"/>
      <c r="EK197" s="1428"/>
      <c r="EL197" s="1428"/>
      <c r="EM197" s="1428"/>
      <c r="EN197" s="1428"/>
      <c r="EO197" s="1428"/>
      <c r="EP197" s="1428"/>
      <c r="EQ197" s="1428"/>
      <c r="ER197" s="1428"/>
      <c r="ES197" s="1428"/>
      <c r="ET197" s="1428"/>
      <c r="EU197" s="1428"/>
    </row>
    <row r="198" spans="1:151" ht="15" customHeight="1">
      <c r="A198" s="1627"/>
      <c r="B198" s="1757" t="s">
        <v>1729</v>
      </c>
      <c r="C198" s="1637"/>
      <c r="D198" s="1637"/>
      <c r="E198" s="1758" t="str">
        <f>IFERROR(VLOOKUP(D198,$DJ$194:$DK$200,2,FALSE),"")</f>
        <v/>
      </c>
      <c r="F198" s="2506"/>
      <c r="G198" s="2506"/>
      <c r="H198" s="1637"/>
      <c r="I198" s="2507"/>
      <c r="J198" s="2507"/>
      <c r="K198" s="1758">
        <f>IFERROR(X217,"")</f>
        <v>0</v>
      </c>
      <c r="L198" s="1758">
        <f>AJ217</f>
        <v>0</v>
      </c>
      <c r="M198" s="1748"/>
      <c r="O198" s="1646" t="str">
        <f t="shared" si="251"/>
        <v>Landscape 4</v>
      </c>
      <c r="P198" s="1646">
        <f t="shared" si="251"/>
        <v>0</v>
      </c>
      <c r="Q198" s="1749">
        <f>IFERROR(VLOOKUP(D200,$DJ$194:$DL$200,3,FALSE),0)</f>
        <v>0</v>
      </c>
      <c r="R198" s="1750">
        <f>IFERROR(VLOOKUP(H200,$DJ$203:$DK$206,2,FALSE),0)</f>
        <v>0</v>
      </c>
      <c r="S198" s="1751">
        <f>Q198*R198</f>
        <v>0</v>
      </c>
      <c r="T198" s="1752">
        <f>IFERROR(VLOOKUP(F200,$DN$196:$DO$206,2,FALSE),1)</f>
        <v>1</v>
      </c>
      <c r="U198" s="1752" t="b">
        <f t="shared" si="252"/>
        <v>0</v>
      </c>
      <c r="V198" s="1752" t="b">
        <f t="shared" si="252"/>
        <v>0</v>
      </c>
      <c r="W198" s="1752" t="b">
        <f t="shared" si="252"/>
        <v>0</v>
      </c>
      <c r="BD198" s="1440"/>
      <c r="BE198" s="1571" t="s">
        <v>1213</v>
      </c>
      <c r="BF198" s="1436">
        <v>22</v>
      </c>
      <c r="BG198" s="1436">
        <v>28</v>
      </c>
      <c r="BH198" s="1436">
        <v>1</v>
      </c>
      <c r="BI198" s="1495" t="b">
        <f t="shared" si="217"/>
        <v>1</v>
      </c>
      <c r="BJ198" s="1450" t="b">
        <f t="shared" si="223"/>
        <v>0</v>
      </c>
      <c r="BK198" s="1572">
        <f t="shared" si="224"/>
        <v>0</v>
      </c>
      <c r="BL198" s="1581">
        <f>IF(SUM(BL$171:BL197,BK198)&gt;$BO$4,0,BK198)</f>
        <v>0</v>
      </c>
      <c r="BM198" s="1436">
        <f t="shared" si="202"/>
        <v>0</v>
      </c>
      <c r="BN198" s="1495">
        <f t="shared" si="203"/>
        <v>0</v>
      </c>
      <c r="BO198" s="1437">
        <f t="shared" si="222"/>
        <v>0</v>
      </c>
      <c r="BP198" s="1574">
        <f t="shared" si="225"/>
        <v>0</v>
      </c>
      <c r="BQ198" s="1577">
        <f t="shared" si="226"/>
        <v>0</v>
      </c>
      <c r="BR198" s="1576">
        <f t="shared" si="204"/>
        <v>0</v>
      </c>
      <c r="BS198" s="1574">
        <f t="shared" si="227"/>
        <v>0</v>
      </c>
      <c r="BT198" s="1577">
        <f t="shared" si="228"/>
        <v>0</v>
      </c>
      <c r="BU198" s="1576">
        <f t="shared" si="205"/>
        <v>0</v>
      </c>
      <c r="BV198" s="1574">
        <f t="shared" si="229"/>
        <v>0</v>
      </c>
      <c r="BW198" s="1577">
        <f t="shared" si="230"/>
        <v>0</v>
      </c>
      <c r="BX198" s="1576">
        <f t="shared" si="206"/>
        <v>0</v>
      </c>
      <c r="BY198" s="1574">
        <f t="shared" si="231"/>
        <v>0</v>
      </c>
      <c r="BZ198" s="1577">
        <f t="shared" si="232"/>
        <v>0</v>
      </c>
      <c r="CA198" s="1576">
        <f t="shared" si="207"/>
        <v>0</v>
      </c>
      <c r="CB198" s="1495">
        <f t="shared" si="233"/>
        <v>0</v>
      </c>
      <c r="CC198" s="1577">
        <f t="shared" si="234"/>
        <v>0</v>
      </c>
      <c r="CD198" s="1576">
        <f t="shared" si="208"/>
        <v>0</v>
      </c>
      <c r="CE198" s="1495">
        <f t="shared" si="235"/>
        <v>0</v>
      </c>
      <c r="CF198" s="1577">
        <f t="shared" si="236"/>
        <v>0</v>
      </c>
      <c r="CG198" s="1576">
        <f t="shared" si="209"/>
        <v>0</v>
      </c>
      <c r="CH198" s="1495">
        <f t="shared" si="237"/>
        <v>0</v>
      </c>
      <c r="CI198" s="1577">
        <f t="shared" si="238"/>
        <v>0</v>
      </c>
      <c r="CJ198" s="1576">
        <f t="shared" si="210"/>
        <v>0</v>
      </c>
      <c r="CK198" s="1495">
        <f t="shared" si="239"/>
        <v>0</v>
      </c>
      <c r="CL198" s="1577">
        <f t="shared" si="240"/>
        <v>0</v>
      </c>
      <c r="CM198" s="1576">
        <f t="shared" si="211"/>
        <v>0</v>
      </c>
      <c r="CN198" s="1495">
        <f t="shared" si="241"/>
        <v>0</v>
      </c>
      <c r="CO198" s="1577">
        <f t="shared" si="242"/>
        <v>0</v>
      </c>
      <c r="CP198" s="1576">
        <f t="shared" si="212"/>
        <v>0</v>
      </c>
      <c r="CQ198" s="1495">
        <f t="shared" si="243"/>
        <v>0</v>
      </c>
      <c r="CR198" s="1577">
        <f t="shared" si="244"/>
        <v>0</v>
      </c>
      <c r="CS198" s="1576">
        <f t="shared" si="213"/>
        <v>0</v>
      </c>
      <c r="CT198" s="1495">
        <f t="shared" si="245"/>
        <v>0</v>
      </c>
      <c r="CU198" s="1577">
        <f t="shared" si="246"/>
        <v>0</v>
      </c>
      <c r="CV198" s="1576">
        <f t="shared" si="214"/>
        <v>0</v>
      </c>
      <c r="CW198" s="1495">
        <f t="shared" si="247"/>
        <v>0</v>
      </c>
      <c r="CX198" s="1577">
        <f t="shared" si="248"/>
        <v>0</v>
      </c>
      <c r="CY198" s="1576">
        <f t="shared" si="215"/>
        <v>0</v>
      </c>
      <c r="CZ198" s="1574">
        <f t="shared" si="216"/>
        <v>0</v>
      </c>
      <c r="DA198" s="1578">
        <f t="shared" si="218"/>
        <v>0</v>
      </c>
      <c r="DB198" s="1579">
        <f t="shared" si="219"/>
        <v>0</v>
      </c>
      <c r="DC198" s="1578">
        <f t="shared" si="220"/>
        <v>0</v>
      </c>
      <c r="DD198" s="1578">
        <f t="shared" si="220"/>
        <v>0</v>
      </c>
      <c r="DE198" s="1578">
        <f t="shared" si="220"/>
        <v>0</v>
      </c>
      <c r="DF198" s="1578">
        <f t="shared" si="221"/>
        <v>0</v>
      </c>
      <c r="DG198" s="1538"/>
      <c r="DH198" s="1538"/>
      <c r="DJ198" s="1744" t="s">
        <v>1730</v>
      </c>
      <c r="DK198" s="1745" t="s">
        <v>1985</v>
      </c>
      <c r="DL198" s="1746">
        <f>20/7</f>
        <v>2.8571428571428572</v>
      </c>
      <c r="DN198" s="1753" t="s">
        <v>1711</v>
      </c>
      <c r="DO198" s="1759">
        <v>0.75</v>
      </c>
    </row>
    <row r="199" spans="1:151" ht="15" customHeight="1">
      <c r="A199" s="1587"/>
      <c r="B199" s="1757" t="s">
        <v>1736</v>
      </c>
      <c r="C199" s="1637"/>
      <c r="D199" s="1637"/>
      <c r="E199" s="1758" t="str">
        <f>IFERROR(VLOOKUP(D199,$DJ$194:$DK$200,2,FALSE),"")</f>
        <v/>
      </c>
      <c r="F199" s="2506"/>
      <c r="G199" s="2506"/>
      <c r="H199" s="1637"/>
      <c r="I199" s="2507"/>
      <c r="J199" s="2507"/>
      <c r="K199" s="1758">
        <f>IFERROR(AA217,"")</f>
        <v>0</v>
      </c>
      <c r="L199" s="1758">
        <f>AK217</f>
        <v>0</v>
      </c>
      <c r="M199" s="1748"/>
      <c r="O199" s="1646" t="str">
        <f t="shared" si="251"/>
        <v>Landscape 5</v>
      </c>
      <c r="P199" s="1646">
        <f t="shared" si="251"/>
        <v>0</v>
      </c>
      <c r="Q199" s="1749">
        <f>IFERROR(VLOOKUP(D201,$DJ$194:$DL$200,3,FALSE),0)</f>
        <v>0</v>
      </c>
      <c r="R199" s="1750">
        <f>IFERROR(VLOOKUP(H201,$DJ$203:$DK$206,2,FALSE),0)</f>
        <v>0</v>
      </c>
      <c r="S199" s="1751">
        <f>Q199*R199</f>
        <v>0</v>
      </c>
      <c r="T199" s="1752">
        <f>IFERROR(VLOOKUP(F201,$DN$196:$DO$206,2,FALSE),1)</f>
        <v>1</v>
      </c>
      <c r="U199" s="1752" t="b">
        <f t="shared" si="252"/>
        <v>0</v>
      </c>
      <c r="V199" s="1752" t="b">
        <f t="shared" si="252"/>
        <v>0</v>
      </c>
      <c r="W199" s="1752" t="b">
        <f t="shared" si="252"/>
        <v>0</v>
      </c>
      <c r="BD199" s="1440"/>
      <c r="BE199" s="1571" t="s">
        <v>1213</v>
      </c>
      <c r="BF199" s="1436">
        <v>22</v>
      </c>
      <c r="BG199" s="1436">
        <v>29</v>
      </c>
      <c r="BH199" s="1436">
        <v>2</v>
      </c>
      <c r="BI199" s="1495" t="b">
        <f t="shared" si="217"/>
        <v>1</v>
      </c>
      <c r="BJ199" s="1450" t="b">
        <f t="shared" si="223"/>
        <v>0</v>
      </c>
      <c r="BK199" s="1572">
        <f t="shared" si="224"/>
        <v>0</v>
      </c>
      <c r="BL199" s="1581">
        <f>IF(SUM(BL$171:BL198,BK199)&gt;$BO$4,0,BK199)</f>
        <v>0</v>
      </c>
      <c r="BM199" s="1436">
        <f t="shared" si="202"/>
        <v>0</v>
      </c>
      <c r="BN199" s="1495">
        <f t="shared" si="203"/>
        <v>0</v>
      </c>
      <c r="BO199" s="1437">
        <f t="shared" si="222"/>
        <v>0</v>
      </c>
      <c r="BP199" s="1574">
        <f t="shared" si="225"/>
        <v>0</v>
      </c>
      <c r="BQ199" s="1577">
        <f t="shared" si="226"/>
        <v>0</v>
      </c>
      <c r="BR199" s="1576">
        <f t="shared" si="204"/>
        <v>0</v>
      </c>
      <c r="BS199" s="1574">
        <f t="shared" si="227"/>
        <v>0</v>
      </c>
      <c r="BT199" s="1577">
        <f t="shared" si="228"/>
        <v>0</v>
      </c>
      <c r="BU199" s="1576">
        <f t="shared" si="205"/>
        <v>0</v>
      </c>
      <c r="BV199" s="1574">
        <f t="shared" si="229"/>
        <v>0</v>
      </c>
      <c r="BW199" s="1577">
        <f t="shared" si="230"/>
        <v>0</v>
      </c>
      <c r="BX199" s="1576">
        <f t="shared" si="206"/>
        <v>0</v>
      </c>
      <c r="BY199" s="1574">
        <f t="shared" si="231"/>
        <v>0</v>
      </c>
      <c r="BZ199" s="1577">
        <f t="shared" si="232"/>
        <v>0</v>
      </c>
      <c r="CA199" s="1576">
        <f t="shared" si="207"/>
        <v>0</v>
      </c>
      <c r="CB199" s="1495">
        <f t="shared" si="233"/>
        <v>0</v>
      </c>
      <c r="CC199" s="1577">
        <f t="shared" si="234"/>
        <v>0</v>
      </c>
      <c r="CD199" s="1576">
        <f t="shared" si="208"/>
        <v>0</v>
      </c>
      <c r="CE199" s="1495">
        <f t="shared" si="235"/>
        <v>0</v>
      </c>
      <c r="CF199" s="1577">
        <f t="shared" si="236"/>
        <v>0</v>
      </c>
      <c r="CG199" s="1576">
        <f t="shared" si="209"/>
        <v>0</v>
      </c>
      <c r="CH199" s="1495">
        <f t="shared" si="237"/>
        <v>0</v>
      </c>
      <c r="CI199" s="1577">
        <f t="shared" si="238"/>
        <v>0</v>
      </c>
      <c r="CJ199" s="1576">
        <f t="shared" si="210"/>
        <v>0</v>
      </c>
      <c r="CK199" s="1495">
        <f t="shared" si="239"/>
        <v>0</v>
      </c>
      <c r="CL199" s="1577">
        <f t="shared" si="240"/>
        <v>0</v>
      </c>
      <c r="CM199" s="1576">
        <f t="shared" si="211"/>
        <v>0</v>
      </c>
      <c r="CN199" s="1495">
        <f t="shared" si="241"/>
        <v>0</v>
      </c>
      <c r="CO199" s="1577">
        <f t="shared" si="242"/>
        <v>0</v>
      </c>
      <c r="CP199" s="1576">
        <f t="shared" si="212"/>
        <v>0</v>
      </c>
      <c r="CQ199" s="1495">
        <f t="shared" si="243"/>
        <v>0</v>
      </c>
      <c r="CR199" s="1577">
        <f t="shared" si="244"/>
        <v>0</v>
      </c>
      <c r="CS199" s="1576">
        <f t="shared" si="213"/>
        <v>0</v>
      </c>
      <c r="CT199" s="1495">
        <f t="shared" si="245"/>
        <v>0</v>
      </c>
      <c r="CU199" s="1577">
        <f t="shared" si="246"/>
        <v>0</v>
      </c>
      <c r="CV199" s="1576">
        <f t="shared" si="214"/>
        <v>0</v>
      </c>
      <c r="CW199" s="1495">
        <f t="shared" si="247"/>
        <v>0</v>
      </c>
      <c r="CX199" s="1577">
        <f t="shared" si="248"/>
        <v>0</v>
      </c>
      <c r="CY199" s="1576">
        <f t="shared" si="215"/>
        <v>0</v>
      </c>
      <c r="CZ199" s="1574">
        <f t="shared" si="216"/>
        <v>0</v>
      </c>
      <c r="DA199" s="1578">
        <f t="shared" si="218"/>
        <v>0</v>
      </c>
      <c r="DB199" s="1579">
        <f t="shared" si="219"/>
        <v>0</v>
      </c>
      <c r="DC199" s="1578">
        <f t="shared" si="220"/>
        <v>0</v>
      </c>
      <c r="DD199" s="1578">
        <f t="shared" si="220"/>
        <v>0</v>
      </c>
      <c r="DE199" s="1578">
        <f t="shared" si="220"/>
        <v>0</v>
      </c>
      <c r="DF199" s="1578">
        <f t="shared" si="221"/>
        <v>0</v>
      </c>
      <c r="DG199" s="1538"/>
      <c r="DH199" s="1538"/>
      <c r="DJ199" s="1744" t="s">
        <v>1981</v>
      </c>
      <c r="DK199" s="1745" t="s">
        <v>1986</v>
      </c>
      <c r="DL199" s="1746">
        <f>30/7</f>
        <v>4.2857142857142856</v>
      </c>
      <c r="DN199" s="1753" t="s">
        <v>1747</v>
      </c>
      <c r="DO199" s="1759">
        <v>0.65</v>
      </c>
    </row>
    <row r="200" spans="1:151" s="1440" customFormat="1" ht="15" customHeight="1">
      <c r="A200" s="1587"/>
      <c r="B200" s="1757" t="s">
        <v>1742</v>
      </c>
      <c r="C200" s="1637"/>
      <c r="D200" s="1637"/>
      <c r="E200" s="1758" t="str">
        <f>IFERROR(VLOOKUP(D200,$DJ$194:$DK$200,2,FALSE),"")</f>
        <v/>
      </c>
      <c r="F200" s="2506"/>
      <c r="G200" s="2506"/>
      <c r="H200" s="1637"/>
      <c r="I200" s="2507"/>
      <c r="J200" s="2507"/>
      <c r="K200" s="1758">
        <f>IFERROR(AD217,"")</f>
        <v>0</v>
      </c>
      <c r="L200" s="1758">
        <f>AL217</f>
        <v>0</v>
      </c>
      <c r="M200" s="1748"/>
      <c r="N200" s="1430"/>
      <c r="O200" s="1430"/>
      <c r="P200" s="1430"/>
      <c r="Q200" s="1430"/>
      <c r="R200" s="1430"/>
      <c r="S200" s="1430"/>
      <c r="T200" s="1430"/>
      <c r="U200" s="1430"/>
      <c r="V200" s="1430"/>
      <c r="W200" s="1430"/>
      <c r="X200" s="1430"/>
      <c r="Y200" s="1430"/>
      <c r="Z200" s="1430"/>
      <c r="AA200" s="1430"/>
      <c r="AB200" s="1430"/>
      <c r="AC200" s="1430"/>
      <c r="AD200" s="1430"/>
      <c r="AE200" s="1430"/>
      <c r="AF200" s="1430"/>
      <c r="AG200" s="1430"/>
      <c r="AH200" s="1430"/>
      <c r="AI200" s="1430"/>
      <c r="AJ200" s="1430"/>
      <c r="AK200" s="1430"/>
      <c r="AL200" s="1430"/>
      <c r="AM200" s="1430"/>
      <c r="AN200" s="1430"/>
      <c r="AO200" s="1430"/>
      <c r="AP200" s="1430"/>
      <c r="AQ200" s="1430"/>
      <c r="AR200" s="1430"/>
      <c r="AS200" s="1430"/>
      <c r="AT200" s="1430"/>
      <c r="AU200" s="1430"/>
      <c r="AV200" s="1430"/>
      <c r="AW200" s="1430"/>
      <c r="AX200" s="1430"/>
      <c r="AY200" s="1430"/>
      <c r="AZ200" s="1430"/>
      <c r="BA200" s="1430"/>
      <c r="BB200" s="1430"/>
      <c r="BC200" s="1430"/>
      <c r="BE200" s="1571" t="s">
        <v>1213</v>
      </c>
      <c r="BF200" s="1436">
        <v>22</v>
      </c>
      <c r="BG200" s="1436">
        <v>30</v>
      </c>
      <c r="BH200" s="1436">
        <v>3</v>
      </c>
      <c r="BI200" s="1495" t="b">
        <f t="shared" si="217"/>
        <v>1</v>
      </c>
      <c r="BJ200" s="1450" t="b">
        <f t="shared" si="223"/>
        <v>1</v>
      </c>
      <c r="BK200" s="1572">
        <f t="shared" si="224"/>
        <v>5</v>
      </c>
      <c r="BL200" s="1573">
        <f>$BO$4-SUM(BL171:BL199)</f>
        <v>5</v>
      </c>
      <c r="BM200" s="1436">
        <f t="shared" si="202"/>
        <v>0</v>
      </c>
      <c r="BN200" s="1495">
        <f t="shared" si="203"/>
        <v>0</v>
      </c>
      <c r="BO200" s="1437">
        <f t="shared" si="222"/>
        <v>0</v>
      </c>
      <c r="BP200" s="1574">
        <f t="shared" si="225"/>
        <v>0</v>
      </c>
      <c r="BQ200" s="1577">
        <f t="shared" si="226"/>
        <v>0</v>
      </c>
      <c r="BR200" s="1576">
        <f t="shared" si="204"/>
        <v>0</v>
      </c>
      <c r="BS200" s="1574">
        <f t="shared" si="227"/>
        <v>0</v>
      </c>
      <c r="BT200" s="1577">
        <f t="shared" si="228"/>
        <v>0</v>
      </c>
      <c r="BU200" s="1576">
        <f t="shared" si="205"/>
        <v>0</v>
      </c>
      <c r="BV200" s="1574">
        <f t="shared" si="229"/>
        <v>0</v>
      </c>
      <c r="BW200" s="1577">
        <f t="shared" si="230"/>
        <v>0</v>
      </c>
      <c r="BX200" s="1576">
        <f t="shared" si="206"/>
        <v>0</v>
      </c>
      <c r="BY200" s="1574">
        <f t="shared" si="231"/>
        <v>0</v>
      </c>
      <c r="BZ200" s="1577">
        <f t="shared" si="232"/>
        <v>0</v>
      </c>
      <c r="CA200" s="1576">
        <f t="shared" si="207"/>
        <v>0</v>
      </c>
      <c r="CB200" s="1495">
        <f t="shared" si="233"/>
        <v>0</v>
      </c>
      <c r="CC200" s="1577">
        <f t="shared" si="234"/>
        <v>0</v>
      </c>
      <c r="CD200" s="1576">
        <f t="shared" si="208"/>
        <v>0</v>
      </c>
      <c r="CE200" s="1495">
        <f t="shared" si="235"/>
        <v>0</v>
      </c>
      <c r="CF200" s="1577">
        <f t="shared" si="236"/>
        <v>0</v>
      </c>
      <c r="CG200" s="1576">
        <f t="shared" si="209"/>
        <v>0</v>
      </c>
      <c r="CH200" s="1495">
        <f t="shared" si="237"/>
        <v>0</v>
      </c>
      <c r="CI200" s="1577">
        <f t="shared" si="238"/>
        <v>0</v>
      </c>
      <c r="CJ200" s="1576">
        <f t="shared" si="210"/>
        <v>0</v>
      </c>
      <c r="CK200" s="1495">
        <f t="shared" si="239"/>
        <v>0</v>
      </c>
      <c r="CL200" s="1577">
        <f t="shared" si="240"/>
        <v>0</v>
      </c>
      <c r="CM200" s="1576">
        <f t="shared" si="211"/>
        <v>0</v>
      </c>
      <c r="CN200" s="1495">
        <f t="shared" si="241"/>
        <v>0</v>
      </c>
      <c r="CO200" s="1577">
        <f t="shared" si="242"/>
        <v>0</v>
      </c>
      <c r="CP200" s="1576">
        <f t="shared" si="212"/>
        <v>0</v>
      </c>
      <c r="CQ200" s="1495">
        <f t="shared" si="243"/>
        <v>0</v>
      </c>
      <c r="CR200" s="1577">
        <f t="shared" si="244"/>
        <v>0</v>
      </c>
      <c r="CS200" s="1576">
        <f t="shared" si="213"/>
        <v>0</v>
      </c>
      <c r="CT200" s="1495">
        <f t="shared" si="245"/>
        <v>0</v>
      </c>
      <c r="CU200" s="1577">
        <f t="shared" si="246"/>
        <v>0</v>
      </c>
      <c r="CV200" s="1576">
        <f t="shared" si="214"/>
        <v>0</v>
      </c>
      <c r="CW200" s="1495">
        <f t="shared" si="247"/>
        <v>0</v>
      </c>
      <c r="CX200" s="1577">
        <f t="shared" si="248"/>
        <v>0</v>
      </c>
      <c r="CY200" s="1576">
        <f t="shared" si="215"/>
        <v>0</v>
      </c>
      <c r="CZ200" s="1574">
        <f t="shared" si="216"/>
        <v>0</v>
      </c>
      <c r="DA200" s="1578">
        <f t="shared" si="218"/>
        <v>0</v>
      </c>
      <c r="DB200" s="1579">
        <f t="shared" si="219"/>
        <v>0</v>
      </c>
      <c r="DC200" s="1578">
        <f t="shared" si="220"/>
        <v>0</v>
      </c>
      <c r="DD200" s="1578">
        <f t="shared" si="220"/>
        <v>0</v>
      </c>
      <c r="DE200" s="1578">
        <f t="shared" si="220"/>
        <v>0</v>
      </c>
      <c r="DF200" s="1578">
        <f>IF(DA200-(DE199+CZ200)&lt;0,0,DA200-(DE199+CZ200))</f>
        <v>0</v>
      </c>
      <c r="DG200" s="1538"/>
      <c r="DH200" s="1538"/>
      <c r="DI200" s="1422"/>
      <c r="DJ200" s="1744" t="s">
        <v>1710</v>
      </c>
      <c r="DK200" s="1745" t="s">
        <v>1987</v>
      </c>
      <c r="DL200" s="1746">
        <f>40/7</f>
        <v>5.7142857142857144</v>
      </c>
      <c r="DM200" s="1428"/>
      <c r="DN200" s="1753" t="s">
        <v>1752</v>
      </c>
      <c r="DO200" s="1759">
        <v>0.7</v>
      </c>
      <c r="DP200" s="1428"/>
      <c r="DQ200" s="1422"/>
      <c r="DR200" s="1428"/>
      <c r="DS200" s="1428"/>
      <c r="DT200" s="1428"/>
      <c r="DU200" s="1428"/>
      <c r="DV200" s="1428"/>
      <c r="DW200" s="1428"/>
      <c r="DX200" s="1428"/>
      <c r="DY200" s="1428"/>
      <c r="DZ200" s="1428"/>
      <c r="EA200" s="1428"/>
      <c r="EB200" s="1428"/>
      <c r="EC200" s="1428"/>
      <c r="ED200" s="1428"/>
      <c r="EE200" s="1428"/>
      <c r="EF200" s="1428"/>
      <c r="EG200" s="1428"/>
      <c r="EH200" s="1428"/>
      <c r="EI200" s="1428"/>
      <c r="EJ200" s="1428"/>
      <c r="EK200" s="1428"/>
      <c r="EL200" s="1428"/>
      <c r="EM200" s="1428"/>
      <c r="EN200" s="1428"/>
      <c r="EO200" s="1428"/>
      <c r="EP200" s="1428"/>
      <c r="EQ200" s="1428"/>
      <c r="ER200" s="1428"/>
      <c r="ES200" s="1428"/>
      <c r="ET200" s="1428"/>
      <c r="EU200" s="1428"/>
    </row>
    <row r="201" spans="1:151" s="1440" customFormat="1" ht="15" customHeight="1">
      <c r="A201" s="1603"/>
      <c r="B201" s="1757" t="s">
        <v>1744</v>
      </c>
      <c r="C201" s="1637"/>
      <c r="D201" s="1637"/>
      <c r="E201" s="1758" t="str">
        <f>IFERROR(VLOOKUP(D201,$DJ$194:$DK$200,2,FALSE),"")</f>
        <v/>
      </c>
      <c r="F201" s="2506"/>
      <c r="G201" s="2506"/>
      <c r="H201" s="1637"/>
      <c r="I201" s="2507"/>
      <c r="J201" s="2507"/>
      <c r="K201" s="1758">
        <f>IFERROR(AG217,"")</f>
        <v>0</v>
      </c>
      <c r="L201" s="1758">
        <f>AM217</f>
        <v>0</v>
      </c>
      <c r="M201" s="1748"/>
      <c r="N201" s="1430"/>
      <c r="O201" s="1430"/>
      <c r="P201" s="1430"/>
      <c r="Q201" s="1430"/>
      <c r="R201" s="1430"/>
      <c r="S201" s="1760" t="s">
        <v>121</v>
      </c>
      <c r="T201" s="1760"/>
      <c r="U201" s="1760"/>
      <c r="V201" s="1760"/>
      <c r="W201" s="1760"/>
      <c r="X201" s="1760"/>
      <c r="Y201" s="1760"/>
      <c r="Z201" s="1760"/>
      <c r="AA201" s="1760"/>
      <c r="AB201" s="1760"/>
      <c r="AC201" s="1760"/>
      <c r="AD201" s="1760"/>
      <c r="AE201" s="1760"/>
      <c r="AF201" s="1760"/>
      <c r="AG201" s="1760"/>
      <c r="AH201" s="1430"/>
      <c r="AI201" s="1761" t="s">
        <v>337</v>
      </c>
      <c r="AJ201" s="1761"/>
      <c r="AK201" s="1761"/>
      <c r="AL201" s="1761"/>
      <c r="AM201" s="1761"/>
      <c r="AN201" s="1761"/>
      <c r="AO201" s="1430"/>
      <c r="AP201" s="1430"/>
      <c r="AQ201" s="1430"/>
      <c r="AR201" s="1430"/>
      <c r="AS201" s="1430"/>
      <c r="AT201" s="1430"/>
      <c r="AU201" s="1430"/>
      <c r="AV201" s="1430"/>
      <c r="AW201" s="1430"/>
      <c r="AX201" s="1430"/>
      <c r="AY201" s="1430"/>
      <c r="AZ201" s="1430"/>
      <c r="BA201" s="1430"/>
      <c r="BB201" s="1430"/>
      <c r="BC201" s="1430"/>
      <c r="BE201" s="1571" t="s">
        <v>1214</v>
      </c>
      <c r="BF201" s="1436">
        <v>22</v>
      </c>
      <c r="BG201" s="1436">
        <v>1</v>
      </c>
      <c r="BH201" s="1436">
        <v>4</v>
      </c>
      <c r="BI201" s="1495" t="b">
        <f t="shared" si="217"/>
        <v>1</v>
      </c>
      <c r="BJ201" s="1450" t="b">
        <f t="shared" ref="BJ201:BJ231" si="253">MOD(BG201,$BP$7)=0</f>
        <v>0</v>
      </c>
      <c r="BK201" s="1572">
        <f t="shared" ref="BK201:BK231" si="254">IF(BJ201,BP$8,0)</f>
        <v>0</v>
      </c>
      <c r="BL201" s="1573">
        <f>BK201</f>
        <v>0</v>
      </c>
      <c r="BM201" s="1436">
        <f t="shared" si="202"/>
        <v>0</v>
      </c>
      <c r="BN201" s="1495">
        <f t="shared" si="203"/>
        <v>0</v>
      </c>
      <c r="BO201" s="1437">
        <f t="shared" si="222"/>
        <v>0</v>
      </c>
      <c r="BP201" s="1762">
        <f t="shared" ref="BP201:BP231" si="255">$Q$340/$BF$201*BR$16*$BI201</f>
        <v>0</v>
      </c>
      <c r="BQ201" s="1577">
        <f t="shared" ref="BQ201:BQ231" si="256">AQ$375/$BF201*$BI201</f>
        <v>0</v>
      </c>
      <c r="BR201" s="1576">
        <f t="shared" si="204"/>
        <v>0</v>
      </c>
      <c r="BS201" s="1574">
        <f t="shared" ref="BS201:BS231" si="257">$R$340/$BF201*BU$16*$BI201</f>
        <v>0</v>
      </c>
      <c r="BT201" s="1577">
        <f t="shared" ref="BT201:BT231" si="258">AR$375/$BF201*$BI201</f>
        <v>0</v>
      </c>
      <c r="BU201" s="1576">
        <f t="shared" si="205"/>
        <v>0</v>
      </c>
      <c r="BV201" s="1574">
        <f t="shared" ref="BV201:BV231" si="259">$S$340/$BF201*BX$16*$BI201</f>
        <v>0</v>
      </c>
      <c r="BW201" s="1577">
        <f t="shared" ref="BW201:BW231" si="260">AS$375/$BF201*$BI201</f>
        <v>0</v>
      </c>
      <c r="BX201" s="1576">
        <f t="shared" si="206"/>
        <v>0</v>
      </c>
      <c r="BY201" s="1574">
        <f t="shared" ref="BY201:BY231" si="261">$T$340/$BF201*CA$16*$BI201</f>
        <v>0</v>
      </c>
      <c r="BZ201" s="1577">
        <f t="shared" ref="BZ201:BZ231" si="262">AT$375/$BF201*$BI201</f>
        <v>0</v>
      </c>
      <c r="CA201" s="1576">
        <f t="shared" si="207"/>
        <v>0</v>
      </c>
      <c r="CB201" s="1495">
        <f t="shared" ref="CB201:CB231" si="263">$W$340/BF201*BI201*$C$419</f>
        <v>0</v>
      </c>
      <c r="CC201" s="1577">
        <f t="shared" ref="CC201:CC231" si="264">AU$375/$BF201*$BI201</f>
        <v>0</v>
      </c>
      <c r="CD201" s="1576">
        <f t="shared" si="208"/>
        <v>0</v>
      </c>
      <c r="CE201" s="1495">
        <f t="shared" ref="CE201:CE231" si="265">$X$340/BF201*BI201*$C$420</f>
        <v>0</v>
      </c>
      <c r="CF201" s="1577">
        <f t="shared" ref="CF201:CF231" si="266">AV$375/$BF201*$BI201</f>
        <v>0</v>
      </c>
      <c r="CG201" s="1576">
        <f t="shared" si="209"/>
        <v>0</v>
      </c>
      <c r="CH201" s="1495">
        <f t="shared" ref="CH201:CH231" si="267">$Y$340/BF201*BI201*$C$421</f>
        <v>0</v>
      </c>
      <c r="CI201" s="1577">
        <f t="shared" ref="CI201:CI231" si="268">AW$375/$BF201*$BI201</f>
        <v>0</v>
      </c>
      <c r="CJ201" s="1576">
        <f t="shared" si="210"/>
        <v>0</v>
      </c>
      <c r="CK201" s="1495">
        <f t="shared" ref="CK201:CK231" si="269">$Z$340/BF201*BI201*$CM$16</f>
        <v>0</v>
      </c>
      <c r="CL201" s="1577">
        <f t="shared" ref="CL201:CL231" si="270">AX$375/$BF201*$BI201</f>
        <v>0</v>
      </c>
      <c r="CM201" s="1576">
        <f t="shared" si="211"/>
        <v>0</v>
      </c>
      <c r="CN201" s="1495">
        <f t="shared" ref="CN201:CN231" si="271">$AA$340/BF201*BI201*$CP$16</f>
        <v>0</v>
      </c>
      <c r="CO201" s="1577">
        <f t="shared" ref="CO201:CO231" si="272">$AY$375/$BF201*$BI201</f>
        <v>0</v>
      </c>
      <c r="CP201" s="1576">
        <f t="shared" si="212"/>
        <v>0</v>
      </c>
      <c r="CQ201" s="1495">
        <f t="shared" ref="CQ201:CQ231" si="273">$AB$340/BF201*BI201*$CS$16</f>
        <v>0</v>
      </c>
      <c r="CR201" s="1577">
        <f t="shared" ref="CR201:CR231" si="274">AZ$375/$BF201*$BI201</f>
        <v>0</v>
      </c>
      <c r="CS201" s="1576">
        <f t="shared" si="213"/>
        <v>0</v>
      </c>
      <c r="CT201" s="1495">
        <f t="shared" ref="CT201:CT231" si="275">$AC$340/BF201*BI201*$CV$16</f>
        <v>0</v>
      </c>
      <c r="CU201" s="1577">
        <f t="shared" ref="CU201:CU231" si="276">BA$375/$BF201*$BI201</f>
        <v>0</v>
      </c>
      <c r="CV201" s="1576">
        <f t="shared" si="214"/>
        <v>0</v>
      </c>
      <c r="CW201" s="1495">
        <f t="shared" ref="CW201:CW231" si="277">$AD$340/BF201*BI201*$CY$16</f>
        <v>0</v>
      </c>
      <c r="CX201" s="1577">
        <f t="shared" ref="CX201:CX231" si="278">BB$375/$BF201*$BI201</f>
        <v>0</v>
      </c>
      <c r="CY201" s="1576">
        <f t="shared" si="215"/>
        <v>0</v>
      </c>
      <c r="CZ201" s="1574">
        <f t="shared" si="216"/>
        <v>0</v>
      </c>
      <c r="DA201" s="1578">
        <f t="shared" si="218"/>
        <v>0</v>
      </c>
      <c r="DB201" s="1579">
        <f t="shared" si="219"/>
        <v>0</v>
      </c>
      <c r="DC201" s="1578">
        <f t="shared" si="220"/>
        <v>0</v>
      </c>
      <c r="DD201" s="1578">
        <f t="shared" si="220"/>
        <v>0</v>
      </c>
      <c r="DE201" s="1578">
        <f t="shared" si="220"/>
        <v>0</v>
      </c>
      <c r="DF201" s="1578">
        <f>IF(DA201-(DE200+CZ201)&lt;0,0,DA201-(DE200+CZ201))</f>
        <v>0</v>
      </c>
      <c r="DG201" s="1538"/>
      <c r="DH201" s="1538"/>
      <c r="DI201" s="1422"/>
      <c r="DJ201" s="1428"/>
      <c r="DK201" s="1428"/>
      <c r="DL201" s="1428"/>
      <c r="DM201" s="1428"/>
      <c r="DN201" s="1753" t="s">
        <v>1754</v>
      </c>
      <c r="DO201" s="1759">
        <v>0.6</v>
      </c>
      <c r="DP201" s="1428"/>
      <c r="DQ201" s="1422"/>
      <c r="DR201" s="1428"/>
      <c r="DS201" s="1428"/>
      <c r="DT201" s="1428"/>
      <c r="DU201" s="1428"/>
      <c r="DV201" s="1428"/>
      <c r="DW201" s="1428"/>
      <c r="DX201" s="1428"/>
      <c r="DY201" s="1428"/>
      <c r="DZ201" s="1428"/>
      <c r="EA201" s="1428"/>
      <c r="EB201" s="1428"/>
      <c r="EC201" s="1428"/>
      <c r="ED201" s="1428"/>
      <c r="EE201" s="1428"/>
      <c r="EF201" s="1428"/>
      <c r="EG201" s="1428"/>
      <c r="EH201" s="1428"/>
      <c r="EI201" s="1428"/>
      <c r="EJ201" s="1428"/>
      <c r="EK201" s="1428"/>
      <c r="EL201" s="1428"/>
      <c r="EM201" s="1428"/>
      <c r="EN201" s="1428"/>
      <c r="EO201" s="1428"/>
      <c r="EP201" s="1428"/>
      <c r="EQ201" s="1428"/>
      <c r="ER201" s="1428"/>
      <c r="ES201" s="1428"/>
      <c r="ET201" s="1428"/>
      <c r="EU201" s="1428"/>
    </row>
    <row r="202" spans="1:151" s="1440" customFormat="1" ht="15" customHeight="1">
      <c r="A202" s="1603"/>
      <c r="B202" s="1763" t="s">
        <v>1941</v>
      </c>
      <c r="C202" s="1737">
        <f>SUM(C197:C201)</f>
        <v>0</v>
      </c>
      <c r="D202" s="1764"/>
      <c r="E202" s="1475"/>
      <c r="F202" s="1475"/>
      <c r="G202" s="1475"/>
      <c r="H202" s="1475"/>
      <c r="I202" s="1586"/>
      <c r="K202" s="1684">
        <f>SUM(K197:K201)</f>
        <v>0</v>
      </c>
      <c r="L202" s="1682">
        <f>SUM(L197:L201)</f>
        <v>0</v>
      </c>
      <c r="M202" s="1422"/>
      <c r="N202" s="1430"/>
      <c r="O202" s="1430"/>
      <c r="P202" s="1430"/>
      <c r="Q202" s="1430"/>
      <c r="R202" s="1430"/>
      <c r="S202" s="1765" t="str">
        <f>O195</f>
        <v>Landscape 1</v>
      </c>
      <c r="T202" s="1766">
        <f>P195</f>
        <v>0</v>
      </c>
      <c r="U202" s="1767" t="s">
        <v>1751</v>
      </c>
      <c r="V202" s="1768" t="str">
        <f>B198</f>
        <v>Landscape 2</v>
      </c>
      <c r="W202" s="1769">
        <f>C198</f>
        <v>0</v>
      </c>
      <c r="X202" s="1770" t="s">
        <v>1751</v>
      </c>
      <c r="Y202" s="1768" t="str">
        <f>B199</f>
        <v>Landscape 3</v>
      </c>
      <c r="Z202" s="1769">
        <f>C199</f>
        <v>0</v>
      </c>
      <c r="AA202" s="1770" t="s">
        <v>1751</v>
      </c>
      <c r="AB202" s="1768" t="str">
        <f>B200</f>
        <v>Landscape 4</v>
      </c>
      <c r="AC202" s="1769">
        <f>C200</f>
        <v>0</v>
      </c>
      <c r="AD202" s="1770" t="s">
        <v>1751</v>
      </c>
      <c r="AE202" s="1768" t="str">
        <f>B201</f>
        <v>Landscape 5</v>
      </c>
      <c r="AF202" s="1769">
        <f>C201</f>
        <v>0</v>
      </c>
      <c r="AG202" s="1770" t="s">
        <v>1751</v>
      </c>
      <c r="AH202" s="1430"/>
      <c r="AI202" s="1771" t="str">
        <f>S202</f>
        <v>Landscape 1</v>
      </c>
      <c r="AJ202" s="1771" t="str">
        <f>V202</f>
        <v>Landscape 2</v>
      </c>
      <c r="AK202" s="1771" t="str">
        <f>Y202</f>
        <v>Landscape 3</v>
      </c>
      <c r="AL202" s="1771" t="str">
        <f>AB202</f>
        <v>Landscape 4</v>
      </c>
      <c r="AM202" s="1771" t="str">
        <f>AE202</f>
        <v>Landscape 5</v>
      </c>
      <c r="AN202" s="1771"/>
      <c r="AO202" s="1430"/>
      <c r="AP202" s="1430"/>
      <c r="AQ202" s="1430"/>
      <c r="AR202" s="1430"/>
      <c r="AS202" s="1430"/>
      <c r="AT202" s="1430"/>
      <c r="AU202" s="1430"/>
      <c r="AV202" s="1430"/>
      <c r="AW202" s="1430"/>
      <c r="AX202" s="1430"/>
      <c r="AY202" s="1430"/>
      <c r="AZ202" s="1430"/>
      <c r="BA202" s="1430"/>
      <c r="BB202" s="1430"/>
      <c r="BC202" s="1430"/>
      <c r="BE202" s="1571" t="s">
        <v>1214</v>
      </c>
      <c r="BF202" s="1436">
        <v>22</v>
      </c>
      <c r="BG202" s="1436">
        <v>2</v>
      </c>
      <c r="BH202" s="1436">
        <v>5</v>
      </c>
      <c r="BI202" s="1495" t="b">
        <f t="shared" si="217"/>
        <v>1</v>
      </c>
      <c r="BJ202" s="1450" t="b">
        <f t="shared" si="253"/>
        <v>0</v>
      </c>
      <c r="BK202" s="1572">
        <f t="shared" si="254"/>
        <v>0</v>
      </c>
      <c r="BL202" s="1581">
        <f>IF(SUM(BL$201:BL201,BK202)&gt;$BP$4,0,BK202)</f>
        <v>0</v>
      </c>
      <c r="BM202" s="1436">
        <f t="shared" si="202"/>
        <v>0</v>
      </c>
      <c r="BN202" s="1495">
        <f t="shared" si="203"/>
        <v>0</v>
      </c>
      <c r="BO202" s="1437">
        <f t="shared" si="222"/>
        <v>0</v>
      </c>
      <c r="BP202" s="1762">
        <f t="shared" si="255"/>
        <v>0</v>
      </c>
      <c r="BQ202" s="1577">
        <f t="shared" si="256"/>
        <v>0</v>
      </c>
      <c r="BR202" s="1576">
        <f t="shared" si="204"/>
        <v>0</v>
      </c>
      <c r="BS202" s="1574">
        <f t="shared" si="257"/>
        <v>0</v>
      </c>
      <c r="BT202" s="1577">
        <f t="shared" si="258"/>
        <v>0</v>
      </c>
      <c r="BU202" s="1576">
        <f t="shared" si="205"/>
        <v>0</v>
      </c>
      <c r="BV202" s="1574">
        <f t="shared" si="259"/>
        <v>0</v>
      </c>
      <c r="BW202" s="1577">
        <f t="shared" si="260"/>
        <v>0</v>
      </c>
      <c r="BX202" s="1576">
        <f t="shared" si="206"/>
        <v>0</v>
      </c>
      <c r="BY202" s="1574">
        <f t="shared" si="261"/>
        <v>0</v>
      </c>
      <c r="BZ202" s="1577">
        <f t="shared" si="262"/>
        <v>0</v>
      </c>
      <c r="CA202" s="1576">
        <f t="shared" si="207"/>
        <v>0</v>
      </c>
      <c r="CB202" s="1495">
        <f t="shared" si="263"/>
        <v>0</v>
      </c>
      <c r="CC202" s="1577">
        <f t="shared" si="264"/>
        <v>0</v>
      </c>
      <c r="CD202" s="1576">
        <f t="shared" si="208"/>
        <v>0</v>
      </c>
      <c r="CE202" s="1495">
        <f t="shared" si="265"/>
        <v>0</v>
      </c>
      <c r="CF202" s="1577">
        <f t="shared" si="266"/>
        <v>0</v>
      </c>
      <c r="CG202" s="1576">
        <f t="shared" si="209"/>
        <v>0</v>
      </c>
      <c r="CH202" s="1495">
        <f t="shared" si="267"/>
        <v>0</v>
      </c>
      <c r="CI202" s="1577">
        <f t="shared" si="268"/>
        <v>0</v>
      </c>
      <c r="CJ202" s="1576">
        <f t="shared" si="210"/>
        <v>0</v>
      </c>
      <c r="CK202" s="1495">
        <f t="shared" si="269"/>
        <v>0</v>
      </c>
      <c r="CL202" s="1577">
        <f t="shared" si="270"/>
        <v>0</v>
      </c>
      <c r="CM202" s="1576">
        <f t="shared" si="211"/>
        <v>0</v>
      </c>
      <c r="CN202" s="1495">
        <f t="shared" si="271"/>
        <v>0</v>
      </c>
      <c r="CO202" s="1577">
        <f t="shared" si="272"/>
        <v>0</v>
      </c>
      <c r="CP202" s="1576">
        <f t="shared" si="212"/>
        <v>0</v>
      </c>
      <c r="CQ202" s="1495">
        <f t="shared" si="273"/>
        <v>0</v>
      </c>
      <c r="CR202" s="1577">
        <f t="shared" si="274"/>
        <v>0</v>
      </c>
      <c r="CS202" s="1576">
        <f t="shared" si="213"/>
        <v>0</v>
      </c>
      <c r="CT202" s="1495">
        <f t="shared" si="275"/>
        <v>0</v>
      </c>
      <c r="CU202" s="1577">
        <f t="shared" si="276"/>
        <v>0</v>
      </c>
      <c r="CV202" s="1576">
        <f t="shared" si="214"/>
        <v>0</v>
      </c>
      <c r="CW202" s="1495">
        <f t="shared" si="277"/>
        <v>0</v>
      </c>
      <c r="CX202" s="1577">
        <f t="shared" si="278"/>
        <v>0</v>
      </c>
      <c r="CY202" s="1576">
        <f t="shared" si="215"/>
        <v>0</v>
      </c>
      <c r="CZ202" s="1574">
        <f t="shared" si="216"/>
        <v>0</v>
      </c>
      <c r="DA202" s="1578">
        <f t="shared" si="218"/>
        <v>0</v>
      </c>
      <c r="DB202" s="1579">
        <f t="shared" si="219"/>
        <v>0</v>
      </c>
      <c r="DC202" s="1578">
        <f t="shared" si="220"/>
        <v>0</v>
      </c>
      <c r="DD202" s="1578">
        <f t="shared" si="220"/>
        <v>0</v>
      </c>
      <c r="DE202" s="1578">
        <f t="shared" si="220"/>
        <v>0</v>
      </c>
      <c r="DF202" s="1578">
        <f t="shared" si="221"/>
        <v>0</v>
      </c>
      <c r="DG202" s="1538"/>
      <c r="DH202" s="1538"/>
      <c r="DI202" s="1422"/>
      <c r="DJ202" s="1772" t="s">
        <v>1717</v>
      </c>
      <c r="DK202" s="1772"/>
      <c r="DL202" s="1428"/>
      <c r="DM202" s="1428"/>
      <c r="DN202" s="1753" t="s">
        <v>1756</v>
      </c>
      <c r="DO202" s="1759">
        <v>0.65</v>
      </c>
      <c r="DP202" s="1428"/>
      <c r="DQ202" s="1422"/>
      <c r="DR202" s="1428"/>
      <c r="DS202" s="1428"/>
      <c r="DT202" s="1428"/>
      <c r="DU202" s="1428"/>
      <c r="DV202" s="1428"/>
      <c r="DW202" s="1428"/>
      <c r="DX202" s="1428"/>
      <c r="DY202" s="1428"/>
      <c r="DZ202" s="1428"/>
      <c r="EA202" s="1428"/>
      <c r="EB202" s="1428"/>
      <c r="EC202" s="1428"/>
      <c r="ED202" s="1428"/>
      <c r="EE202" s="1428"/>
      <c r="EF202" s="1428"/>
      <c r="EG202" s="1428"/>
      <c r="EH202" s="1428"/>
      <c r="EI202" s="1428"/>
      <c r="EJ202" s="1428"/>
      <c r="EK202" s="1428"/>
      <c r="EL202" s="1428"/>
      <c r="EM202" s="1428"/>
      <c r="EN202" s="1428"/>
      <c r="EO202" s="1428"/>
      <c r="EP202" s="1428"/>
      <c r="EQ202" s="1428"/>
      <c r="ER202" s="1428"/>
      <c r="ES202" s="1428"/>
      <c r="ET202" s="1428"/>
      <c r="EU202" s="1428"/>
    </row>
    <row r="203" spans="1:151" s="1440" customFormat="1" ht="15" customHeight="1">
      <c r="A203" s="1603"/>
      <c r="B203" s="1475"/>
      <c r="C203" s="1475"/>
      <c r="D203" s="1475"/>
      <c r="E203" s="1586"/>
      <c r="F203" s="1586"/>
      <c r="G203" s="1586"/>
      <c r="H203" s="1586"/>
      <c r="I203" s="1586"/>
      <c r="J203" s="1586"/>
      <c r="K203" s="1586"/>
      <c r="L203" s="1475"/>
      <c r="M203" s="1475"/>
      <c r="N203" s="1430"/>
      <c r="O203" s="1430"/>
      <c r="P203" s="2461" t="s">
        <v>1520</v>
      </c>
      <c r="Q203" s="2461" t="s">
        <v>1761</v>
      </c>
      <c r="R203" s="2461" t="s">
        <v>1762</v>
      </c>
      <c r="S203" s="2461" t="s">
        <v>1763</v>
      </c>
      <c r="T203" s="2461" t="s">
        <v>1764</v>
      </c>
      <c r="U203" s="2461" t="s">
        <v>1765</v>
      </c>
      <c r="V203" s="2461" t="s">
        <v>1763</v>
      </c>
      <c r="W203" s="2461" t="s">
        <v>1764</v>
      </c>
      <c r="X203" s="2461" t="s">
        <v>1765</v>
      </c>
      <c r="Y203" s="2505" t="s">
        <v>1763</v>
      </c>
      <c r="Z203" s="2505" t="s">
        <v>1764</v>
      </c>
      <c r="AA203" s="2505" t="s">
        <v>1765</v>
      </c>
      <c r="AB203" s="2505" t="s">
        <v>1763</v>
      </c>
      <c r="AC203" s="2505" t="s">
        <v>1764</v>
      </c>
      <c r="AD203" s="2505" t="s">
        <v>1765</v>
      </c>
      <c r="AE203" s="2505" t="s">
        <v>1763</v>
      </c>
      <c r="AF203" s="2505" t="s">
        <v>1764</v>
      </c>
      <c r="AG203" s="2505" t="s">
        <v>1765</v>
      </c>
      <c r="AH203" s="2461" t="s">
        <v>1086</v>
      </c>
      <c r="AI203" s="2504" t="s">
        <v>1766</v>
      </c>
      <c r="AJ203" s="2504" t="s">
        <v>1766</v>
      </c>
      <c r="AK203" s="2504" t="s">
        <v>1766</v>
      </c>
      <c r="AL203" s="2504" t="s">
        <v>1766</v>
      </c>
      <c r="AM203" s="2504" t="s">
        <v>1766</v>
      </c>
      <c r="AN203" s="2461" t="s">
        <v>1086</v>
      </c>
      <c r="AO203" s="1430"/>
      <c r="AP203" s="1430"/>
      <c r="AQ203" s="1430"/>
      <c r="AR203" s="1430"/>
      <c r="AS203" s="1430"/>
      <c r="AT203" s="1430"/>
      <c r="AU203" s="1430"/>
      <c r="AV203" s="1430"/>
      <c r="AW203" s="1430"/>
      <c r="AX203" s="1430"/>
      <c r="AY203" s="1430"/>
      <c r="AZ203" s="1430"/>
      <c r="BA203" s="1430"/>
      <c r="BB203" s="1430"/>
      <c r="BC203" s="1430"/>
      <c r="BE203" s="1571" t="s">
        <v>1214</v>
      </c>
      <c r="BF203" s="1436">
        <v>22</v>
      </c>
      <c r="BG203" s="1436">
        <v>3</v>
      </c>
      <c r="BH203" s="1436">
        <v>6</v>
      </c>
      <c r="BI203" s="1495" t="b">
        <f t="shared" si="217"/>
        <v>0</v>
      </c>
      <c r="BJ203" s="1450" t="b">
        <f t="shared" si="253"/>
        <v>0</v>
      </c>
      <c r="BK203" s="1572">
        <f t="shared" si="254"/>
        <v>0</v>
      </c>
      <c r="BL203" s="1581">
        <f>IF(SUM(BL$201:BL202,BK203)&gt;$BP$4,0,BK203)</f>
        <v>0</v>
      </c>
      <c r="BM203" s="1436">
        <f t="shared" si="202"/>
        <v>0</v>
      </c>
      <c r="BN203" s="1495">
        <f t="shared" si="203"/>
        <v>0</v>
      </c>
      <c r="BO203" s="1437">
        <f t="shared" si="222"/>
        <v>0</v>
      </c>
      <c r="BP203" s="1762">
        <f t="shared" si="255"/>
        <v>0</v>
      </c>
      <c r="BQ203" s="1577">
        <f t="shared" si="256"/>
        <v>0</v>
      </c>
      <c r="BR203" s="1576">
        <f t="shared" si="204"/>
        <v>0</v>
      </c>
      <c r="BS203" s="1574">
        <f t="shared" si="257"/>
        <v>0</v>
      </c>
      <c r="BT203" s="1577">
        <f t="shared" si="258"/>
        <v>0</v>
      </c>
      <c r="BU203" s="1576">
        <f t="shared" si="205"/>
        <v>0</v>
      </c>
      <c r="BV203" s="1574">
        <f t="shared" si="259"/>
        <v>0</v>
      </c>
      <c r="BW203" s="1577">
        <f t="shared" si="260"/>
        <v>0</v>
      </c>
      <c r="BX203" s="1576">
        <f t="shared" si="206"/>
        <v>0</v>
      </c>
      <c r="BY203" s="1574">
        <f t="shared" si="261"/>
        <v>0</v>
      </c>
      <c r="BZ203" s="1577">
        <f t="shared" si="262"/>
        <v>0</v>
      </c>
      <c r="CA203" s="1576">
        <f t="shared" si="207"/>
        <v>0</v>
      </c>
      <c r="CB203" s="1495">
        <f t="shared" si="263"/>
        <v>0</v>
      </c>
      <c r="CC203" s="1577">
        <f t="shared" si="264"/>
        <v>0</v>
      </c>
      <c r="CD203" s="1576">
        <f t="shared" si="208"/>
        <v>0</v>
      </c>
      <c r="CE203" s="1495">
        <f t="shared" si="265"/>
        <v>0</v>
      </c>
      <c r="CF203" s="1577">
        <f t="shared" si="266"/>
        <v>0</v>
      </c>
      <c r="CG203" s="1576">
        <f t="shared" si="209"/>
        <v>0</v>
      </c>
      <c r="CH203" s="1495">
        <f t="shared" si="267"/>
        <v>0</v>
      </c>
      <c r="CI203" s="1577">
        <f t="shared" si="268"/>
        <v>0</v>
      </c>
      <c r="CJ203" s="1576">
        <f t="shared" si="210"/>
        <v>0</v>
      </c>
      <c r="CK203" s="1495">
        <f t="shared" si="269"/>
        <v>0</v>
      </c>
      <c r="CL203" s="1577">
        <f t="shared" si="270"/>
        <v>0</v>
      </c>
      <c r="CM203" s="1576">
        <f t="shared" si="211"/>
        <v>0</v>
      </c>
      <c r="CN203" s="1495">
        <f t="shared" si="271"/>
        <v>0</v>
      </c>
      <c r="CO203" s="1577">
        <f t="shared" si="272"/>
        <v>0</v>
      </c>
      <c r="CP203" s="1576">
        <f t="shared" si="212"/>
        <v>0</v>
      </c>
      <c r="CQ203" s="1495">
        <f t="shared" si="273"/>
        <v>0</v>
      </c>
      <c r="CR203" s="1577">
        <f t="shared" si="274"/>
        <v>0</v>
      </c>
      <c r="CS203" s="1576">
        <f t="shared" si="213"/>
        <v>0</v>
      </c>
      <c r="CT203" s="1495">
        <f t="shared" si="275"/>
        <v>0</v>
      </c>
      <c r="CU203" s="1577">
        <f t="shared" si="276"/>
        <v>0</v>
      </c>
      <c r="CV203" s="1576">
        <f t="shared" si="214"/>
        <v>0</v>
      </c>
      <c r="CW203" s="1495">
        <f t="shared" si="277"/>
        <v>0</v>
      </c>
      <c r="CX203" s="1577">
        <f t="shared" si="278"/>
        <v>0</v>
      </c>
      <c r="CY203" s="1576">
        <f t="shared" si="215"/>
        <v>0</v>
      </c>
      <c r="CZ203" s="1574">
        <f t="shared" si="216"/>
        <v>0</v>
      </c>
      <c r="DA203" s="1578">
        <f t="shared" si="218"/>
        <v>0</v>
      </c>
      <c r="DB203" s="1579">
        <f t="shared" si="219"/>
        <v>0</v>
      </c>
      <c r="DC203" s="1578">
        <f t="shared" si="220"/>
        <v>0</v>
      </c>
      <c r="DD203" s="1578">
        <f t="shared" si="220"/>
        <v>0</v>
      </c>
      <c r="DE203" s="1578">
        <f t="shared" si="220"/>
        <v>0</v>
      </c>
      <c r="DF203" s="1578">
        <f t="shared" si="221"/>
        <v>0</v>
      </c>
      <c r="DG203" s="1538"/>
      <c r="DH203" s="1538"/>
      <c r="DI203" s="1422"/>
      <c r="DJ203" s="1753" t="s">
        <v>1499</v>
      </c>
      <c r="DK203" s="1773">
        <v>0</v>
      </c>
      <c r="DL203" s="1428"/>
      <c r="DM203" s="1428"/>
      <c r="DN203" s="1753" t="s">
        <v>1758</v>
      </c>
      <c r="DO203" s="1759">
        <v>0.8</v>
      </c>
      <c r="DP203" s="1428"/>
      <c r="DQ203" s="1422"/>
      <c r="DR203" s="1428"/>
      <c r="DS203" s="1428"/>
      <c r="DT203" s="1428"/>
      <c r="DU203" s="1428"/>
      <c r="DV203" s="1428"/>
      <c r="DW203" s="1428"/>
      <c r="DX203" s="1428"/>
      <c r="DY203" s="1428"/>
      <c r="DZ203" s="1428"/>
      <c r="EA203" s="1428"/>
      <c r="EB203" s="1428"/>
      <c r="EC203" s="1428"/>
      <c r="ED203" s="1428"/>
      <c r="EE203" s="1428"/>
      <c r="EF203" s="1428"/>
      <c r="EG203" s="1428"/>
      <c r="EH203" s="1428"/>
      <c r="EI203" s="1428"/>
      <c r="EJ203" s="1428"/>
      <c r="EK203" s="1428"/>
      <c r="EL203" s="1428"/>
      <c r="EM203" s="1428"/>
      <c r="EN203" s="1428"/>
      <c r="EO203" s="1428"/>
      <c r="EP203" s="1428"/>
      <c r="EQ203" s="1428"/>
      <c r="ER203" s="1428"/>
      <c r="ES203" s="1428"/>
      <c r="ET203" s="1428"/>
      <c r="EU203" s="1428"/>
    </row>
    <row r="204" spans="1:151" s="1440" customFormat="1" ht="15" customHeight="1">
      <c r="A204" s="1603"/>
      <c r="B204" s="1680" t="s">
        <v>1755</v>
      </c>
      <c r="C204" s="1628"/>
      <c r="D204" s="1628"/>
      <c r="E204" s="1628"/>
      <c r="F204" s="1628"/>
      <c r="G204" s="1628"/>
      <c r="H204" s="1628"/>
      <c r="L204" s="1422"/>
      <c r="M204" s="1422"/>
      <c r="N204" s="1430"/>
      <c r="O204" s="1430"/>
      <c r="P204" s="2504"/>
      <c r="Q204" s="2461"/>
      <c r="R204" s="2461"/>
      <c r="S204" s="2461"/>
      <c r="T204" s="2461"/>
      <c r="U204" s="2461"/>
      <c r="V204" s="2461"/>
      <c r="W204" s="2461"/>
      <c r="X204" s="2461"/>
      <c r="Y204" s="2461"/>
      <c r="Z204" s="2461"/>
      <c r="AA204" s="2461"/>
      <c r="AB204" s="2461"/>
      <c r="AC204" s="2461"/>
      <c r="AD204" s="2461"/>
      <c r="AE204" s="2461"/>
      <c r="AF204" s="2461"/>
      <c r="AG204" s="2461"/>
      <c r="AH204" s="2461"/>
      <c r="AI204" s="2504"/>
      <c r="AJ204" s="2504"/>
      <c r="AK204" s="2504"/>
      <c r="AL204" s="2504"/>
      <c r="AM204" s="2504"/>
      <c r="AN204" s="2461"/>
      <c r="AO204" s="1430"/>
      <c r="AP204" s="1430"/>
      <c r="AQ204" s="1430"/>
      <c r="AR204" s="1430"/>
      <c r="AS204" s="1430"/>
      <c r="AT204" s="1430"/>
      <c r="AU204" s="1430"/>
      <c r="AV204" s="1430"/>
      <c r="AW204" s="1430"/>
      <c r="AX204" s="1430"/>
      <c r="AY204" s="1430"/>
      <c r="AZ204" s="1430"/>
      <c r="BA204" s="1430"/>
      <c r="BB204" s="1430"/>
      <c r="BC204" s="1430"/>
      <c r="BD204" s="1774"/>
      <c r="BE204" s="1571" t="s">
        <v>1214</v>
      </c>
      <c r="BF204" s="1436">
        <v>22</v>
      </c>
      <c r="BG204" s="1436">
        <v>4</v>
      </c>
      <c r="BH204" s="1436">
        <v>7</v>
      </c>
      <c r="BI204" s="1495" t="b">
        <f t="shared" si="217"/>
        <v>0</v>
      </c>
      <c r="BJ204" s="1450" t="b">
        <f t="shared" si="253"/>
        <v>0</v>
      </c>
      <c r="BK204" s="1572">
        <f t="shared" si="254"/>
        <v>0</v>
      </c>
      <c r="BL204" s="1581">
        <f>IF(SUM(BL$201:BL203,BK204)&gt;$BP$4,0,BK204)</f>
        <v>0</v>
      </c>
      <c r="BM204" s="1436">
        <f t="shared" si="202"/>
        <v>0</v>
      </c>
      <c r="BN204" s="1495">
        <f t="shared" si="203"/>
        <v>0</v>
      </c>
      <c r="BO204" s="1437">
        <f t="shared" si="222"/>
        <v>0</v>
      </c>
      <c r="BP204" s="1762">
        <f t="shared" si="255"/>
        <v>0</v>
      </c>
      <c r="BQ204" s="1577">
        <f t="shared" si="256"/>
        <v>0</v>
      </c>
      <c r="BR204" s="1576">
        <f t="shared" si="204"/>
        <v>0</v>
      </c>
      <c r="BS204" s="1574">
        <f t="shared" si="257"/>
        <v>0</v>
      </c>
      <c r="BT204" s="1577">
        <f t="shared" si="258"/>
        <v>0</v>
      </c>
      <c r="BU204" s="1576">
        <f t="shared" si="205"/>
        <v>0</v>
      </c>
      <c r="BV204" s="1574">
        <f t="shared" si="259"/>
        <v>0</v>
      </c>
      <c r="BW204" s="1577">
        <f t="shared" si="260"/>
        <v>0</v>
      </c>
      <c r="BX204" s="1576">
        <f t="shared" si="206"/>
        <v>0</v>
      </c>
      <c r="BY204" s="1574">
        <f t="shared" si="261"/>
        <v>0</v>
      </c>
      <c r="BZ204" s="1577">
        <f t="shared" si="262"/>
        <v>0</v>
      </c>
      <c r="CA204" s="1576">
        <f t="shared" si="207"/>
        <v>0</v>
      </c>
      <c r="CB204" s="1495">
        <f t="shared" si="263"/>
        <v>0</v>
      </c>
      <c r="CC204" s="1577">
        <f t="shared" si="264"/>
        <v>0</v>
      </c>
      <c r="CD204" s="1576">
        <f t="shared" si="208"/>
        <v>0</v>
      </c>
      <c r="CE204" s="1495">
        <f t="shared" si="265"/>
        <v>0</v>
      </c>
      <c r="CF204" s="1577">
        <f t="shared" si="266"/>
        <v>0</v>
      </c>
      <c r="CG204" s="1576">
        <f t="shared" si="209"/>
        <v>0</v>
      </c>
      <c r="CH204" s="1495">
        <f t="shared" si="267"/>
        <v>0</v>
      </c>
      <c r="CI204" s="1577">
        <f t="shared" si="268"/>
        <v>0</v>
      </c>
      <c r="CJ204" s="1576">
        <f t="shared" si="210"/>
        <v>0</v>
      </c>
      <c r="CK204" s="1495">
        <f t="shared" si="269"/>
        <v>0</v>
      </c>
      <c r="CL204" s="1577">
        <f t="shared" si="270"/>
        <v>0</v>
      </c>
      <c r="CM204" s="1576">
        <f t="shared" si="211"/>
        <v>0</v>
      </c>
      <c r="CN204" s="1495">
        <f t="shared" si="271"/>
        <v>0</v>
      </c>
      <c r="CO204" s="1577">
        <f t="shared" si="272"/>
        <v>0</v>
      </c>
      <c r="CP204" s="1576">
        <f t="shared" si="212"/>
        <v>0</v>
      </c>
      <c r="CQ204" s="1495">
        <f t="shared" si="273"/>
        <v>0</v>
      </c>
      <c r="CR204" s="1577">
        <f t="shared" si="274"/>
        <v>0</v>
      </c>
      <c r="CS204" s="1576">
        <f t="shared" si="213"/>
        <v>0</v>
      </c>
      <c r="CT204" s="1495">
        <f t="shared" si="275"/>
        <v>0</v>
      </c>
      <c r="CU204" s="1577">
        <f t="shared" si="276"/>
        <v>0</v>
      </c>
      <c r="CV204" s="1576">
        <f t="shared" si="214"/>
        <v>0</v>
      </c>
      <c r="CW204" s="1495">
        <f t="shared" si="277"/>
        <v>0</v>
      </c>
      <c r="CX204" s="1577">
        <f t="shared" si="278"/>
        <v>0</v>
      </c>
      <c r="CY204" s="1576">
        <f t="shared" si="215"/>
        <v>0</v>
      </c>
      <c r="CZ204" s="1574">
        <f t="shared" si="216"/>
        <v>0</v>
      </c>
      <c r="DA204" s="1578">
        <f t="shared" si="218"/>
        <v>0</v>
      </c>
      <c r="DB204" s="1579">
        <f t="shared" si="219"/>
        <v>0</v>
      </c>
      <c r="DC204" s="1578">
        <f t="shared" si="220"/>
        <v>0</v>
      </c>
      <c r="DD204" s="1578">
        <f t="shared" si="220"/>
        <v>0</v>
      </c>
      <c r="DE204" s="1578">
        <f t="shared" si="220"/>
        <v>0</v>
      </c>
      <c r="DF204" s="1578">
        <f t="shared" si="221"/>
        <v>0</v>
      </c>
      <c r="DG204" s="1538"/>
      <c r="DH204" s="1538"/>
      <c r="DI204" s="1422"/>
      <c r="DJ204" s="1775" t="s">
        <v>1741</v>
      </c>
      <c r="DK204" s="1776">
        <v>1.3</v>
      </c>
      <c r="DL204" s="1428"/>
      <c r="DM204" s="1428"/>
      <c r="DN204" s="1753" t="s">
        <v>1767</v>
      </c>
      <c r="DO204" s="1759">
        <v>0.85</v>
      </c>
      <c r="DP204" s="1428"/>
      <c r="DQ204" s="1422"/>
      <c r="DR204" s="1428"/>
      <c r="DS204" s="1428"/>
      <c r="DT204" s="1428"/>
      <c r="DU204" s="1428"/>
      <c r="DV204" s="1428"/>
      <c r="DW204" s="1428"/>
      <c r="DX204" s="1428"/>
      <c r="DY204" s="1428"/>
      <c r="DZ204" s="1428"/>
      <c r="EA204" s="1428"/>
      <c r="EB204" s="1428"/>
      <c r="EC204" s="1428"/>
      <c r="ED204" s="1428"/>
      <c r="EE204" s="1428"/>
      <c r="EF204" s="1428"/>
      <c r="EG204" s="1428"/>
      <c r="EH204" s="1428"/>
      <c r="EI204" s="1428"/>
      <c r="EJ204" s="1428"/>
      <c r="EK204" s="1428"/>
      <c r="EL204" s="1428"/>
      <c r="EM204" s="1428"/>
      <c r="EN204" s="1428"/>
      <c r="EO204" s="1428"/>
      <c r="EP204" s="1428"/>
      <c r="EQ204" s="1428"/>
      <c r="ER204" s="1428"/>
      <c r="ES204" s="1428"/>
      <c r="ET204" s="1428"/>
      <c r="EU204" s="1428"/>
    </row>
    <row r="205" spans="1:151" s="1440" customFormat="1" ht="15" customHeight="1">
      <c r="A205" s="1603"/>
      <c r="B205" s="1475"/>
      <c r="C205" s="1422"/>
      <c r="D205" s="1475"/>
      <c r="E205" s="1586"/>
      <c r="F205" s="1586"/>
      <c r="G205" s="1586"/>
      <c r="H205" s="1586"/>
      <c r="I205" s="1586"/>
      <c r="J205" s="1586"/>
      <c r="K205" s="1586"/>
      <c r="L205" s="1475"/>
      <c r="M205" s="1475"/>
      <c r="N205" s="1430"/>
      <c r="O205" s="1640" t="s">
        <v>800</v>
      </c>
      <c r="P205" s="1777">
        <v>31</v>
      </c>
      <c r="Q205" s="1778">
        <f>'Potable Water Calculator'!D36</f>
        <v>82</v>
      </c>
      <c r="R205" s="1779">
        <f>'Potable Water Calculator'!C207</f>
        <v>0.5</v>
      </c>
      <c r="S205" s="1495">
        <f t="shared" ref="S205:S216" si="279">$S$195*$P205</f>
        <v>0</v>
      </c>
      <c r="T205" s="1495">
        <f t="shared" ref="T205:T216" si="280">S205*$U$195+S205*$R205*$V$195+(S205-$Q205*$DO$195)*$W$195*(($Q205*$DO$195)&lt;S205)</f>
        <v>0</v>
      </c>
      <c r="U205" s="1495">
        <f t="shared" ref="U205:U216" si="281">(T205*T$202)/(1000*$T$195)</f>
        <v>0</v>
      </c>
      <c r="V205" s="1495">
        <f t="shared" ref="V205:V216" si="282">$S$196*$P205</f>
        <v>0</v>
      </c>
      <c r="W205" s="1495">
        <f t="shared" ref="W205:W216" si="283">V205*$U$196+V205*$R205*$V$196+(V205-$Q205*$DO$195)*$W$196*(($Q205*$DO$195)&lt;V205)</f>
        <v>0</v>
      </c>
      <c r="X205" s="1495">
        <f t="shared" ref="X205:X216" si="284">(W205*W$202)/(1000*$T$196)</f>
        <v>0</v>
      </c>
      <c r="Y205" s="1495">
        <f t="shared" ref="Y205:Y216" si="285">$S$197*$P205</f>
        <v>0</v>
      </c>
      <c r="Z205" s="1495">
        <f t="shared" ref="Z205:Z216" si="286">Y205*$U$197+Y205*$R205*$V$197+(Y205-$Q205*$DO$195)*$W$197*(($Q205*$DO$195)&lt;Y205)</f>
        <v>0</v>
      </c>
      <c r="AA205" s="1495">
        <f t="shared" ref="AA205:AA216" si="287">(Z205*Z$202)/(1000*$T$197)</f>
        <v>0</v>
      </c>
      <c r="AB205" s="1495">
        <f t="shared" ref="AB205:AB216" si="288">$S$198*$P205</f>
        <v>0</v>
      </c>
      <c r="AC205" s="1495">
        <f t="shared" ref="AC205:AC216" si="289">AB205*$U$198+AB205*$R205*$V$198+(AB205-$Q205*$DO$195)*$W$198*(($Q205*$DO$195)&lt;AB205)</f>
        <v>0</v>
      </c>
      <c r="AD205" s="1495">
        <f t="shared" ref="AD205:AD216" si="290">(AC205*AC$202)/(1000*$T$198)</f>
        <v>0</v>
      </c>
      <c r="AE205" s="1495">
        <f t="shared" ref="AE205:AE216" si="291">$S$199*$P205</f>
        <v>0</v>
      </c>
      <c r="AF205" s="1495">
        <f t="shared" ref="AF205:AF216" si="292">AE205*$U$199+AE205*$R205*$V$199+(AE205-$Q205*$DO$195)*$W$199*(($Q205*$DO$195)&lt;AE205)</f>
        <v>0</v>
      </c>
      <c r="AG205" s="1495">
        <f t="shared" ref="AG205:AG216" si="293">(AF205*AF$202)/(1000*$T$199)</f>
        <v>0</v>
      </c>
      <c r="AH205" s="1436">
        <f t="shared" ref="AH205:AH216" si="294">AG205+AD205+AA205+X205+U205</f>
        <v>0</v>
      </c>
      <c r="AI205" s="1495">
        <f t="shared" ref="AI205:AI216" si="295">$AL$195*$P205/1000*$P$195*$R205/$AM$195</f>
        <v>0</v>
      </c>
      <c r="AJ205" s="1495">
        <f t="shared" ref="AJ205:AJ216" si="296">$AL$195*$P205/1000*$P$196*$R205/$AM$195</f>
        <v>0</v>
      </c>
      <c r="AK205" s="1495">
        <f t="shared" ref="AK205:AK216" si="297">$AL$195*$P205/1000*$P$197*$R205/$AM$195</f>
        <v>0</v>
      </c>
      <c r="AL205" s="1495">
        <f t="shared" ref="AL205:AL216" si="298">$AL$195*$P205/1000*$P$198*$R205/$AM$195</f>
        <v>0</v>
      </c>
      <c r="AM205" s="1495">
        <f t="shared" ref="AM205:AM216" si="299">$AL$195*$P205/1000*$P$199*$R205/$AM$195</f>
        <v>0</v>
      </c>
      <c r="AN205" s="1495">
        <f t="shared" ref="AN205:AN216" si="300">SUM(AI205:AM205)</f>
        <v>0</v>
      </c>
      <c r="AO205" s="1430"/>
      <c r="AP205" s="1430"/>
      <c r="AQ205" s="1430"/>
      <c r="AR205" s="1430"/>
      <c r="AS205" s="1430"/>
      <c r="AT205" s="1430"/>
      <c r="AU205" s="1430"/>
      <c r="AV205" s="1430"/>
      <c r="AW205" s="1430"/>
      <c r="AX205" s="1430"/>
      <c r="AY205" s="1430"/>
      <c r="AZ205" s="1430"/>
      <c r="BA205" s="1430"/>
      <c r="BB205" s="1430"/>
      <c r="BC205" s="1430"/>
      <c r="BD205" s="1774"/>
      <c r="BE205" s="1571" t="s">
        <v>1214</v>
      </c>
      <c r="BF205" s="1436">
        <v>22</v>
      </c>
      <c r="BG205" s="1436">
        <v>5</v>
      </c>
      <c r="BH205" s="1436">
        <v>1</v>
      </c>
      <c r="BI205" s="1495" t="b">
        <f t="shared" si="217"/>
        <v>1</v>
      </c>
      <c r="BJ205" s="1450" t="b">
        <f t="shared" si="253"/>
        <v>0</v>
      </c>
      <c r="BK205" s="1572">
        <f t="shared" si="254"/>
        <v>0</v>
      </c>
      <c r="BL205" s="1581">
        <f>IF(SUM(BL$201:BL204,BK205)&gt;$BP$4,0,BK205)</f>
        <v>0</v>
      </c>
      <c r="BM205" s="1436">
        <f t="shared" si="202"/>
        <v>0</v>
      </c>
      <c r="BN205" s="1495">
        <f t="shared" si="203"/>
        <v>0</v>
      </c>
      <c r="BO205" s="1437">
        <f t="shared" si="222"/>
        <v>0</v>
      </c>
      <c r="BP205" s="1762">
        <f t="shared" si="255"/>
        <v>0</v>
      </c>
      <c r="BQ205" s="1577">
        <f t="shared" si="256"/>
        <v>0</v>
      </c>
      <c r="BR205" s="1576">
        <f t="shared" si="204"/>
        <v>0</v>
      </c>
      <c r="BS205" s="1574">
        <f t="shared" si="257"/>
        <v>0</v>
      </c>
      <c r="BT205" s="1577">
        <f t="shared" si="258"/>
        <v>0</v>
      </c>
      <c r="BU205" s="1576">
        <f t="shared" si="205"/>
        <v>0</v>
      </c>
      <c r="BV205" s="1574">
        <f t="shared" si="259"/>
        <v>0</v>
      </c>
      <c r="BW205" s="1577">
        <f t="shared" si="260"/>
        <v>0</v>
      </c>
      <c r="BX205" s="1576">
        <f t="shared" si="206"/>
        <v>0</v>
      </c>
      <c r="BY205" s="1574">
        <f t="shared" si="261"/>
        <v>0</v>
      </c>
      <c r="BZ205" s="1577">
        <f t="shared" si="262"/>
        <v>0</v>
      </c>
      <c r="CA205" s="1576">
        <f t="shared" si="207"/>
        <v>0</v>
      </c>
      <c r="CB205" s="1495">
        <f t="shared" si="263"/>
        <v>0</v>
      </c>
      <c r="CC205" s="1577">
        <f t="shared" si="264"/>
        <v>0</v>
      </c>
      <c r="CD205" s="1576">
        <f t="shared" si="208"/>
        <v>0</v>
      </c>
      <c r="CE205" s="1495">
        <f t="shared" si="265"/>
        <v>0</v>
      </c>
      <c r="CF205" s="1577">
        <f t="shared" si="266"/>
        <v>0</v>
      </c>
      <c r="CG205" s="1576">
        <f t="shared" si="209"/>
        <v>0</v>
      </c>
      <c r="CH205" s="1495">
        <f t="shared" si="267"/>
        <v>0</v>
      </c>
      <c r="CI205" s="1577">
        <f t="shared" si="268"/>
        <v>0</v>
      </c>
      <c r="CJ205" s="1576">
        <f t="shared" si="210"/>
        <v>0</v>
      </c>
      <c r="CK205" s="1495">
        <f t="shared" si="269"/>
        <v>0</v>
      </c>
      <c r="CL205" s="1577">
        <f t="shared" si="270"/>
        <v>0</v>
      </c>
      <c r="CM205" s="1576">
        <f t="shared" si="211"/>
        <v>0</v>
      </c>
      <c r="CN205" s="1495">
        <f t="shared" si="271"/>
        <v>0</v>
      </c>
      <c r="CO205" s="1577">
        <f t="shared" si="272"/>
        <v>0</v>
      </c>
      <c r="CP205" s="1576">
        <f t="shared" si="212"/>
        <v>0</v>
      </c>
      <c r="CQ205" s="1495">
        <f t="shared" si="273"/>
        <v>0</v>
      </c>
      <c r="CR205" s="1577">
        <f t="shared" si="274"/>
        <v>0</v>
      </c>
      <c r="CS205" s="1576">
        <f t="shared" si="213"/>
        <v>0</v>
      </c>
      <c r="CT205" s="1495">
        <f t="shared" si="275"/>
        <v>0</v>
      </c>
      <c r="CU205" s="1577">
        <f t="shared" si="276"/>
        <v>0</v>
      </c>
      <c r="CV205" s="1576">
        <f t="shared" si="214"/>
        <v>0</v>
      </c>
      <c r="CW205" s="1495">
        <f t="shared" si="277"/>
        <v>0</v>
      </c>
      <c r="CX205" s="1577">
        <f t="shared" si="278"/>
        <v>0</v>
      </c>
      <c r="CY205" s="1576">
        <f t="shared" si="215"/>
        <v>0</v>
      </c>
      <c r="CZ205" s="1574">
        <f t="shared" si="216"/>
        <v>0</v>
      </c>
      <c r="DA205" s="1578">
        <f t="shared" si="218"/>
        <v>0</v>
      </c>
      <c r="DB205" s="1579">
        <f t="shared" si="219"/>
        <v>0</v>
      </c>
      <c r="DC205" s="1578">
        <f t="shared" si="220"/>
        <v>0</v>
      </c>
      <c r="DD205" s="1578">
        <f t="shared" si="220"/>
        <v>0</v>
      </c>
      <c r="DE205" s="1578">
        <f t="shared" si="220"/>
        <v>0</v>
      </c>
      <c r="DF205" s="1578">
        <f t="shared" si="221"/>
        <v>0</v>
      </c>
      <c r="DG205" s="1538"/>
      <c r="DH205" s="1538"/>
      <c r="DI205" s="1422"/>
      <c r="DJ205" s="1775" t="s">
        <v>1712</v>
      </c>
      <c r="DK205" s="1773">
        <v>1</v>
      </c>
      <c r="DL205" s="1428"/>
      <c r="DM205" s="1428"/>
      <c r="DN205" s="1753" t="s">
        <v>1731</v>
      </c>
      <c r="DO205" s="1759">
        <v>0.9</v>
      </c>
      <c r="DP205" s="1428"/>
      <c r="DQ205" s="1422"/>
      <c r="DR205" s="1428"/>
      <c r="DS205" s="1428"/>
      <c r="DT205" s="1428"/>
      <c r="DU205" s="1428"/>
      <c r="DV205" s="1428"/>
      <c r="DW205" s="1428"/>
      <c r="DX205" s="1428"/>
      <c r="DY205" s="1428"/>
      <c r="DZ205" s="1428"/>
      <c r="EA205" s="1428"/>
      <c r="EB205" s="1428"/>
      <c r="EC205" s="1428"/>
      <c r="ED205" s="1428"/>
      <c r="EE205" s="1428"/>
      <c r="EF205" s="1428"/>
      <c r="EG205" s="1428"/>
      <c r="EH205" s="1428"/>
      <c r="EI205" s="1428"/>
      <c r="EJ205" s="1428"/>
      <c r="EK205" s="1428"/>
      <c r="EL205" s="1428"/>
      <c r="EM205" s="1428"/>
      <c r="EN205" s="1428"/>
      <c r="EO205" s="1428"/>
      <c r="EP205" s="1428"/>
      <c r="EQ205" s="1428"/>
      <c r="ER205" s="1428"/>
      <c r="ES205" s="1428"/>
      <c r="ET205" s="1428"/>
      <c r="EU205" s="1428"/>
    </row>
    <row r="206" spans="1:151" s="1440" customFormat="1" ht="15" customHeight="1">
      <c r="A206" s="1603"/>
      <c r="B206" s="1475"/>
      <c r="C206" s="1596" t="s">
        <v>1760</v>
      </c>
      <c r="D206" s="1700" t="str">
        <f>C178</f>
        <v>Actual Building</v>
      </c>
      <c r="E206" s="1682" t="str">
        <f>D178</f>
        <v>Notional Building</v>
      </c>
      <c r="F206" s="1586"/>
      <c r="G206" s="1586"/>
      <c r="H206" s="1586"/>
      <c r="I206" s="1586"/>
      <c r="J206" s="1586"/>
      <c r="K206" s="1586"/>
      <c r="L206" s="1475"/>
      <c r="M206" s="1475"/>
      <c r="N206" s="1430"/>
      <c r="O206" s="1640" t="s">
        <v>801</v>
      </c>
      <c r="P206" s="1777">
        <v>28</v>
      </c>
      <c r="Q206" s="1778">
        <f>'Potable Water Calculator'!D37</f>
        <v>60</v>
      </c>
      <c r="R206" s="1779">
        <f>'Potable Water Calculator'!C208</f>
        <v>0.5</v>
      </c>
      <c r="S206" s="1495">
        <f t="shared" si="279"/>
        <v>0</v>
      </c>
      <c r="T206" s="1495">
        <f t="shared" si="280"/>
        <v>0</v>
      </c>
      <c r="U206" s="1495">
        <f t="shared" si="281"/>
        <v>0</v>
      </c>
      <c r="V206" s="1495">
        <f t="shared" si="282"/>
        <v>0</v>
      </c>
      <c r="W206" s="1495">
        <f t="shared" si="283"/>
        <v>0</v>
      </c>
      <c r="X206" s="1495">
        <f t="shared" si="284"/>
        <v>0</v>
      </c>
      <c r="Y206" s="1495">
        <f t="shared" si="285"/>
        <v>0</v>
      </c>
      <c r="Z206" s="1495">
        <f t="shared" si="286"/>
        <v>0</v>
      </c>
      <c r="AA206" s="1495">
        <f t="shared" si="287"/>
        <v>0</v>
      </c>
      <c r="AB206" s="1495">
        <f t="shared" si="288"/>
        <v>0</v>
      </c>
      <c r="AC206" s="1495">
        <f t="shared" si="289"/>
        <v>0</v>
      </c>
      <c r="AD206" s="1495">
        <f t="shared" si="290"/>
        <v>0</v>
      </c>
      <c r="AE206" s="1495">
        <f t="shared" si="291"/>
        <v>0</v>
      </c>
      <c r="AF206" s="1495">
        <f t="shared" si="292"/>
        <v>0</v>
      </c>
      <c r="AG206" s="1495">
        <f t="shared" si="293"/>
        <v>0</v>
      </c>
      <c r="AH206" s="1436">
        <f t="shared" si="294"/>
        <v>0</v>
      </c>
      <c r="AI206" s="1495">
        <f t="shared" si="295"/>
        <v>0</v>
      </c>
      <c r="AJ206" s="1495">
        <f t="shared" si="296"/>
        <v>0</v>
      </c>
      <c r="AK206" s="1495">
        <f t="shared" si="297"/>
        <v>0</v>
      </c>
      <c r="AL206" s="1495">
        <f t="shared" si="298"/>
        <v>0</v>
      </c>
      <c r="AM206" s="1495">
        <f t="shared" si="299"/>
        <v>0</v>
      </c>
      <c r="AN206" s="1495">
        <f t="shared" si="300"/>
        <v>0</v>
      </c>
      <c r="AO206" s="1430"/>
      <c r="AP206" s="1430"/>
      <c r="AQ206" s="1430"/>
      <c r="AR206" s="1430"/>
      <c r="AS206" s="1430"/>
      <c r="AT206" s="1430"/>
      <c r="AU206" s="1430"/>
      <c r="AV206" s="1430"/>
      <c r="AW206" s="1430"/>
      <c r="AX206" s="1430"/>
      <c r="AY206" s="1430"/>
      <c r="AZ206" s="1430"/>
      <c r="BA206" s="1430"/>
      <c r="BB206" s="1430"/>
      <c r="BC206" s="1430"/>
      <c r="BD206" s="1774"/>
      <c r="BE206" s="1571" t="s">
        <v>1214</v>
      </c>
      <c r="BF206" s="1436">
        <v>22</v>
      </c>
      <c r="BG206" s="1436">
        <v>6</v>
      </c>
      <c r="BH206" s="1436">
        <v>2</v>
      </c>
      <c r="BI206" s="1495" t="b">
        <f t="shared" si="217"/>
        <v>1</v>
      </c>
      <c r="BJ206" s="1450" t="b">
        <f t="shared" si="253"/>
        <v>0</v>
      </c>
      <c r="BK206" s="1572">
        <f t="shared" si="254"/>
        <v>0</v>
      </c>
      <c r="BL206" s="1581">
        <f>IF(SUM(BL$201:BL205,BK206)&gt;$BP$4,0,BK206)</f>
        <v>0</v>
      </c>
      <c r="BM206" s="1436">
        <f t="shared" si="202"/>
        <v>0</v>
      </c>
      <c r="BN206" s="1495">
        <f t="shared" si="203"/>
        <v>0</v>
      </c>
      <c r="BO206" s="1437">
        <f t="shared" si="222"/>
        <v>0</v>
      </c>
      <c r="BP206" s="1762">
        <f t="shared" si="255"/>
        <v>0</v>
      </c>
      <c r="BQ206" s="1577">
        <f t="shared" si="256"/>
        <v>0</v>
      </c>
      <c r="BR206" s="1576">
        <f t="shared" si="204"/>
        <v>0</v>
      </c>
      <c r="BS206" s="1574">
        <f t="shared" si="257"/>
        <v>0</v>
      </c>
      <c r="BT206" s="1577">
        <f t="shared" si="258"/>
        <v>0</v>
      </c>
      <c r="BU206" s="1576">
        <f t="shared" si="205"/>
        <v>0</v>
      </c>
      <c r="BV206" s="1574">
        <f t="shared" si="259"/>
        <v>0</v>
      </c>
      <c r="BW206" s="1577">
        <f t="shared" si="260"/>
        <v>0</v>
      </c>
      <c r="BX206" s="1576">
        <f t="shared" si="206"/>
        <v>0</v>
      </c>
      <c r="BY206" s="1574">
        <f t="shared" si="261"/>
        <v>0</v>
      </c>
      <c r="BZ206" s="1577">
        <f t="shared" si="262"/>
        <v>0</v>
      </c>
      <c r="CA206" s="1576">
        <f t="shared" si="207"/>
        <v>0</v>
      </c>
      <c r="CB206" s="1495">
        <f t="shared" si="263"/>
        <v>0</v>
      </c>
      <c r="CC206" s="1577">
        <f t="shared" si="264"/>
        <v>0</v>
      </c>
      <c r="CD206" s="1576">
        <f t="shared" si="208"/>
        <v>0</v>
      </c>
      <c r="CE206" s="1495">
        <f t="shared" si="265"/>
        <v>0</v>
      </c>
      <c r="CF206" s="1577">
        <f t="shared" si="266"/>
        <v>0</v>
      </c>
      <c r="CG206" s="1576">
        <f t="shared" si="209"/>
        <v>0</v>
      </c>
      <c r="CH206" s="1495">
        <f t="shared" si="267"/>
        <v>0</v>
      </c>
      <c r="CI206" s="1577">
        <f t="shared" si="268"/>
        <v>0</v>
      </c>
      <c r="CJ206" s="1576">
        <f t="shared" si="210"/>
        <v>0</v>
      </c>
      <c r="CK206" s="1495">
        <f t="shared" si="269"/>
        <v>0</v>
      </c>
      <c r="CL206" s="1577">
        <f t="shared" si="270"/>
        <v>0</v>
      </c>
      <c r="CM206" s="1576">
        <f t="shared" si="211"/>
        <v>0</v>
      </c>
      <c r="CN206" s="1495">
        <f t="shared" si="271"/>
        <v>0</v>
      </c>
      <c r="CO206" s="1577">
        <f t="shared" si="272"/>
        <v>0</v>
      </c>
      <c r="CP206" s="1576">
        <f t="shared" si="212"/>
        <v>0</v>
      </c>
      <c r="CQ206" s="1495">
        <f t="shared" si="273"/>
        <v>0</v>
      </c>
      <c r="CR206" s="1577">
        <f t="shared" si="274"/>
        <v>0</v>
      </c>
      <c r="CS206" s="1576">
        <f t="shared" si="213"/>
        <v>0</v>
      </c>
      <c r="CT206" s="1495">
        <f t="shared" si="275"/>
        <v>0</v>
      </c>
      <c r="CU206" s="1577">
        <f t="shared" si="276"/>
        <v>0</v>
      </c>
      <c r="CV206" s="1576">
        <f t="shared" si="214"/>
        <v>0</v>
      </c>
      <c r="CW206" s="1495">
        <f t="shared" si="277"/>
        <v>0</v>
      </c>
      <c r="CX206" s="1577">
        <f t="shared" si="278"/>
        <v>0</v>
      </c>
      <c r="CY206" s="1576">
        <f t="shared" si="215"/>
        <v>0</v>
      </c>
      <c r="CZ206" s="1574">
        <f t="shared" si="216"/>
        <v>0</v>
      </c>
      <c r="DA206" s="1578">
        <f t="shared" si="218"/>
        <v>0</v>
      </c>
      <c r="DB206" s="1579">
        <f t="shared" si="219"/>
        <v>0</v>
      </c>
      <c r="DC206" s="1578">
        <f t="shared" si="220"/>
        <v>0</v>
      </c>
      <c r="DD206" s="1578">
        <f t="shared" si="220"/>
        <v>0</v>
      </c>
      <c r="DE206" s="1578">
        <f t="shared" si="220"/>
        <v>0</v>
      </c>
      <c r="DF206" s="1578">
        <f t="shared" si="221"/>
        <v>0</v>
      </c>
      <c r="DG206" s="1538"/>
      <c r="DH206" s="1538"/>
      <c r="DI206" s="1422"/>
      <c r="DJ206" s="1775" t="s">
        <v>1750</v>
      </c>
      <c r="DK206" s="1773">
        <v>0.7</v>
      </c>
      <c r="DL206" s="1428"/>
      <c r="DM206" s="1428"/>
      <c r="DN206" s="1753" t="s">
        <v>1768</v>
      </c>
      <c r="DO206" s="1759">
        <v>0.5</v>
      </c>
      <c r="DP206" s="1428"/>
      <c r="DQ206" s="1422"/>
      <c r="DR206" s="1428"/>
      <c r="DS206" s="1428"/>
      <c r="DT206" s="1428"/>
      <c r="DU206" s="1428"/>
      <c r="DV206" s="1428"/>
      <c r="DW206" s="1428"/>
      <c r="DX206" s="1428"/>
      <c r="DY206" s="1428"/>
      <c r="DZ206" s="1428"/>
      <c r="EA206" s="1428"/>
      <c r="EB206" s="1428"/>
      <c r="EC206" s="1428"/>
      <c r="ED206" s="1428"/>
      <c r="EE206" s="1428"/>
      <c r="EF206" s="1428"/>
      <c r="EG206" s="1428"/>
      <c r="EH206" s="1428"/>
      <c r="EI206" s="1428"/>
      <c r="EJ206" s="1428"/>
      <c r="EK206" s="1428"/>
      <c r="EL206" s="1428"/>
      <c r="EM206" s="1428"/>
      <c r="EN206" s="1428"/>
      <c r="EO206" s="1428"/>
      <c r="EP206" s="1428"/>
      <c r="EQ206" s="1428"/>
      <c r="ER206" s="1428"/>
      <c r="ES206" s="1428"/>
      <c r="ET206" s="1428"/>
      <c r="EU206" s="1428"/>
    </row>
    <row r="207" spans="1:151" s="1440" customFormat="1" ht="15" customHeight="1">
      <c r="A207" s="1603"/>
      <c r="B207" s="1600" t="s">
        <v>800</v>
      </c>
      <c r="C207" s="1674">
        <f>IFERROR(VLOOKUP($D$32,'Rainfall data'!$R$6:$AD$11,N224,FALSE),"")</f>
        <v>0.5</v>
      </c>
      <c r="D207" s="1601">
        <f t="shared" ref="D207:D218" si="301">AH205</f>
        <v>0</v>
      </c>
      <c r="E207" s="1601">
        <f t="shared" ref="E207:E218" si="302">AN205</f>
        <v>0</v>
      </c>
      <c r="F207" s="1586"/>
      <c r="G207" s="1586"/>
      <c r="H207" s="1586"/>
      <c r="I207" s="1586"/>
      <c r="J207" s="1586"/>
      <c r="K207" s="1586"/>
      <c r="L207" s="1475"/>
      <c r="M207" s="1475"/>
      <c r="N207" s="1430"/>
      <c r="O207" s="1640" t="s">
        <v>881</v>
      </c>
      <c r="P207" s="1777">
        <v>31</v>
      </c>
      <c r="Q207" s="1778">
        <f>'Potable Water Calculator'!D38</f>
        <v>52</v>
      </c>
      <c r="R207" s="1779">
        <f>'Potable Water Calculator'!C209</f>
        <v>0.5</v>
      </c>
      <c r="S207" s="1495">
        <f t="shared" si="279"/>
        <v>0</v>
      </c>
      <c r="T207" s="1495">
        <f t="shared" si="280"/>
        <v>0</v>
      </c>
      <c r="U207" s="1495">
        <f t="shared" si="281"/>
        <v>0</v>
      </c>
      <c r="V207" s="1495">
        <f t="shared" si="282"/>
        <v>0</v>
      </c>
      <c r="W207" s="1495">
        <f t="shared" si="283"/>
        <v>0</v>
      </c>
      <c r="X207" s="1495">
        <f t="shared" si="284"/>
        <v>0</v>
      </c>
      <c r="Y207" s="1495">
        <f t="shared" si="285"/>
        <v>0</v>
      </c>
      <c r="Z207" s="1495">
        <f t="shared" si="286"/>
        <v>0</v>
      </c>
      <c r="AA207" s="1495">
        <f t="shared" si="287"/>
        <v>0</v>
      </c>
      <c r="AB207" s="1495">
        <f t="shared" si="288"/>
        <v>0</v>
      </c>
      <c r="AC207" s="1495">
        <f t="shared" si="289"/>
        <v>0</v>
      </c>
      <c r="AD207" s="1495">
        <f t="shared" si="290"/>
        <v>0</v>
      </c>
      <c r="AE207" s="1495">
        <f t="shared" si="291"/>
        <v>0</v>
      </c>
      <c r="AF207" s="1495">
        <f t="shared" si="292"/>
        <v>0</v>
      </c>
      <c r="AG207" s="1495">
        <f t="shared" si="293"/>
        <v>0</v>
      </c>
      <c r="AH207" s="1436">
        <f t="shared" si="294"/>
        <v>0</v>
      </c>
      <c r="AI207" s="1495">
        <f t="shared" si="295"/>
        <v>0</v>
      </c>
      <c r="AJ207" s="1495">
        <f t="shared" si="296"/>
        <v>0</v>
      </c>
      <c r="AK207" s="1495">
        <f t="shared" si="297"/>
        <v>0</v>
      </c>
      <c r="AL207" s="1495">
        <f t="shared" si="298"/>
        <v>0</v>
      </c>
      <c r="AM207" s="1495">
        <f t="shared" si="299"/>
        <v>0</v>
      </c>
      <c r="AN207" s="1495">
        <f t="shared" si="300"/>
        <v>0</v>
      </c>
      <c r="AO207" s="1430"/>
      <c r="AP207" s="1430"/>
      <c r="AQ207" s="1430"/>
      <c r="AR207" s="1430"/>
      <c r="AS207" s="1430"/>
      <c r="AT207" s="1430"/>
      <c r="AU207" s="1430"/>
      <c r="AV207" s="1430"/>
      <c r="AW207" s="1430"/>
      <c r="AX207" s="1430"/>
      <c r="AY207" s="1430"/>
      <c r="AZ207" s="1430"/>
      <c r="BA207" s="1430"/>
      <c r="BB207" s="1430"/>
      <c r="BC207" s="1430"/>
      <c r="BD207" s="1774"/>
      <c r="BE207" s="1571" t="s">
        <v>1214</v>
      </c>
      <c r="BF207" s="1436">
        <v>22</v>
      </c>
      <c r="BG207" s="1436">
        <v>7</v>
      </c>
      <c r="BH207" s="1436">
        <v>3</v>
      </c>
      <c r="BI207" s="1495" t="b">
        <f t="shared" si="217"/>
        <v>1</v>
      </c>
      <c r="BJ207" s="1450" t="b">
        <f t="shared" si="253"/>
        <v>0</v>
      </c>
      <c r="BK207" s="1572">
        <f t="shared" si="254"/>
        <v>0</v>
      </c>
      <c r="BL207" s="1581">
        <f>IF(SUM(BL$201:BL206,BK207)&gt;$BP$4,0,BK207)</f>
        <v>0</v>
      </c>
      <c r="BM207" s="1436">
        <f t="shared" si="202"/>
        <v>0</v>
      </c>
      <c r="BN207" s="1495">
        <f t="shared" si="203"/>
        <v>0</v>
      </c>
      <c r="BO207" s="1437">
        <f t="shared" si="222"/>
        <v>0</v>
      </c>
      <c r="BP207" s="1762">
        <f t="shared" si="255"/>
        <v>0</v>
      </c>
      <c r="BQ207" s="1577">
        <f t="shared" si="256"/>
        <v>0</v>
      </c>
      <c r="BR207" s="1576">
        <f t="shared" si="204"/>
        <v>0</v>
      </c>
      <c r="BS207" s="1574">
        <f t="shared" si="257"/>
        <v>0</v>
      </c>
      <c r="BT207" s="1577">
        <f t="shared" si="258"/>
        <v>0</v>
      </c>
      <c r="BU207" s="1576">
        <f t="shared" si="205"/>
        <v>0</v>
      </c>
      <c r="BV207" s="1574">
        <f t="shared" si="259"/>
        <v>0</v>
      </c>
      <c r="BW207" s="1577">
        <f t="shared" si="260"/>
        <v>0</v>
      </c>
      <c r="BX207" s="1576">
        <f t="shared" si="206"/>
        <v>0</v>
      </c>
      <c r="BY207" s="1574">
        <f t="shared" si="261"/>
        <v>0</v>
      </c>
      <c r="BZ207" s="1577">
        <f t="shared" si="262"/>
        <v>0</v>
      </c>
      <c r="CA207" s="1576">
        <f t="shared" si="207"/>
        <v>0</v>
      </c>
      <c r="CB207" s="1495">
        <f t="shared" si="263"/>
        <v>0</v>
      </c>
      <c r="CC207" s="1577">
        <f t="shared" si="264"/>
        <v>0</v>
      </c>
      <c r="CD207" s="1576">
        <f t="shared" si="208"/>
        <v>0</v>
      </c>
      <c r="CE207" s="1495">
        <f t="shared" si="265"/>
        <v>0</v>
      </c>
      <c r="CF207" s="1577">
        <f t="shared" si="266"/>
        <v>0</v>
      </c>
      <c r="CG207" s="1576">
        <f t="shared" si="209"/>
        <v>0</v>
      </c>
      <c r="CH207" s="1495">
        <f t="shared" si="267"/>
        <v>0</v>
      </c>
      <c r="CI207" s="1577">
        <f t="shared" si="268"/>
        <v>0</v>
      </c>
      <c r="CJ207" s="1576">
        <f t="shared" si="210"/>
        <v>0</v>
      </c>
      <c r="CK207" s="1495">
        <f t="shared" si="269"/>
        <v>0</v>
      </c>
      <c r="CL207" s="1577">
        <f t="shared" si="270"/>
        <v>0</v>
      </c>
      <c r="CM207" s="1576">
        <f t="shared" si="211"/>
        <v>0</v>
      </c>
      <c r="CN207" s="1495">
        <f t="shared" si="271"/>
        <v>0</v>
      </c>
      <c r="CO207" s="1577">
        <f t="shared" si="272"/>
        <v>0</v>
      </c>
      <c r="CP207" s="1576">
        <f t="shared" si="212"/>
        <v>0</v>
      </c>
      <c r="CQ207" s="1495">
        <f t="shared" si="273"/>
        <v>0</v>
      </c>
      <c r="CR207" s="1577">
        <f t="shared" si="274"/>
        <v>0</v>
      </c>
      <c r="CS207" s="1576">
        <f t="shared" si="213"/>
        <v>0</v>
      </c>
      <c r="CT207" s="1495">
        <f t="shared" si="275"/>
        <v>0</v>
      </c>
      <c r="CU207" s="1577">
        <f t="shared" si="276"/>
        <v>0</v>
      </c>
      <c r="CV207" s="1576">
        <f t="shared" si="214"/>
        <v>0</v>
      </c>
      <c r="CW207" s="1495">
        <f t="shared" si="277"/>
        <v>0</v>
      </c>
      <c r="CX207" s="1577">
        <f t="shared" si="278"/>
        <v>0</v>
      </c>
      <c r="CY207" s="1576">
        <f t="shared" si="215"/>
        <v>0</v>
      </c>
      <c r="CZ207" s="1574">
        <f t="shared" si="216"/>
        <v>0</v>
      </c>
      <c r="DA207" s="1578">
        <f t="shared" si="218"/>
        <v>0</v>
      </c>
      <c r="DB207" s="1579">
        <f t="shared" si="219"/>
        <v>0</v>
      </c>
      <c r="DC207" s="1578">
        <f t="shared" si="220"/>
        <v>0</v>
      </c>
      <c r="DD207" s="1578">
        <f t="shared" si="220"/>
        <v>0</v>
      </c>
      <c r="DE207" s="1578">
        <f t="shared" si="220"/>
        <v>0</v>
      </c>
      <c r="DF207" s="1578">
        <f t="shared" si="221"/>
        <v>0</v>
      </c>
      <c r="DG207" s="1538"/>
      <c r="DH207" s="1538"/>
      <c r="DI207" s="1422"/>
      <c r="DJ207" s="1428"/>
      <c r="DK207" s="1428"/>
      <c r="DL207" s="1428"/>
      <c r="DM207" s="1428"/>
      <c r="DN207" s="1705"/>
      <c r="DO207" s="1705"/>
      <c r="DP207" s="1428"/>
      <c r="DQ207" s="1422"/>
      <c r="DR207" s="1428"/>
      <c r="DS207" s="1428"/>
      <c r="DT207" s="1428"/>
      <c r="DU207" s="1428"/>
      <c r="DV207" s="1428"/>
      <c r="DW207" s="1428"/>
      <c r="DX207" s="1428"/>
      <c r="DY207" s="1428"/>
      <c r="DZ207" s="1428"/>
      <c r="EA207" s="1428"/>
      <c r="EB207" s="1428"/>
      <c r="EC207" s="1428"/>
      <c r="ED207" s="1428"/>
      <c r="EE207" s="1428"/>
      <c r="EF207" s="1428"/>
      <c r="EG207" s="1428"/>
      <c r="EH207" s="1428"/>
      <c r="EI207" s="1428"/>
      <c r="EJ207" s="1428"/>
      <c r="EK207" s="1428"/>
      <c r="EL207" s="1428"/>
      <c r="EM207" s="1428"/>
      <c r="EN207" s="1428"/>
      <c r="EO207" s="1428"/>
      <c r="EP207" s="1428"/>
      <c r="EQ207" s="1428"/>
      <c r="ER207" s="1428"/>
      <c r="ES207" s="1428"/>
      <c r="ET207" s="1428"/>
      <c r="EU207" s="1428"/>
    </row>
    <row r="208" spans="1:151" s="1440" customFormat="1" ht="15" customHeight="1">
      <c r="A208" s="1603"/>
      <c r="B208" s="1600" t="s">
        <v>801</v>
      </c>
      <c r="C208" s="1674">
        <f>IFERROR(VLOOKUP($D$32,'Rainfall data'!$R$6:$AD$11,N225,FALSE),"")</f>
        <v>0.5</v>
      </c>
      <c r="D208" s="1601">
        <f t="shared" si="301"/>
        <v>0</v>
      </c>
      <c r="E208" s="1601">
        <f t="shared" si="302"/>
        <v>0</v>
      </c>
      <c r="F208" s="1586"/>
      <c r="G208" s="1586"/>
      <c r="H208" s="1586"/>
      <c r="I208" s="1586"/>
      <c r="J208" s="1586"/>
      <c r="K208" s="1586"/>
      <c r="L208" s="1475"/>
      <c r="M208" s="1475"/>
      <c r="N208" s="1430"/>
      <c r="O208" s="1640" t="s">
        <v>882</v>
      </c>
      <c r="P208" s="1777">
        <v>30</v>
      </c>
      <c r="Q208" s="1778">
        <f>'Potable Water Calculator'!D39</f>
        <v>33</v>
      </c>
      <c r="R208" s="1779">
        <f>'Potable Water Calculator'!C210</f>
        <v>1</v>
      </c>
      <c r="S208" s="1495">
        <f t="shared" si="279"/>
        <v>0</v>
      </c>
      <c r="T208" s="1495">
        <f t="shared" si="280"/>
        <v>0</v>
      </c>
      <c r="U208" s="1495">
        <f t="shared" si="281"/>
        <v>0</v>
      </c>
      <c r="V208" s="1495">
        <f t="shared" si="282"/>
        <v>0</v>
      </c>
      <c r="W208" s="1495">
        <f t="shared" si="283"/>
        <v>0</v>
      </c>
      <c r="X208" s="1495">
        <f t="shared" si="284"/>
        <v>0</v>
      </c>
      <c r="Y208" s="1495">
        <f t="shared" si="285"/>
        <v>0</v>
      </c>
      <c r="Z208" s="1495">
        <f t="shared" si="286"/>
        <v>0</v>
      </c>
      <c r="AA208" s="1495">
        <f t="shared" si="287"/>
        <v>0</v>
      </c>
      <c r="AB208" s="1495">
        <f t="shared" si="288"/>
        <v>0</v>
      </c>
      <c r="AC208" s="1495">
        <f t="shared" si="289"/>
        <v>0</v>
      </c>
      <c r="AD208" s="1495">
        <f t="shared" si="290"/>
        <v>0</v>
      </c>
      <c r="AE208" s="1495">
        <f t="shared" si="291"/>
        <v>0</v>
      </c>
      <c r="AF208" s="1495">
        <f t="shared" si="292"/>
        <v>0</v>
      </c>
      <c r="AG208" s="1495">
        <f t="shared" si="293"/>
        <v>0</v>
      </c>
      <c r="AH208" s="1436">
        <f t="shared" si="294"/>
        <v>0</v>
      </c>
      <c r="AI208" s="1495">
        <f t="shared" si="295"/>
        <v>0</v>
      </c>
      <c r="AJ208" s="1495">
        <f t="shared" si="296"/>
        <v>0</v>
      </c>
      <c r="AK208" s="1495">
        <f t="shared" si="297"/>
        <v>0</v>
      </c>
      <c r="AL208" s="1495">
        <f t="shared" si="298"/>
        <v>0</v>
      </c>
      <c r="AM208" s="1495">
        <f t="shared" si="299"/>
        <v>0</v>
      </c>
      <c r="AN208" s="1495">
        <f t="shared" si="300"/>
        <v>0</v>
      </c>
      <c r="AO208" s="1430"/>
      <c r="AP208" s="1430"/>
      <c r="AQ208" s="1430"/>
      <c r="AR208" s="1430"/>
      <c r="AS208" s="1430"/>
      <c r="AT208" s="1430"/>
      <c r="AU208" s="1430"/>
      <c r="AV208" s="1430"/>
      <c r="AW208" s="1430"/>
      <c r="AX208" s="1430"/>
      <c r="AY208" s="1430"/>
      <c r="AZ208" s="1430"/>
      <c r="BA208" s="1430"/>
      <c r="BB208" s="1430"/>
      <c r="BC208" s="1430"/>
      <c r="BD208" s="1720"/>
      <c r="BE208" s="1571" t="s">
        <v>1214</v>
      </c>
      <c r="BF208" s="1436">
        <v>22</v>
      </c>
      <c r="BG208" s="1436">
        <v>8</v>
      </c>
      <c r="BH208" s="1436">
        <v>4</v>
      </c>
      <c r="BI208" s="1495" t="b">
        <f t="shared" si="217"/>
        <v>1</v>
      </c>
      <c r="BJ208" s="1450" t="b">
        <f t="shared" si="253"/>
        <v>0</v>
      </c>
      <c r="BK208" s="1572">
        <f t="shared" si="254"/>
        <v>0</v>
      </c>
      <c r="BL208" s="1581">
        <f>IF(SUM(BL$201:BL207,BK208)&gt;$BP$4,0,BK208)</f>
        <v>0</v>
      </c>
      <c r="BM208" s="1436">
        <f t="shared" si="202"/>
        <v>0</v>
      </c>
      <c r="BN208" s="1495">
        <f t="shared" si="203"/>
        <v>0</v>
      </c>
      <c r="BO208" s="1437">
        <f t="shared" si="222"/>
        <v>0</v>
      </c>
      <c r="BP208" s="1762">
        <f t="shared" si="255"/>
        <v>0</v>
      </c>
      <c r="BQ208" s="1577">
        <f t="shared" si="256"/>
        <v>0</v>
      </c>
      <c r="BR208" s="1576">
        <f t="shared" si="204"/>
        <v>0</v>
      </c>
      <c r="BS208" s="1574">
        <f t="shared" si="257"/>
        <v>0</v>
      </c>
      <c r="BT208" s="1577">
        <f t="shared" si="258"/>
        <v>0</v>
      </c>
      <c r="BU208" s="1576">
        <f t="shared" si="205"/>
        <v>0</v>
      </c>
      <c r="BV208" s="1574">
        <f t="shared" si="259"/>
        <v>0</v>
      </c>
      <c r="BW208" s="1577">
        <f t="shared" si="260"/>
        <v>0</v>
      </c>
      <c r="BX208" s="1576">
        <f t="shared" si="206"/>
        <v>0</v>
      </c>
      <c r="BY208" s="1574">
        <f t="shared" si="261"/>
        <v>0</v>
      </c>
      <c r="BZ208" s="1577">
        <f t="shared" si="262"/>
        <v>0</v>
      </c>
      <c r="CA208" s="1576">
        <f t="shared" si="207"/>
        <v>0</v>
      </c>
      <c r="CB208" s="1495">
        <f t="shared" si="263"/>
        <v>0</v>
      </c>
      <c r="CC208" s="1577">
        <f t="shared" si="264"/>
        <v>0</v>
      </c>
      <c r="CD208" s="1576">
        <f t="shared" si="208"/>
        <v>0</v>
      </c>
      <c r="CE208" s="1495">
        <f t="shared" si="265"/>
        <v>0</v>
      </c>
      <c r="CF208" s="1577">
        <f t="shared" si="266"/>
        <v>0</v>
      </c>
      <c r="CG208" s="1576">
        <f t="shared" si="209"/>
        <v>0</v>
      </c>
      <c r="CH208" s="1495">
        <f t="shared" si="267"/>
        <v>0</v>
      </c>
      <c r="CI208" s="1577">
        <f t="shared" si="268"/>
        <v>0</v>
      </c>
      <c r="CJ208" s="1576">
        <f t="shared" si="210"/>
        <v>0</v>
      </c>
      <c r="CK208" s="1495">
        <f t="shared" si="269"/>
        <v>0</v>
      </c>
      <c r="CL208" s="1577">
        <f t="shared" si="270"/>
        <v>0</v>
      </c>
      <c r="CM208" s="1576">
        <f t="shared" si="211"/>
        <v>0</v>
      </c>
      <c r="CN208" s="1495">
        <f t="shared" si="271"/>
        <v>0</v>
      </c>
      <c r="CO208" s="1577">
        <f t="shared" si="272"/>
        <v>0</v>
      </c>
      <c r="CP208" s="1576">
        <f t="shared" si="212"/>
        <v>0</v>
      </c>
      <c r="CQ208" s="1495">
        <f t="shared" si="273"/>
        <v>0</v>
      </c>
      <c r="CR208" s="1577">
        <f t="shared" si="274"/>
        <v>0</v>
      </c>
      <c r="CS208" s="1576">
        <f t="shared" si="213"/>
        <v>0</v>
      </c>
      <c r="CT208" s="1495">
        <f t="shared" si="275"/>
        <v>0</v>
      </c>
      <c r="CU208" s="1577">
        <f t="shared" si="276"/>
        <v>0</v>
      </c>
      <c r="CV208" s="1576">
        <f t="shared" si="214"/>
        <v>0</v>
      </c>
      <c r="CW208" s="1495">
        <f t="shared" si="277"/>
        <v>0</v>
      </c>
      <c r="CX208" s="1577">
        <f t="shared" si="278"/>
        <v>0</v>
      </c>
      <c r="CY208" s="1576">
        <f t="shared" si="215"/>
        <v>0</v>
      </c>
      <c r="CZ208" s="1574">
        <f t="shared" si="216"/>
        <v>0</v>
      </c>
      <c r="DA208" s="1578">
        <f t="shared" si="218"/>
        <v>0</v>
      </c>
      <c r="DB208" s="1579">
        <f t="shared" si="219"/>
        <v>0</v>
      </c>
      <c r="DC208" s="1578">
        <f t="shared" si="220"/>
        <v>0</v>
      </c>
      <c r="DD208" s="1578">
        <f t="shared" si="220"/>
        <v>0</v>
      </c>
      <c r="DE208" s="1578">
        <f t="shared" si="220"/>
        <v>0</v>
      </c>
      <c r="DF208" s="1578">
        <f t="shared" si="221"/>
        <v>0</v>
      </c>
      <c r="DG208" s="1538"/>
      <c r="DH208" s="1538"/>
      <c r="DI208" s="1422"/>
      <c r="DJ208" s="1780" t="s">
        <v>1725</v>
      </c>
      <c r="DK208" s="1780"/>
      <c r="DL208" s="1428"/>
      <c r="DM208" s="1428"/>
      <c r="DN208" s="1780"/>
      <c r="DO208" s="1781" t="str">
        <f>'Potable Water Calculator'!X56</f>
        <v>Notional Building</v>
      </c>
      <c r="DP208" s="1428"/>
      <c r="DQ208" s="1422"/>
      <c r="DR208" s="1472"/>
      <c r="DS208" s="1472"/>
      <c r="DT208" s="1472"/>
      <c r="DU208" s="1472"/>
      <c r="DV208" s="1472"/>
      <c r="DW208" s="1472"/>
      <c r="DX208" s="1472"/>
      <c r="DY208" s="1472"/>
      <c r="DZ208" s="1472"/>
      <c r="EA208" s="1472"/>
      <c r="EB208" s="1472"/>
      <c r="EC208" s="1472"/>
      <c r="ED208" s="1472"/>
      <c r="EE208" s="1472"/>
      <c r="EF208" s="1472"/>
      <c r="EG208" s="1472"/>
      <c r="EH208" s="1472"/>
      <c r="EI208" s="1472"/>
      <c r="EJ208" s="1472"/>
      <c r="EK208" s="1472"/>
      <c r="EL208" s="1472"/>
      <c r="EM208" s="1472"/>
      <c r="EN208" s="1472"/>
      <c r="EO208" s="1472"/>
      <c r="EP208" s="1472"/>
      <c r="EQ208" s="1472"/>
      <c r="ER208" s="1472"/>
      <c r="ES208" s="1472"/>
      <c r="ET208" s="1472"/>
      <c r="EU208" s="1472"/>
    </row>
    <row r="209" spans="1:151" s="1440" customFormat="1" ht="15" customHeight="1">
      <c r="A209" s="1603"/>
      <c r="B209" s="1600" t="s">
        <v>881</v>
      </c>
      <c r="C209" s="1674">
        <f>IFERROR(VLOOKUP($D$32,'Rainfall data'!$R$6:$AD$11,N226,FALSE),"")</f>
        <v>0.5</v>
      </c>
      <c r="D209" s="1601">
        <f t="shared" si="301"/>
        <v>0</v>
      </c>
      <c r="E209" s="1601">
        <f t="shared" si="302"/>
        <v>0</v>
      </c>
      <c r="F209" s="1586"/>
      <c r="G209" s="1586"/>
      <c r="H209" s="1586"/>
      <c r="I209" s="1586"/>
      <c r="J209" s="1586"/>
      <c r="K209" s="1586"/>
      <c r="L209" s="1475"/>
      <c r="M209" s="1475"/>
      <c r="N209" s="1430"/>
      <c r="O209" s="1640" t="s">
        <v>1212</v>
      </c>
      <c r="P209" s="1777">
        <v>31</v>
      </c>
      <c r="Q209" s="1778">
        <f>'Potable Water Calculator'!D40</f>
        <v>11</v>
      </c>
      <c r="R209" s="1779">
        <f>'Potable Water Calculator'!C211</f>
        <v>1</v>
      </c>
      <c r="S209" s="1495">
        <f t="shared" si="279"/>
        <v>0</v>
      </c>
      <c r="T209" s="1495">
        <f t="shared" si="280"/>
        <v>0</v>
      </c>
      <c r="U209" s="1495">
        <f t="shared" si="281"/>
        <v>0</v>
      </c>
      <c r="V209" s="1495">
        <f t="shared" si="282"/>
        <v>0</v>
      </c>
      <c r="W209" s="1495">
        <f t="shared" si="283"/>
        <v>0</v>
      </c>
      <c r="X209" s="1495">
        <f t="shared" si="284"/>
        <v>0</v>
      </c>
      <c r="Y209" s="1495">
        <f t="shared" si="285"/>
        <v>0</v>
      </c>
      <c r="Z209" s="1495">
        <f t="shared" si="286"/>
        <v>0</v>
      </c>
      <c r="AA209" s="1495">
        <f t="shared" si="287"/>
        <v>0</v>
      </c>
      <c r="AB209" s="1495">
        <f t="shared" si="288"/>
        <v>0</v>
      </c>
      <c r="AC209" s="1495">
        <f t="shared" si="289"/>
        <v>0</v>
      </c>
      <c r="AD209" s="1495">
        <f t="shared" si="290"/>
        <v>0</v>
      </c>
      <c r="AE209" s="1495">
        <f t="shared" si="291"/>
        <v>0</v>
      </c>
      <c r="AF209" s="1495">
        <f t="shared" si="292"/>
        <v>0</v>
      </c>
      <c r="AG209" s="1495">
        <f t="shared" si="293"/>
        <v>0</v>
      </c>
      <c r="AH209" s="1436">
        <f t="shared" si="294"/>
        <v>0</v>
      </c>
      <c r="AI209" s="1495">
        <f t="shared" si="295"/>
        <v>0</v>
      </c>
      <c r="AJ209" s="1495">
        <f t="shared" si="296"/>
        <v>0</v>
      </c>
      <c r="AK209" s="1495">
        <f t="shared" si="297"/>
        <v>0</v>
      </c>
      <c r="AL209" s="1495">
        <f t="shared" si="298"/>
        <v>0</v>
      </c>
      <c r="AM209" s="1495">
        <f t="shared" si="299"/>
        <v>0</v>
      </c>
      <c r="AN209" s="1495">
        <f t="shared" si="300"/>
        <v>0</v>
      </c>
      <c r="AO209" s="1430"/>
      <c r="AP209" s="1430"/>
      <c r="AQ209" s="1430"/>
      <c r="AR209" s="1430"/>
      <c r="AS209" s="1430"/>
      <c r="AT209" s="1430"/>
      <c r="AU209" s="1430"/>
      <c r="AV209" s="1430"/>
      <c r="AW209" s="1430"/>
      <c r="AX209" s="1430"/>
      <c r="AY209" s="1430"/>
      <c r="AZ209" s="1430"/>
      <c r="BA209" s="1430"/>
      <c r="BB209" s="1430"/>
      <c r="BC209" s="1430"/>
      <c r="BD209" s="1720"/>
      <c r="BE209" s="1571" t="s">
        <v>1214</v>
      </c>
      <c r="BF209" s="1436">
        <v>22</v>
      </c>
      <c r="BG209" s="1436">
        <v>9</v>
      </c>
      <c r="BH209" s="1436">
        <v>5</v>
      </c>
      <c r="BI209" s="1495" t="b">
        <f t="shared" si="217"/>
        <v>1</v>
      </c>
      <c r="BJ209" s="1450" t="b">
        <f t="shared" si="253"/>
        <v>0</v>
      </c>
      <c r="BK209" s="1572">
        <f t="shared" si="254"/>
        <v>0</v>
      </c>
      <c r="BL209" s="1581">
        <f>IF(SUM(BL$201:BL208,BK209)&gt;$BP$4,0,BK209)</f>
        <v>0</v>
      </c>
      <c r="BM209" s="1436">
        <f t="shared" si="202"/>
        <v>0</v>
      </c>
      <c r="BN209" s="1495">
        <f t="shared" si="203"/>
        <v>0</v>
      </c>
      <c r="BO209" s="1437">
        <f t="shared" si="222"/>
        <v>0</v>
      </c>
      <c r="BP209" s="1762">
        <f t="shared" si="255"/>
        <v>0</v>
      </c>
      <c r="BQ209" s="1577">
        <f t="shared" si="256"/>
        <v>0</v>
      </c>
      <c r="BR209" s="1576">
        <f t="shared" si="204"/>
        <v>0</v>
      </c>
      <c r="BS209" s="1574">
        <f t="shared" si="257"/>
        <v>0</v>
      </c>
      <c r="BT209" s="1577">
        <f t="shared" si="258"/>
        <v>0</v>
      </c>
      <c r="BU209" s="1576">
        <f t="shared" si="205"/>
        <v>0</v>
      </c>
      <c r="BV209" s="1574">
        <f t="shared" si="259"/>
        <v>0</v>
      </c>
      <c r="BW209" s="1577">
        <f t="shared" si="260"/>
        <v>0</v>
      </c>
      <c r="BX209" s="1576">
        <f t="shared" si="206"/>
        <v>0</v>
      </c>
      <c r="BY209" s="1574">
        <f t="shared" si="261"/>
        <v>0</v>
      </c>
      <c r="BZ209" s="1577">
        <f t="shared" si="262"/>
        <v>0</v>
      </c>
      <c r="CA209" s="1576">
        <f t="shared" si="207"/>
        <v>0</v>
      </c>
      <c r="CB209" s="1495">
        <f t="shared" si="263"/>
        <v>0</v>
      </c>
      <c r="CC209" s="1577">
        <f t="shared" si="264"/>
        <v>0</v>
      </c>
      <c r="CD209" s="1576">
        <f t="shared" si="208"/>
        <v>0</v>
      </c>
      <c r="CE209" s="1495">
        <f t="shared" si="265"/>
        <v>0</v>
      </c>
      <c r="CF209" s="1577">
        <f t="shared" si="266"/>
        <v>0</v>
      </c>
      <c r="CG209" s="1576">
        <f t="shared" si="209"/>
        <v>0</v>
      </c>
      <c r="CH209" s="1495">
        <f t="shared" si="267"/>
        <v>0</v>
      </c>
      <c r="CI209" s="1577">
        <f t="shared" si="268"/>
        <v>0</v>
      </c>
      <c r="CJ209" s="1576">
        <f t="shared" si="210"/>
        <v>0</v>
      </c>
      <c r="CK209" s="1495">
        <f t="shared" si="269"/>
        <v>0</v>
      </c>
      <c r="CL209" s="1577">
        <f t="shared" si="270"/>
        <v>0</v>
      </c>
      <c r="CM209" s="1576">
        <f t="shared" si="211"/>
        <v>0</v>
      </c>
      <c r="CN209" s="1495">
        <f t="shared" si="271"/>
        <v>0</v>
      </c>
      <c r="CO209" s="1577">
        <f t="shared" si="272"/>
        <v>0</v>
      </c>
      <c r="CP209" s="1576">
        <f t="shared" si="212"/>
        <v>0</v>
      </c>
      <c r="CQ209" s="1495">
        <f t="shared" si="273"/>
        <v>0</v>
      </c>
      <c r="CR209" s="1577">
        <f t="shared" si="274"/>
        <v>0</v>
      </c>
      <c r="CS209" s="1576">
        <f t="shared" si="213"/>
        <v>0</v>
      </c>
      <c r="CT209" s="1495">
        <f t="shared" si="275"/>
        <v>0</v>
      </c>
      <c r="CU209" s="1577">
        <f t="shared" si="276"/>
        <v>0</v>
      </c>
      <c r="CV209" s="1576">
        <f t="shared" si="214"/>
        <v>0</v>
      </c>
      <c r="CW209" s="1495">
        <f t="shared" si="277"/>
        <v>0</v>
      </c>
      <c r="CX209" s="1577">
        <f t="shared" si="278"/>
        <v>0</v>
      </c>
      <c r="CY209" s="1576">
        <f t="shared" si="215"/>
        <v>0</v>
      </c>
      <c r="CZ209" s="1574">
        <f t="shared" si="216"/>
        <v>0</v>
      </c>
      <c r="DA209" s="1578">
        <f t="shared" si="218"/>
        <v>0</v>
      </c>
      <c r="DB209" s="1579">
        <f t="shared" si="219"/>
        <v>0</v>
      </c>
      <c r="DC209" s="1578">
        <f t="shared" si="220"/>
        <v>0</v>
      </c>
      <c r="DD209" s="1578">
        <f t="shared" si="220"/>
        <v>0</v>
      </c>
      <c r="DE209" s="1578">
        <f t="shared" si="220"/>
        <v>0</v>
      </c>
      <c r="DF209" s="1578">
        <f t="shared" si="221"/>
        <v>0</v>
      </c>
      <c r="DG209" s="1538"/>
      <c r="DH209" s="1538"/>
      <c r="DI209" s="1422"/>
      <c r="DJ209" s="1753" t="s">
        <v>1499</v>
      </c>
      <c r="DK209" s="1776">
        <v>0</v>
      </c>
      <c r="DL209" s="1428"/>
      <c r="DM209" s="1428"/>
      <c r="DN209" s="1753" t="s">
        <v>1734</v>
      </c>
      <c r="DO209" s="1782" t="s">
        <v>1735</v>
      </c>
      <c r="DP209" s="1428"/>
      <c r="DQ209" s="1422"/>
      <c r="DR209" s="1428"/>
      <c r="DS209" s="1428"/>
      <c r="DT209" s="1428"/>
      <c r="DU209" s="1428"/>
      <c r="DV209" s="1428"/>
      <c r="DW209" s="1428"/>
      <c r="DX209" s="1428"/>
      <c r="DY209" s="1428"/>
      <c r="DZ209" s="1428"/>
      <c r="EA209" s="1428"/>
      <c r="EB209" s="1428"/>
      <c r="EC209" s="1428"/>
      <c r="ED209" s="1428"/>
      <c r="EE209" s="1428"/>
      <c r="EF209" s="1428"/>
      <c r="EG209" s="1428"/>
      <c r="EH209" s="1428"/>
      <c r="EI209" s="1428"/>
      <c r="EJ209" s="1428"/>
      <c r="EK209" s="1428"/>
      <c r="EL209" s="1428"/>
      <c r="EM209" s="1428"/>
      <c r="EN209" s="1428"/>
      <c r="EO209" s="1428"/>
      <c r="EP209" s="1428"/>
      <c r="EQ209" s="1428"/>
      <c r="ER209" s="1428"/>
      <c r="ES209" s="1428"/>
      <c r="ET209" s="1428"/>
      <c r="EU209" s="1428"/>
    </row>
    <row r="210" spans="1:151" s="1440" customFormat="1" ht="15" customHeight="1">
      <c r="A210" s="1603"/>
      <c r="B210" s="1600" t="s">
        <v>882</v>
      </c>
      <c r="C210" s="1674">
        <f>IFERROR(VLOOKUP($D$32,'Rainfall data'!$R$6:$AD$11,N227,FALSE),"")</f>
        <v>1</v>
      </c>
      <c r="D210" s="1601">
        <f t="shared" si="301"/>
        <v>0</v>
      </c>
      <c r="E210" s="1601">
        <f t="shared" si="302"/>
        <v>0</v>
      </c>
      <c r="F210" s="1586"/>
      <c r="G210" s="1586"/>
      <c r="H210" s="1586"/>
      <c r="I210" s="1586"/>
      <c r="J210" s="1586"/>
      <c r="K210" s="1586"/>
      <c r="L210" s="1475"/>
      <c r="M210" s="1475"/>
      <c r="N210" s="1430"/>
      <c r="O210" s="1640" t="s">
        <v>883</v>
      </c>
      <c r="P210" s="1777">
        <v>30</v>
      </c>
      <c r="Q210" s="1778">
        <f>'Potable Water Calculator'!D41</f>
        <v>5</v>
      </c>
      <c r="R210" s="1779">
        <f>'Potable Water Calculator'!C212</f>
        <v>1</v>
      </c>
      <c r="S210" s="1495">
        <f t="shared" si="279"/>
        <v>0</v>
      </c>
      <c r="T210" s="1495">
        <f t="shared" si="280"/>
        <v>0</v>
      </c>
      <c r="U210" s="1495">
        <f t="shared" si="281"/>
        <v>0</v>
      </c>
      <c r="V210" s="1495">
        <f t="shared" si="282"/>
        <v>0</v>
      </c>
      <c r="W210" s="1495">
        <f t="shared" si="283"/>
        <v>0</v>
      </c>
      <c r="X210" s="1495">
        <f t="shared" si="284"/>
        <v>0</v>
      </c>
      <c r="Y210" s="1495">
        <f t="shared" si="285"/>
        <v>0</v>
      </c>
      <c r="Z210" s="1495">
        <f t="shared" si="286"/>
        <v>0</v>
      </c>
      <c r="AA210" s="1495">
        <f t="shared" si="287"/>
        <v>0</v>
      </c>
      <c r="AB210" s="1495">
        <f t="shared" si="288"/>
        <v>0</v>
      </c>
      <c r="AC210" s="1495">
        <f t="shared" si="289"/>
        <v>0</v>
      </c>
      <c r="AD210" s="1495">
        <f t="shared" si="290"/>
        <v>0</v>
      </c>
      <c r="AE210" s="1495">
        <f t="shared" si="291"/>
        <v>0</v>
      </c>
      <c r="AF210" s="1495">
        <f t="shared" si="292"/>
        <v>0</v>
      </c>
      <c r="AG210" s="1495">
        <f t="shared" si="293"/>
        <v>0</v>
      </c>
      <c r="AH210" s="1436">
        <f t="shared" si="294"/>
        <v>0</v>
      </c>
      <c r="AI210" s="1495">
        <f t="shared" si="295"/>
        <v>0</v>
      </c>
      <c r="AJ210" s="1495">
        <f t="shared" si="296"/>
        <v>0</v>
      </c>
      <c r="AK210" s="1495">
        <f t="shared" si="297"/>
        <v>0</v>
      </c>
      <c r="AL210" s="1495">
        <f t="shared" si="298"/>
        <v>0</v>
      </c>
      <c r="AM210" s="1495">
        <f t="shared" si="299"/>
        <v>0</v>
      </c>
      <c r="AN210" s="1495">
        <f t="shared" si="300"/>
        <v>0</v>
      </c>
      <c r="AO210" s="1430"/>
      <c r="AP210" s="1430"/>
      <c r="AQ210" s="1430"/>
      <c r="AR210" s="1430"/>
      <c r="AS210" s="1430"/>
      <c r="AT210" s="1430"/>
      <c r="AU210" s="1430"/>
      <c r="AV210" s="1430"/>
      <c r="AW210" s="1430"/>
      <c r="AX210" s="1430"/>
      <c r="AY210" s="1430"/>
      <c r="AZ210" s="1430"/>
      <c r="BA210" s="1430"/>
      <c r="BB210" s="1430"/>
      <c r="BC210" s="1430"/>
      <c r="BD210" s="1720"/>
      <c r="BE210" s="1571" t="s">
        <v>1214</v>
      </c>
      <c r="BF210" s="1436">
        <v>22</v>
      </c>
      <c r="BG210" s="1436">
        <v>10</v>
      </c>
      <c r="BH210" s="1436">
        <v>6</v>
      </c>
      <c r="BI210" s="1495" t="b">
        <f t="shared" si="217"/>
        <v>0</v>
      </c>
      <c r="BJ210" s="1450" t="b">
        <f t="shared" si="253"/>
        <v>0</v>
      </c>
      <c r="BK210" s="1572">
        <f t="shared" si="254"/>
        <v>0</v>
      </c>
      <c r="BL210" s="1581">
        <f>IF(SUM(BL$201:BL209,BK210)&gt;$BP$4,0,BK210)</f>
        <v>0</v>
      </c>
      <c r="BM210" s="1436">
        <f t="shared" si="202"/>
        <v>0</v>
      </c>
      <c r="BN210" s="1495">
        <f t="shared" si="203"/>
        <v>0</v>
      </c>
      <c r="BO210" s="1437">
        <f t="shared" si="222"/>
        <v>0</v>
      </c>
      <c r="BP210" s="1762">
        <f t="shared" si="255"/>
        <v>0</v>
      </c>
      <c r="BQ210" s="1577">
        <f t="shared" si="256"/>
        <v>0</v>
      </c>
      <c r="BR210" s="1576">
        <f t="shared" si="204"/>
        <v>0</v>
      </c>
      <c r="BS210" s="1574">
        <f t="shared" si="257"/>
        <v>0</v>
      </c>
      <c r="BT210" s="1577">
        <f t="shared" si="258"/>
        <v>0</v>
      </c>
      <c r="BU210" s="1576">
        <f t="shared" si="205"/>
        <v>0</v>
      </c>
      <c r="BV210" s="1574">
        <f t="shared" si="259"/>
        <v>0</v>
      </c>
      <c r="BW210" s="1577">
        <f t="shared" si="260"/>
        <v>0</v>
      </c>
      <c r="BX210" s="1576">
        <f t="shared" si="206"/>
        <v>0</v>
      </c>
      <c r="BY210" s="1574">
        <f t="shared" si="261"/>
        <v>0</v>
      </c>
      <c r="BZ210" s="1577">
        <f t="shared" si="262"/>
        <v>0</v>
      </c>
      <c r="CA210" s="1576">
        <f t="shared" si="207"/>
        <v>0</v>
      </c>
      <c r="CB210" s="1495">
        <f t="shared" si="263"/>
        <v>0</v>
      </c>
      <c r="CC210" s="1577">
        <f t="shared" si="264"/>
        <v>0</v>
      </c>
      <c r="CD210" s="1576">
        <f t="shared" si="208"/>
        <v>0</v>
      </c>
      <c r="CE210" s="1495">
        <f t="shared" si="265"/>
        <v>0</v>
      </c>
      <c r="CF210" s="1577">
        <f t="shared" si="266"/>
        <v>0</v>
      </c>
      <c r="CG210" s="1576">
        <f t="shared" si="209"/>
        <v>0</v>
      </c>
      <c r="CH210" s="1495">
        <f t="shared" si="267"/>
        <v>0</v>
      </c>
      <c r="CI210" s="1577">
        <f t="shared" si="268"/>
        <v>0</v>
      </c>
      <c r="CJ210" s="1576">
        <f t="shared" si="210"/>
        <v>0</v>
      </c>
      <c r="CK210" s="1495">
        <f t="shared" si="269"/>
        <v>0</v>
      </c>
      <c r="CL210" s="1577">
        <f t="shared" si="270"/>
        <v>0</v>
      </c>
      <c r="CM210" s="1576">
        <f t="shared" si="211"/>
        <v>0</v>
      </c>
      <c r="CN210" s="1495">
        <f t="shared" si="271"/>
        <v>0</v>
      </c>
      <c r="CO210" s="1577">
        <f t="shared" si="272"/>
        <v>0</v>
      </c>
      <c r="CP210" s="1576">
        <f t="shared" si="212"/>
        <v>0</v>
      </c>
      <c r="CQ210" s="1495">
        <f t="shared" si="273"/>
        <v>0</v>
      </c>
      <c r="CR210" s="1577">
        <f t="shared" si="274"/>
        <v>0</v>
      </c>
      <c r="CS210" s="1576">
        <f t="shared" si="213"/>
        <v>0</v>
      </c>
      <c r="CT210" s="1495">
        <f t="shared" si="275"/>
        <v>0</v>
      </c>
      <c r="CU210" s="1577">
        <f t="shared" si="276"/>
        <v>0</v>
      </c>
      <c r="CV210" s="1576">
        <f t="shared" si="214"/>
        <v>0</v>
      </c>
      <c r="CW210" s="1495">
        <f t="shared" si="277"/>
        <v>0</v>
      </c>
      <c r="CX210" s="1577">
        <f t="shared" si="278"/>
        <v>0</v>
      </c>
      <c r="CY210" s="1576">
        <f t="shared" si="215"/>
        <v>0</v>
      </c>
      <c r="CZ210" s="1574">
        <f t="shared" si="216"/>
        <v>0</v>
      </c>
      <c r="DA210" s="1578">
        <f t="shared" si="218"/>
        <v>0</v>
      </c>
      <c r="DB210" s="1579">
        <f t="shared" si="219"/>
        <v>0</v>
      </c>
      <c r="DC210" s="1578">
        <f t="shared" si="220"/>
        <v>0</v>
      </c>
      <c r="DD210" s="1578">
        <f t="shared" si="220"/>
        <v>0</v>
      </c>
      <c r="DE210" s="1578">
        <f t="shared" si="220"/>
        <v>0</v>
      </c>
      <c r="DF210" s="1578">
        <f t="shared" si="221"/>
        <v>0</v>
      </c>
      <c r="DG210" s="1538"/>
      <c r="DH210" s="1538"/>
      <c r="DI210" s="1458"/>
      <c r="DJ210" s="1753" t="s">
        <v>1737</v>
      </c>
      <c r="DK210" s="1776">
        <v>1.2</v>
      </c>
      <c r="DL210" s="1428"/>
      <c r="DM210" s="1472"/>
      <c r="DN210" s="1753" t="s">
        <v>1740</v>
      </c>
      <c r="DO210" s="1783" t="s">
        <v>1735</v>
      </c>
      <c r="DP210" s="1472"/>
      <c r="DQ210" s="1458"/>
      <c r="DR210" s="1428"/>
      <c r="DS210" s="1428"/>
      <c r="DT210" s="1428"/>
      <c r="DU210" s="1428"/>
      <c r="DV210" s="1428"/>
      <c r="DW210" s="1428"/>
      <c r="DX210" s="1428"/>
      <c r="DY210" s="1428"/>
      <c r="DZ210" s="1428"/>
      <c r="EA210" s="1428"/>
      <c r="EB210" s="1428"/>
      <c r="EC210" s="1428"/>
      <c r="ED210" s="1428"/>
      <c r="EE210" s="1428"/>
      <c r="EF210" s="1428"/>
      <c r="EG210" s="1428"/>
      <c r="EH210" s="1428"/>
      <c r="EI210" s="1428"/>
      <c r="EJ210" s="1428"/>
      <c r="EK210" s="1428"/>
      <c r="EL210" s="1428"/>
      <c r="EM210" s="1428"/>
      <c r="EN210" s="1428"/>
      <c r="EO210" s="1428"/>
      <c r="EP210" s="1428"/>
      <c r="EQ210" s="1428"/>
      <c r="ER210" s="1428"/>
      <c r="ES210" s="1428"/>
      <c r="ET210" s="1428"/>
      <c r="EU210" s="1428"/>
    </row>
    <row r="211" spans="1:151" s="1440" customFormat="1" ht="15" customHeight="1">
      <c r="A211" s="1603"/>
      <c r="B211" s="1600" t="s">
        <v>1212</v>
      </c>
      <c r="C211" s="1674">
        <f>IFERROR(VLOOKUP($D$32,'Rainfall data'!$R$6:$AD$11,N228,FALSE),"")</f>
        <v>1</v>
      </c>
      <c r="D211" s="1601">
        <f t="shared" si="301"/>
        <v>0</v>
      </c>
      <c r="E211" s="1601">
        <f t="shared" si="302"/>
        <v>0</v>
      </c>
      <c r="F211" s="1586"/>
      <c r="G211" s="1586"/>
      <c r="H211" s="1586"/>
      <c r="I211" s="1586"/>
      <c r="J211" s="1586"/>
      <c r="K211" s="1586"/>
      <c r="L211" s="1475"/>
      <c r="M211" s="1475"/>
      <c r="N211" s="1430"/>
      <c r="O211" s="1640" t="s">
        <v>884</v>
      </c>
      <c r="P211" s="1777">
        <v>31</v>
      </c>
      <c r="Q211" s="1778">
        <f>'Potable Water Calculator'!D42</f>
        <v>3</v>
      </c>
      <c r="R211" s="1779">
        <f>'Potable Water Calculator'!C213</f>
        <v>1</v>
      </c>
      <c r="S211" s="1495">
        <f t="shared" si="279"/>
        <v>0</v>
      </c>
      <c r="T211" s="1495">
        <f t="shared" si="280"/>
        <v>0</v>
      </c>
      <c r="U211" s="1495">
        <f t="shared" si="281"/>
        <v>0</v>
      </c>
      <c r="V211" s="1495">
        <f t="shared" si="282"/>
        <v>0</v>
      </c>
      <c r="W211" s="1495">
        <f t="shared" si="283"/>
        <v>0</v>
      </c>
      <c r="X211" s="1495">
        <f t="shared" si="284"/>
        <v>0</v>
      </c>
      <c r="Y211" s="1495">
        <f t="shared" si="285"/>
        <v>0</v>
      </c>
      <c r="Z211" s="1495">
        <f t="shared" si="286"/>
        <v>0</v>
      </c>
      <c r="AA211" s="1495">
        <f t="shared" si="287"/>
        <v>0</v>
      </c>
      <c r="AB211" s="1495">
        <f t="shared" si="288"/>
        <v>0</v>
      </c>
      <c r="AC211" s="1495">
        <f t="shared" si="289"/>
        <v>0</v>
      </c>
      <c r="AD211" s="1495">
        <f t="shared" si="290"/>
        <v>0</v>
      </c>
      <c r="AE211" s="1495">
        <f t="shared" si="291"/>
        <v>0</v>
      </c>
      <c r="AF211" s="1495">
        <f t="shared" si="292"/>
        <v>0</v>
      </c>
      <c r="AG211" s="1495">
        <f t="shared" si="293"/>
        <v>0</v>
      </c>
      <c r="AH211" s="1436">
        <f t="shared" si="294"/>
        <v>0</v>
      </c>
      <c r="AI211" s="1495">
        <f t="shared" si="295"/>
        <v>0</v>
      </c>
      <c r="AJ211" s="1495">
        <f t="shared" si="296"/>
        <v>0</v>
      </c>
      <c r="AK211" s="1495">
        <f t="shared" si="297"/>
        <v>0</v>
      </c>
      <c r="AL211" s="1495">
        <f t="shared" si="298"/>
        <v>0</v>
      </c>
      <c r="AM211" s="1495">
        <f t="shared" si="299"/>
        <v>0</v>
      </c>
      <c r="AN211" s="1495">
        <f t="shared" si="300"/>
        <v>0</v>
      </c>
      <c r="AO211" s="1430"/>
      <c r="AP211" s="1430"/>
      <c r="AQ211" s="1430"/>
      <c r="AR211" s="1430"/>
      <c r="AS211" s="1430"/>
      <c r="AT211" s="1430"/>
      <c r="AU211" s="1430"/>
      <c r="AV211" s="1430"/>
      <c r="AW211" s="1430"/>
      <c r="AX211" s="1430"/>
      <c r="AY211" s="1430"/>
      <c r="AZ211" s="1430"/>
      <c r="BA211" s="1430"/>
      <c r="BB211" s="1430"/>
      <c r="BC211" s="1430"/>
      <c r="BD211" s="1720"/>
      <c r="BE211" s="1571" t="s">
        <v>1214</v>
      </c>
      <c r="BF211" s="1436">
        <v>22</v>
      </c>
      <c r="BG211" s="1436">
        <v>11</v>
      </c>
      <c r="BH211" s="1436">
        <v>7</v>
      </c>
      <c r="BI211" s="1495" t="b">
        <f t="shared" si="217"/>
        <v>0</v>
      </c>
      <c r="BJ211" s="1450" t="b">
        <f t="shared" si="253"/>
        <v>0</v>
      </c>
      <c r="BK211" s="1572">
        <f t="shared" si="254"/>
        <v>0</v>
      </c>
      <c r="BL211" s="1581">
        <f>IF(SUM(BL$201:BL210,BK211)&gt;$BP$4,0,BK211)</f>
        <v>0</v>
      </c>
      <c r="BM211" s="1436">
        <f t="shared" si="202"/>
        <v>0</v>
      </c>
      <c r="BN211" s="1495">
        <f t="shared" si="203"/>
        <v>0</v>
      </c>
      <c r="BO211" s="1437">
        <f t="shared" si="222"/>
        <v>0</v>
      </c>
      <c r="BP211" s="1762">
        <f t="shared" si="255"/>
        <v>0</v>
      </c>
      <c r="BQ211" s="1577">
        <f t="shared" si="256"/>
        <v>0</v>
      </c>
      <c r="BR211" s="1576">
        <f t="shared" si="204"/>
        <v>0</v>
      </c>
      <c r="BS211" s="1574">
        <f t="shared" si="257"/>
        <v>0</v>
      </c>
      <c r="BT211" s="1577">
        <f t="shared" si="258"/>
        <v>0</v>
      </c>
      <c r="BU211" s="1576">
        <f t="shared" si="205"/>
        <v>0</v>
      </c>
      <c r="BV211" s="1574">
        <f t="shared" si="259"/>
        <v>0</v>
      </c>
      <c r="BW211" s="1577">
        <f t="shared" si="260"/>
        <v>0</v>
      </c>
      <c r="BX211" s="1576">
        <f t="shared" si="206"/>
        <v>0</v>
      </c>
      <c r="BY211" s="1574">
        <f t="shared" si="261"/>
        <v>0</v>
      </c>
      <c r="BZ211" s="1577">
        <f t="shared" si="262"/>
        <v>0</v>
      </c>
      <c r="CA211" s="1576">
        <f t="shared" si="207"/>
        <v>0</v>
      </c>
      <c r="CB211" s="1495">
        <f t="shared" si="263"/>
        <v>0</v>
      </c>
      <c r="CC211" s="1577">
        <f t="shared" si="264"/>
        <v>0</v>
      </c>
      <c r="CD211" s="1576">
        <f t="shared" si="208"/>
        <v>0</v>
      </c>
      <c r="CE211" s="1495">
        <f t="shared" si="265"/>
        <v>0</v>
      </c>
      <c r="CF211" s="1577">
        <f t="shared" si="266"/>
        <v>0</v>
      </c>
      <c r="CG211" s="1576">
        <f t="shared" si="209"/>
        <v>0</v>
      </c>
      <c r="CH211" s="1495">
        <f t="shared" si="267"/>
        <v>0</v>
      </c>
      <c r="CI211" s="1577">
        <f t="shared" si="268"/>
        <v>0</v>
      </c>
      <c r="CJ211" s="1576">
        <f t="shared" si="210"/>
        <v>0</v>
      </c>
      <c r="CK211" s="1495">
        <f t="shared" si="269"/>
        <v>0</v>
      </c>
      <c r="CL211" s="1577">
        <f t="shared" si="270"/>
        <v>0</v>
      </c>
      <c r="CM211" s="1576">
        <f t="shared" si="211"/>
        <v>0</v>
      </c>
      <c r="CN211" s="1495">
        <f t="shared" si="271"/>
        <v>0</v>
      </c>
      <c r="CO211" s="1577">
        <f t="shared" si="272"/>
        <v>0</v>
      </c>
      <c r="CP211" s="1576">
        <f t="shared" si="212"/>
        <v>0</v>
      </c>
      <c r="CQ211" s="1495">
        <f t="shared" si="273"/>
        <v>0</v>
      </c>
      <c r="CR211" s="1577">
        <f t="shared" si="274"/>
        <v>0</v>
      </c>
      <c r="CS211" s="1576">
        <f t="shared" si="213"/>
        <v>0</v>
      </c>
      <c r="CT211" s="1495">
        <f t="shared" si="275"/>
        <v>0</v>
      </c>
      <c r="CU211" s="1577">
        <f t="shared" si="276"/>
        <v>0</v>
      </c>
      <c r="CV211" s="1576">
        <f t="shared" si="214"/>
        <v>0</v>
      </c>
      <c r="CW211" s="1495">
        <f t="shared" si="277"/>
        <v>0</v>
      </c>
      <c r="CX211" s="1577">
        <f t="shared" si="278"/>
        <v>0</v>
      </c>
      <c r="CY211" s="1576">
        <f t="shared" si="215"/>
        <v>0</v>
      </c>
      <c r="CZ211" s="1574">
        <f t="shared" si="216"/>
        <v>0</v>
      </c>
      <c r="DA211" s="1578">
        <f t="shared" si="218"/>
        <v>0</v>
      </c>
      <c r="DB211" s="1579">
        <f t="shared" si="219"/>
        <v>0</v>
      </c>
      <c r="DC211" s="1578">
        <f t="shared" si="220"/>
        <v>0</v>
      </c>
      <c r="DD211" s="1578">
        <f t="shared" si="220"/>
        <v>0</v>
      </c>
      <c r="DE211" s="1578">
        <f t="shared" si="220"/>
        <v>0</v>
      </c>
      <c r="DF211" s="1578">
        <f t="shared" si="221"/>
        <v>0</v>
      </c>
      <c r="DG211" s="1538"/>
      <c r="DH211" s="1538"/>
      <c r="DI211" s="1422"/>
      <c r="DJ211" s="1753" t="s">
        <v>1712</v>
      </c>
      <c r="DK211" s="1773">
        <v>1</v>
      </c>
      <c r="DL211" s="1472"/>
      <c r="DM211" s="1428"/>
      <c r="DN211" s="1753" t="s">
        <v>1743</v>
      </c>
      <c r="DO211" s="1783" t="s">
        <v>1735</v>
      </c>
      <c r="DP211" s="1428"/>
      <c r="DQ211" s="1422"/>
      <c r="DR211" s="1428"/>
      <c r="DS211" s="1428"/>
      <c r="DT211" s="1428"/>
      <c r="DU211" s="1428"/>
      <c r="DV211" s="1428"/>
      <c r="DW211" s="1428"/>
      <c r="DX211" s="1428"/>
      <c r="DY211" s="1428"/>
      <c r="DZ211" s="1428"/>
      <c r="EA211" s="1428"/>
      <c r="EB211" s="1428"/>
      <c r="EC211" s="1428"/>
      <c r="ED211" s="1428"/>
      <c r="EE211" s="1428"/>
      <c r="EF211" s="1428"/>
      <c r="EG211" s="1428"/>
      <c r="EH211" s="1428"/>
      <c r="EI211" s="1428"/>
      <c r="EJ211" s="1428"/>
      <c r="EK211" s="1428"/>
      <c r="EL211" s="1428"/>
      <c r="EM211" s="1428"/>
      <c r="EN211" s="1428"/>
      <c r="EO211" s="1428"/>
      <c r="EP211" s="1428"/>
      <c r="EQ211" s="1428"/>
      <c r="ER211" s="1428"/>
      <c r="ES211" s="1428"/>
      <c r="ET211" s="1428"/>
      <c r="EU211" s="1428"/>
    </row>
    <row r="212" spans="1:151" s="1440" customFormat="1" ht="15" customHeight="1">
      <c r="A212" s="1603"/>
      <c r="B212" s="1600" t="s">
        <v>883</v>
      </c>
      <c r="C212" s="1674">
        <f>IFERROR(VLOOKUP($D$32,'Rainfall data'!$R$6:$AD$11,N229,FALSE),"")</f>
        <v>1</v>
      </c>
      <c r="D212" s="1601">
        <f t="shared" si="301"/>
        <v>0</v>
      </c>
      <c r="E212" s="1601">
        <f t="shared" si="302"/>
        <v>0</v>
      </c>
      <c r="F212" s="1586"/>
      <c r="G212" s="1586"/>
      <c r="H212" s="1586"/>
      <c r="I212" s="1586"/>
      <c r="J212" s="1586"/>
      <c r="K212" s="1586"/>
      <c r="L212" s="1475"/>
      <c r="M212" s="1475"/>
      <c r="N212" s="1430"/>
      <c r="O212" s="1640" t="s">
        <v>885</v>
      </c>
      <c r="P212" s="1777">
        <v>31</v>
      </c>
      <c r="Q212" s="1778">
        <f>'Potable Water Calculator'!D43</f>
        <v>6</v>
      </c>
      <c r="R212" s="1779">
        <f>'Potable Water Calculator'!C214</f>
        <v>1</v>
      </c>
      <c r="S212" s="1495">
        <f t="shared" si="279"/>
        <v>0</v>
      </c>
      <c r="T212" s="1495">
        <f t="shared" si="280"/>
        <v>0</v>
      </c>
      <c r="U212" s="1495">
        <f t="shared" si="281"/>
        <v>0</v>
      </c>
      <c r="V212" s="1495">
        <f t="shared" si="282"/>
        <v>0</v>
      </c>
      <c r="W212" s="1495">
        <f t="shared" si="283"/>
        <v>0</v>
      </c>
      <c r="X212" s="1495">
        <f t="shared" si="284"/>
        <v>0</v>
      </c>
      <c r="Y212" s="1495">
        <f t="shared" si="285"/>
        <v>0</v>
      </c>
      <c r="Z212" s="1495">
        <f t="shared" si="286"/>
        <v>0</v>
      </c>
      <c r="AA212" s="1495">
        <f t="shared" si="287"/>
        <v>0</v>
      </c>
      <c r="AB212" s="1495">
        <f t="shared" si="288"/>
        <v>0</v>
      </c>
      <c r="AC212" s="1495">
        <f t="shared" si="289"/>
        <v>0</v>
      </c>
      <c r="AD212" s="1495">
        <f t="shared" si="290"/>
        <v>0</v>
      </c>
      <c r="AE212" s="1495">
        <f t="shared" si="291"/>
        <v>0</v>
      </c>
      <c r="AF212" s="1495">
        <f t="shared" si="292"/>
        <v>0</v>
      </c>
      <c r="AG212" s="1495">
        <f t="shared" si="293"/>
        <v>0</v>
      </c>
      <c r="AH212" s="1436">
        <f t="shared" si="294"/>
        <v>0</v>
      </c>
      <c r="AI212" s="1495">
        <f t="shared" si="295"/>
        <v>0</v>
      </c>
      <c r="AJ212" s="1495">
        <f t="shared" si="296"/>
        <v>0</v>
      </c>
      <c r="AK212" s="1495">
        <f t="shared" si="297"/>
        <v>0</v>
      </c>
      <c r="AL212" s="1495">
        <f t="shared" si="298"/>
        <v>0</v>
      </c>
      <c r="AM212" s="1495">
        <f t="shared" si="299"/>
        <v>0</v>
      </c>
      <c r="AN212" s="1495">
        <f t="shared" si="300"/>
        <v>0</v>
      </c>
      <c r="AO212" s="1430"/>
      <c r="AP212" s="1430"/>
      <c r="AQ212" s="1430"/>
      <c r="AR212" s="1430"/>
      <c r="AS212" s="1430"/>
      <c r="AT212" s="1430"/>
      <c r="AU212" s="1430"/>
      <c r="AV212" s="1430"/>
      <c r="AW212" s="1430"/>
      <c r="AX212" s="1430"/>
      <c r="AY212" s="1430"/>
      <c r="AZ212" s="1430"/>
      <c r="BA212" s="1430"/>
      <c r="BB212" s="1430"/>
      <c r="BC212" s="1430"/>
      <c r="BD212" s="1720"/>
      <c r="BE212" s="1571" t="s">
        <v>1214</v>
      </c>
      <c r="BF212" s="1436">
        <v>22</v>
      </c>
      <c r="BG212" s="1436">
        <v>12</v>
      </c>
      <c r="BH212" s="1436">
        <v>1</v>
      </c>
      <c r="BI212" s="1495" t="b">
        <f t="shared" si="217"/>
        <v>1</v>
      </c>
      <c r="BJ212" s="1450" t="b">
        <f t="shared" si="253"/>
        <v>0</v>
      </c>
      <c r="BK212" s="1572">
        <f t="shared" si="254"/>
        <v>0</v>
      </c>
      <c r="BL212" s="1581">
        <f>IF(SUM(BL$201:BL211,BK212)&gt;$BP$4,0,BK212)</f>
        <v>0</v>
      </c>
      <c r="BM212" s="1436">
        <f t="shared" ref="BM212:BM275" si="303">BL212*$BJ$13</f>
        <v>0</v>
      </c>
      <c r="BN212" s="1495">
        <f t="shared" ref="BN212:BN275" si="304">$BJ$14*(BL212&gt;0)</f>
        <v>0</v>
      </c>
      <c r="BO212" s="1437">
        <f t="shared" si="222"/>
        <v>0</v>
      </c>
      <c r="BP212" s="1762">
        <f t="shared" si="255"/>
        <v>0</v>
      </c>
      <c r="BQ212" s="1577">
        <f t="shared" si="256"/>
        <v>0</v>
      </c>
      <c r="BR212" s="1576">
        <f t="shared" ref="BR212:BR275" si="305">IF(BP212-(BQ212*$BR$17)&gt;0,BP212-(BQ212*$BR$17),0)</f>
        <v>0</v>
      </c>
      <c r="BS212" s="1574">
        <f t="shared" si="257"/>
        <v>0</v>
      </c>
      <c r="BT212" s="1577">
        <f t="shared" si="258"/>
        <v>0</v>
      </c>
      <c r="BU212" s="1576">
        <f t="shared" ref="BU212:BU275" si="306">IF(BS212-(BT212*BU$17)&gt;0,BS212-(BT212*BU$17),0)</f>
        <v>0</v>
      </c>
      <c r="BV212" s="1574">
        <f t="shared" si="259"/>
        <v>0</v>
      </c>
      <c r="BW212" s="1577">
        <f t="shared" si="260"/>
        <v>0</v>
      </c>
      <c r="BX212" s="1576">
        <f t="shared" ref="BX212:BX275" si="307">IF(BV212-(BW212*BX$17)&gt;0,BV212-(BW212*BX$17),0)</f>
        <v>0</v>
      </c>
      <c r="BY212" s="1574">
        <f t="shared" si="261"/>
        <v>0</v>
      </c>
      <c r="BZ212" s="1577">
        <f t="shared" si="262"/>
        <v>0</v>
      </c>
      <c r="CA212" s="1576">
        <f t="shared" ref="CA212:CA275" si="308">IF(BY212-(BZ212*CA$17)&gt;0,BY212-(BZ212*CA$17),0)</f>
        <v>0</v>
      </c>
      <c r="CB212" s="1495">
        <f t="shared" si="263"/>
        <v>0</v>
      </c>
      <c r="CC212" s="1577">
        <f t="shared" si="264"/>
        <v>0</v>
      </c>
      <c r="CD212" s="1576">
        <f t="shared" ref="CD212:CD275" si="309">IF(CB212-(CC212*CD$17)&gt;0,CB212-(CC212*CD$17),0)</f>
        <v>0</v>
      </c>
      <c r="CE212" s="1495">
        <f t="shared" si="265"/>
        <v>0</v>
      </c>
      <c r="CF212" s="1577">
        <f t="shared" si="266"/>
        <v>0</v>
      </c>
      <c r="CG212" s="1576">
        <f t="shared" ref="CG212:CG275" si="310">IF(CE212-(CF212*CG$17)&gt;0,CE212-(CF212*CG$17),0)</f>
        <v>0</v>
      </c>
      <c r="CH212" s="1495">
        <f t="shared" si="267"/>
        <v>0</v>
      </c>
      <c r="CI212" s="1577">
        <f t="shared" si="268"/>
        <v>0</v>
      </c>
      <c r="CJ212" s="1576">
        <f t="shared" ref="CJ212:CJ275" si="311">IF(CH212-(CI212*CJ$17)&gt;0,CH212-(CI212*CJ$17),0)</f>
        <v>0</v>
      </c>
      <c r="CK212" s="1495">
        <f t="shared" si="269"/>
        <v>0</v>
      </c>
      <c r="CL212" s="1577">
        <f t="shared" si="270"/>
        <v>0</v>
      </c>
      <c r="CM212" s="1576">
        <f t="shared" ref="CM212:CM275" si="312">IF(CK212-(CL212*CM$17)&gt;0,CK212-(CL212*CM$17),0)</f>
        <v>0</v>
      </c>
      <c r="CN212" s="1495">
        <f t="shared" si="271"/>
        <v>0</v>
      </c>
      <c r="CO212" s="1577">
        <f t="shared" si="272"/>
        <v>0</v>
      </c>
      <c r="CP212" s="1576">
        <f t="shared" ref="CP212:CP275" si="313">IF(CN212-(CO212*CP$17)&gt;0,CN212-(CO212*CP$17),0)</f>
        <v>0</v>
      </c>
      <c r="CQ212" s="1495">
        <f t="shared" si="273"/>
        <v>0</v>
      </c>
      <c r="CR212" s="1577">
        <f t="shared" si="274"/>
        <v>0</v>
      </c>
      <c r="CS212" s="1576">
        <f t="shared" ref="CS212:CS275" si="314">IF(CQ212-(CR212*CS$17)&gt;0,CQ212-(CR212*CS$17),0)</f>
        <v>0</v>
      </c>
      <c r="CT212" s="1495">
        <f t="shared" si="275"/>
        <v>0</v>
      </c>
      <c r="CU212" s="1577">
        <f t="shared" si="276"/>
        <v>0</v>
      </c>
      <c r="CV212" s="1576">
        <f t="shared" ref="CV212:CV275" si="315">IF(CT212-(CU212*CV$17)&gt;0,CT212-(CU212*CV$17),0)</f>
        <v>0</v>
      </c>
      <c r="CW212" s="1495">
        <f t="shared" si="277"/>
        <v>0</v>
      </c>
      <c r="CX212" s="1577">
        <f t="shared" si="278"/>
        <v>0</v>
      </c>
      <c r="CY212" s="1576">
        <f t="shared" ref="CY212:CY275" si="316">IF(CW212-(CX212*CY$17)&gt;0,CW212-(CX212*CY$17),0)</f>
        <v>0</v>
      </c>
      <c r="CZ212" s="1574">
        <f t="shared" ref="CZ212:CZ275" si="317">BO212</f>
        <v>0</v>
      </c>
      <c r="DA212" s="1578">
        <f t="shared" si="218"/>
        <v>0</v>
      </c>
      <c r="DB212" s="1579">
        <f t="shared" si="219"/>
        <v>0</v>
      </c>
      <c r="DC212" s="1578">
        <f t="shared" si="220"/>
        <v>0</v>
      </c>
      <c r="DD212" s="1578">
        <f t="shared" si="220"/>
        <v>0</v>
      </c>
      <c r="DE212" s="1578">
        <f t="shared" si="220"/>
        <v>0</v>
      </c>
      <c r="DF212" s="1578">
        <f t="shared" si="221"/>
        <v>0</v>
      </c>
      <c r="DG212" s="1538"/>
      <c r="DH212" s="1538"/>
      <c r="DI212" s="1422"/>
      <c r="DJ212" s="1753" t="s">
        <v>1745</v>
      </c>
      <c r="DK212" s="1773">
        <v>0.8</v>
      </c>
      <c r="DL212" s="1428"/>
      <c r="DM212" s="1428"/>
      <c r="DN212" s="1753" t="s">
        <v>1748</v>
      </c>
      <c r="DO212" s="1783" t="s">
        <v>1749</v>
      </c>
      <c r="DP212" s="1428"/>
      <c r="DQ212" s="1422"/>
      <c r="DR212" s="1428"/>
      <c r="DS212" s="1428"/>
      <c r="DT212" s="1428"/>
      <c r="DU212" s="1428"/>
      <c r="DV212" s="1428"/>
      <c r="DW212" s="1428"/>
      <c r="DX212" s="1428"/>
      <c r="DY212" s="1428"/>
      <c r="DZ212" s="1428"/>
      <c r="EA212" s="1428"/>
      <c r="EB212" s="1428"/>
      <c r="EC212" s="1428"/>
      <c r="ED212" s="1428"/>
      <c r="EE212" s="1428"/>
      <c r="EF212" s="1428"/>
      <c r="EG212" s="1428"/>
      <c r="EH212" s="1428"/>
      <c r="EI212" s="1428"/>
      <c r="EJ212" s="1428"/>
      <c r="EK212" s="1428"/>
      <c r="EL212" s="1428"/>
      <c r="EM212" s="1428"/>
      <c r="EN212" s="1428"/>
      <c r="EO212" s="1428"/>
      <c r="EP212" s="1428"/>
      <c r="EQ212" s="1428"/>
      <c r="ER212" s="1428"/>
      <c r="ES212" s="1428"/>
      <c r="ET212" s="1428"/>
      <c r="EU212" s="1428"/>
    </row>
    <row r="213" spans="1:151" s="1440" customFormat="1">
      <c r="A213" s="1587"/>
      <c r="B213" s="1600" t="s">
        <v>884</v>
      </c>
      <c r="C213" s="1674">
        <f>IFERROR(VLOOKUP($D$32,'Rainfall data'!$R$6:$AD$11,N230,FALSE),"")</f>
        <v>1</v>
      </c>
      <c r="D213" s="1601">
        <f t="shared" si="301"/>
        <v>0</v>
      </c>
      <c r="E213" s="1601">
        <f t="shared" si="302"/>
        <v>0</v>
      </c>
      <c r="F213" s="1586"/>
      <c r="G213" s="1586"/>
      <c r="H213" s="1586"/>
      <c r="I213" s="1586"/>
      <c r="J213" s="1586"/>
      <c r="K213" s="1586"/>
      <c r="L213" s="1475"/>
      <c r="M213" s="1475"/>
      <c r="N213" s="1461"/>
      <c r="O213" s="1640" t="s">
        <v>802</v>
      </c>
      <c r="P213" s="1777">
        <v>30</v>
      </c>
      <c r="Q213" s="1778">
        <f>'Potable Water Calculator'!D44</f>
        <v>17</v>
      </c>
      <c r="R213" s="1779">
        <f>'Potable Water Calculator'!C215</f>
        <v>1</v>
      </c>
      <c r="S213" s="1495">
        <f t="shared" si="279"/>
        <v>0</v>
      </c>
      <c r="T213" s="1495">
        <f t="shared" si="280"/>
        <v>0</v>
      </c>
      <c r="U213" s="1495">
        <f t="shared" si="281"/>
        <v>0</v>
      </c>
      <c r="V213" s="1495">
        <f t="shared" si="282"/>
        <v>0</v>
      </c>
      <c r="W213" s="1495">
        <f t="shared" si="283"/>
        <v>0</v>
      </c>
      <c r="X213" s="1495">
        <f t="shared" si="284"/>
        <v>0</v>
      </c>
      <c r="Y213" s="1495">
        <f t="shared" si="285"/>
        <v>0</v>
      </c>
      <c r="Z213" s="1495">
        <f t="shared" si="286"/>
        <v>0</v>
      </c>
      <c r="AA213" s="1495">
        <f t="shared" si="287"/>
        <v>0</v>
      </c>
      <c r="AB213" s="1495">
        <f t="shared" si="288"/>
        <v>0</v>
      </c>
      <c r="AC213" s="1495">
        <f t="shared" si="289"/>
        <v>0</v>
      </c>
      <c r="AD213" s="1495">
        <f t="shared" si="290"/>
        <v>0</v>
      </c>
      <c r="AE213" s="1495">
        <f t="shared" si="291"/>
        <v>0</v>
      </c>
      <c r="AF213" s="1495">
        <f t="shared" si="292"/>
        <v>0</v>
      </c>
      <c r="AG213" s="1495">
        <f t="shared" si="293"/>
        <v>0</v>
      </c>
      <c r="AH213" s="1436">
        <f t="shared" si="294"/>
        <v>0</v>
      </c>
      <c r="AI213" s="1495">
        <f t="shared" si="295"/>
        <v>0</v>
      </c>
      <c r="AJ213" s="1495">
        <f t="shared" si="296"/>
        <v>0</v>
      </c>
      <c r="AK213" s="1495">
        <f t="shared" si="297"/>
        <v>0</v>
      </c>
      <c r="AL213" s="1495">
        <f t="shared" si="298"/>
        <v>0</v>
      </c>
      <c r="AM213" s="1495">
        <f t="shared" si="299"/>
        <v>0</v>
      </c>
      <c r="AN213" s="1495">
        <f t="shared" si="300"/>
        <v>0</v>
      </c>
      <c r="AO213" s="1430"/>
      <c r="AP213" s="1430"/>
      <c r="AQ213" s="1430"/>
      <c r="AR213" s="1430"/>
      <c r="AS213" s="1430"/>
      <c r="AT213" s="1430"/>
      <c r="AU213" s="1430"/>
      <c r="AV213" s="1430"/>
      <c r="AW213" s="1430"/>
      <c r="AX213" s="1430"/>
      <c r="AY213" s="1430"/>
      <c r="AZ213" s="1430"/>
      <c r="BA213" s="1430"/>
      <c r="BB213" s="1430"/>
      <c r="BC213" s="1430"/>
      <c r="BD213" s="1720"/>
      <c r="BE213" s="1571" t="s">
        <v>1214</v>
      </c>
      <c r="BF213" s="1436">
        <v>22</v>
      </c>
      <c r="BG213" s="1436">
        <v>13</v>
      </c>
      <c r="BH213" s="1436">
        <v>2</v>
      </c>
      <c r="BI213" s="1495" t="b">
        <f t="shared" ref="BI213:BI276" si="318">BH213&lt;=5</f>
        <v>1</v>
      </c>
      <c r="BJ213" s="1450" t="b">
        <f t="shared" si="253"/>
        <v>0</v>
      </c>
      <c r="BK213" s="1572">
        <f t="shared" si="254"/>
        <v>0</v>
      </c>
      <c r="BL213" s="1581">
        <f>IF(SUM(BL$201:BL212,BK213)&gt;$BP$4,0,BK213)</f>
        <v>0</v>
      </c>
      <c r="BM213" s="1436">
        <f t="shared" si="303"/>
        <v>0</v>
      </c>
      <c r="BN213" s="1495">
        <f t="shared" si="304"/>
        <v>0</v>
      </c>
      <c r="BO213" s="1437">
        <f t="shared" si="222"/>
        <v>0</v>
      </c>
      <c r="BP213" s="1762">
        <f t="shared" si="255"/>
        <v>0</v>
      </c>
      <c r="BQ213" s="1577">
        <f t="shared" si="256"/>
        <v>0</v>
      </c>
      <c r="BR213" s="1576">
        <f t="shared" si="305"/>
        <v>0</v>
      </c>
      <c r="BS213" s="1574">
        <f t="shared" si="257"/>
        <v>0</v>
      </c>
      <c r="BT213" s="1577">
        <f t="shared" si="258"/>
        <v>0</v>
      </c>
      <c r="BU213" s="1576">
        <f t="shared" si="306"/>
        <v>0</v>
      </c>
      <c r="BV213" s="1574">
        <f t="shared" si="259"/>
        <v>0</v>
      </c>
      <c r="BW213" s="1577">
        <f t="shared" si="260"/>
        <v>0</v>
      </c>
      <c r="BX213" s="1576">
        <f t="shared" si="307"/>
        <v>0</v>
      </c>
      <c r="BY213" s="1574">
        <f t="shared" si="261"/>
        <v>0</v>
      </c>
      <c r="BZ213" s="1577">
        <f t="shared" si="262"/>
        <v>0</v>
      </c>
      <c r="CA213" s="1576">
        <f t="shared" si="308"/>
        <v>0</v>
      </c>
      <c r="CB213" s="1495">
        <f t="shared" si="263"/>
        <v>0</v>
      </c>
      <c r="CC213" s="1577">
        <f t="shared" si="264"/>
        <v>0</v>
      </c>
      <c r="CD213" s="1576">
        <f t="shared" si="309"/>
        <v>0</v>
      </c>
      <c r="CE213" s="1495">
        <f t="shared" si="265"/>
        <v>0</v>
      </c>
      <c r="CF213" s="1577">
        <f t="shared" si="266"/>
        <v>0</v>
      </c>
      <c r="CG213" s="1576">
        <f t="shared" si="310"/>
        <v>0</v>
      </c>
      <c r="CH213" s="1495">
        <f t="shared" si="267"/>
        <v>0</v>
      </c>
      <c r="CI213" s="1577">
        <f t="shared" si="268"/>
        <v>0</v>
      </c>
      <c r="CJ213" s="1576">
        <f t="shared" si="311"/>
        <v>0</v>
      </c>
      <c r="CK213" s="1495">
        <f t="shared" si="269"/>
        <v>0</v>
      </c>
      <c r="CL213" s="1577">
        <f t="shared" si="270"/>
        <v>0</v>
      </c>
      <c r="CM213" s="1576">
        <f t="shared" si="312"/>
        <v>0</v>
      </c>
      <c r="CN213" s="1495">
        <f t="shared" si="271"/>
        <v>0</v>
      </c>
      <c r="CO213" s="1577">
        <f t="shared" si="272"/>
        <v>0</v>
      </c>
      <c r="CP213" s="1576">
        <f t="shared" si="313"/>
        <v>0</v>
      </c>
      <c r="CQ213" s="1495">
        <f t="shared" si="273"/>
        <v>0</v>
      </c>
      <c r="CR213" s="1577">
        <f t="shared" si="274"/>
        <v>0</v>
      </c>
      <c r="CS213" s="1576">
        <f t="shared" si="314"/>
        <v>0</v>
      </c>
      <c r="CT213" s="1495">
        <f t="shared" si="275"/>
        <v>0</v>
      </c>
      <c r="CU213" s="1577">
        <f t="shared" si="276"/>
        <v>0</v>
      </c>
      <c r="CV213" s="1576">
        <f t="shared" si="315"/>
        <v>0</v>
      </c>
      <c r="CW213" s="1495">
        <f t="shared" si="277"/>
        <v>0</v>
      </c>
      <c r="CX213" s="1577">
        <f t="shared" si="278"/>
        <v>0</v>
      </c>
      <c r="CY213" s="1576">
        <f t="shared" si="316"/>
        <v>0</v>
      </c>
      <c r="CZ213" s="1574">
        <f t="shared" si="317"/>
        <v>0</v>
      </c>
      <c r="DA213" s="1578">
        <f t="shared" ref="DA213:DA276" si="319">BR213+BU213+BX213+CA213+CD213+CG213+CJ213+CM213+CP213+CS213+CV213+CY213</f>
        <v>0</v>
      </c>
      <c r="DB213" s="1579">
        <f t="shared" ref="DB213:DB276" si="320">CZ213-DA213</f>
        <v>0</v>
      </c>
      <c r="DC213" s="1578">
        <f t="shared" ref="DC213:DE276" si="321">IF(DC212+$DB213&lt;0,0,IF(DC212+$DB213&gt;$F$405,$F$405,DC212+$DB213))</f>
        <v>0</v>
      </c>
      <c r="DD213" s="1578">
        <f t="shared" si="321"/>
        <v>0</v>
      </c>
      <c r="DE213" s="1578">
        <f t="shared" si="321"/>
        <v>0</v>
      </c>
      <c r="DF213" s="1578">
        <f t="shared" si="221"/>
        <v>0</v>
      </c>
      <c r="DG213" s="1538"/>
      <c r="DH213" s="1538"/>
      <c r="DI213" s="1422"/>
      <c r="DJ213" s="1428"/>
      <c r="DK213" s="1428"/>
      <c r="DL213" s="1428"/>
      <c r="DM213" s="1428"/>
      <c r="DN213" s="1753" t="s">
        <v>1753</v>
      </c>
      <c r="DO213" s="1783" t="s">
        <v>1735</v>
      </c>
      <c r="DP213" s="1428"/>
      <c r="DQ213" s="1422"/>
      <c r="DR213" s="1428"/>
      <c r="DS213" s="1428"/>
      <c r="DT213" s="1428"/>
      <c r="DU213" s="1428"/>
      <c r="DV213" s="1428"/>
      <c r="DW213" s="1428"/>
      <c r="DX213" s="1428"/>
      <c r="DY213" s="1428"/>
      <c r="DZ213" s="1428"/>
      <c r="EA213" s="1428"/>
      <c r="EB213" s="1428"/>
      <c r="EC213" s="1428"/>
      <c r="ED213" s="1428"/>
      <c r="EE213" s="1428"/>
      <c r="EF213" s="1428"/>
      <c r="EG213" s="1428"/>
      <c r="EH213" s="1428"/>
      <c r="EI213" s="1428"/>
      <c r="EJ213" s="1428"/>
      <c r="EK213" s="1428"/>
      <c r="EL213" s="1428"/>
      <c r="EM213" s="1428"/>
      <c r="EN213" s="1428"/>
      <c r="EO213" s="1428"/>
      <c r="EP213" s="1428"/>
      <c r="EQ213" s="1428"/>
      <c r="ER213" s="1428"/>
      <c r="ES213" s="1428"/>
      <c r="ET213" s="1428"/>
      <c r="EU213" s="1428"/>
    </row>
    <row r="214" spans="1:151" s="1440" customFormat="1">
      <c r="A214" s="1587"/>
      <c r="B214" s="1600" t="s">
        <v>885</v>
      </c>
      <c r="C214" s="1674">
        <f>IFERROR(VLOOKUP($D$32,'Rainfall data'!$R$6:$AD$11,N231,FALSE),"")</f>
        <v>1</v>
      </c>
      <c r="D214" s="1601">
        <f t="shared" si="301"/>
        <v>0</v>
      </c>
      <c r="E214" s="1601">
        <f t="shared" si="302"/>
        <v>0</v>
      </c>
      <c r="F214" s="1475"/>
      <c r="G214" s="1475"/>
      <c r="H214" s="1475"/>
      <c r="I214" s="1586"/>
      <c r="J214" s="1586"/>
      <c r="K214" s="1586"/>
      <c r="L214" s="1721"/>
      <c r="M214" s="1721"/>
      <c r="N214" s="1430"/>
      <c r="O214" s="1784" t="s">
        <v>803</v>
      </c>
      <c r="P214" s="1785">
        <v>31</v>
      </c>
      <c r="Q214" s="1786">
        <f>'Potable Water Calculator'!D45</f>
        <v>43</v>
      </c>
      <c r="R214" s="1787">
        <f>'Potable Water Calculator'!C216</f>
        <v>0.5</v>
      </c>
      <c r="S214" s="1614">
        <f t="shared" si="279"/>
        <v>0</v>
      </c>
      <c r="T214" s="1614">
        <f t="shared" si="280"/>
        <v>0</v>
      </c>
      <c r="U214" s="1614">
        <f t="shared" si="281"/>
        <v>0</v>
      </c>
      <c r="V214" s="1614">
        <f t="shared" si="282"/>
        <v>0</v>
      </c>
      <c r="W214" s="1614">
        <f t="shared" si="283"/>
        <v>0</v>
      </c>
      <c r="X214" s="1614">
        <f t="shared" si="284"/>
        <v>0</v>
      </c>
      <c r="Y214" s="1614">
        <f t="shared" si="285"/>
        <v>0</v>
      </c>
      <c r="Z214" s="1614">
        <f t="shared" si="286"/>
        <v>0</v>
      </c>
      <c r="AA214" s="1614">
        <f t="shared" si="287"/>
        <v>0</v>
      </c>
      <c r="AB214" s="1614">
        <f t="shared" si="288"/>
        <v>0</v>
      </c>
      <c r="AC214" s="1614">
        <f t="shared" si="289"/>
        <v>0</v>
      </c>
      <c r="AD214" s="1614">
        <f t="shared" si="290"/>
        <v>0</v>
      </c>
      <c r="AE214" s="1614">
        <f t="shared" si="291"/>
        <v>0</v>
      </c>
      <c r="AF214" s="1614">
        <f t="shared" si="292"/>
        <v>0</v>
      </c>
      <c r="AG214" s="1614">
        <f t="shared" si="293"/>
        <v>0</v>
      </c>
      <c r="AH214" s="1613">
        <f t="shared" si="294"/>
        <v>0</v>
      </c>
      <c r="AI214" s="1614">
        <f t="shared" si="295"/>
        <v>0</v>
      </c>
      <c r="AJ214" s="1614">
        <f t="shared" si="296"/>
        <v>0</v>
      </c>
      <c r="AK214" s="1614">
        <f t="shared" si="297"/>
        <v>0</v>
      </c>
      <c r="AL214" s="1614">
        <f t="shared" si="298"/>
        <v>0</v>
      </c>
      <c r="AM214" s="1614">
        <f t="shared" si="299"/>
        <v>0</v>
      </c>
      <c r="AN214" s="1614">
        <f t="shared" si="300"/>
        <v>0</v>
      </c>
      <c r="AO214" s="1430"/>
      <c r="AP214" s="1430"/>
      <c r="AQ214" s="1430"/>
      <c r="AR214" s="1430"/>
      <c r="AS214" s="1430"/>
      <c r="AT214" s="1430"/>
      <c r="AU214" s="1430"/>
      <c r="AV214" s="1430"/>
      <c r="AW214" s="1430"/>
      <c r="AX214" s="1430"/>
      <c r="AY214" s="1430"/>
      <c r="AZ214" s="1430"/>
      <c r="BA214" s="1430"/>
      <c r="BB214" s="1430"/>
      <c r="BC214" s="1430"/>
      <c r="BD214" s="1720"/>
      <c r="BE214" s="1571" t="s">
        <v>1214</v>
      </c>
      <c r="BF214" s="1436">
        <v>22</v>
      </c>
      <c r="BG214" s="1436">
        <v>14</v>
      </c>
      <c r="BH214" s="1436">
        <v>3</v>
      </c>
      <c r="BI214" s="1495" t="b">
        <f t="shared" si="318"/>
        <v>1</v>
      </c>
      <c r="BJ214" s="1450" t="b">
        <f t="shared" si="253"/>
        <v>0</v>
      </c>
      <c r="BK214" s="1572">
        <f t="shared" si="254"/>
        <v>0</v>
      </c>
      <c r="BL214" s="1581">
        <f>IF(SUM(BL$201:BL213,BK214)&gt;$BP$4,0,BK214)</f>
        <v>0</v>
      </c>
      <c r="BM214" s="1436">
        <f t="shared" si="303"/>
        <v>0</v>
      </c>
      <c r="BN214" s="1495">
        <f t="shared" si="304"/>
        <v>0</v>
      </c>
      <c r="BO214" s="1437">
        <f t="shared" si="222"/>
        <v>0</v>
      </c>
      <c r="BP214" s="1762">
        <f t="shared" si="255"/>
        <v>0</v>
      </c>
      <c r="BQ214" s="1577">
        <f t="shared" si="256"/>
        <v>0</v>
      </c>
      <c r="BR214" s="1576">
        <f t="shared" si="305"/>
        <v>0</v>
      </c>
      <c r="BS214" s="1574">
        <f t="shared" si="257"/>
        <v>0</v>
      </c>
      <c r="BT214" s="1577">
        <f t="shared" si="258"/>
        <v>0</v>
      </c>
      <c r="BU214" s="1576">
        <f t="shared" si="306"/>
        <v>0</v>
      </c>
      <c r="BV214" s="1574">
        <f t="shared" si="259"/>
        <v>0</v>
      </c>
      <c r="BW214" s="1577">
        <f t="shared" si="260"/>
        <v>0</v>
      </c>
      <c r="BX214" s="1576">
        <f t="shared" si="307"/>
        <v>0</v>
      </c>
      <c r="BY214" s="1574">
        <f t="shared" si="261"/>
        <v>0</v>
      </c>
      <c r="BZ214" s="1577">
        <f t="shared" si="262"/>
        <v>0</v>
      </c>
      <c r="CA214" s="1576">
        <f t="shared" si="308"/>
        <v>0</v>
      </c>
      <c r="CB214" s="1495">
        <f t="shared" si="263"/>
        <v>0</v>
      </c>
      <c r="CC214" s="1577">
        <f t="shared" si="264"/>
        <v>0</v>
      </c>
      <c r="CD214" s="1576">
        <f t="shared" si="309"/>
        <v>0</v>
      </c>
      <c r="CE214" s="1495">
        <f t="shared" si="265"/>
        <v>0</v>
      </c>
      <c r="CF214" s="1577">
        <f t="shared" si="266"/>
        <v>0</v>
      </c>
      <c r="CG214" s="1576">
        <f t="shared" si="310"/>
        <v>0</v>
      </c>
      <c r="CH214" s="1495">
        <f t="shared" si="267"/>
        <v>0</v>
      </c>
      <c r="CI214" s="1577">
        <f t="shared" si="268"/>
        <v>0</v>
      </c>
      <c r="CJ214" s="1576">
        <f t="shared" si="311"/>
        <v>0</v>
      </c>
      <c r="CK214" s="1495">
        <f t="shared" si="269"/>
        <v>0</v>
      </c>
      <c r="CL214" s="1577">
        <f t="shared" si="270"/>
        <v>0</v>
      </c>
      <c r="CM214" s="1576">
        <f t="shared" si="312"/>
        <v>0</v>
      </c>
      <c r="CN214" s="1495">
        <f t="shared" si="271"/>
        <v>0</v>
      </c>
      <c r="CO214" s="1577">
        <f t="shared" si="272"/>
        <v>0</v>
      </c>
      <c r="CP214" s="1576">
        <f t="shared" si="313"/>
        <v>0</v>
      </c>
      <c r="CQ214" s="1495">
        <f t="shared" si="273"/>
        <v>0</v>
      </c>
      <c r="CR214" s="1577">
        <f t="shared" si="274"/>
        <v>0</v>
      </c>
      <c r="CS214" s="1576">
        <f t="shared" si="314"/>
        <v>0</v>
      </c>
      <c r="CT214" s="1495">
        <f t="shared" si="275"/>
        <v>0</v>
      </c>
      <c r="CU214" s="1577">
        <f t="shared" si="276"/>
        <v>0</v>
      </c>
      <c r="CV214" s="1576">
        <f t="shared" si="315"/>
        <v>0</v>
      </c>
      <c r="CW214" s="1495">
        <f t="shared" si="277"/>
        <v>0</v>
      </c>
      <c r="CX214" s="1577">
        <f t="shared" si="278"/>
        <v>0</v>
      </c>
      <c r="CY214" s="1576">
        <f t="shared" si="316"/>
        <v>0</v>
      </c>
      <c r="CZ214" s="1574">
        <f t="shared" si="317"/>
        <v>0</v>
      </c>
      <c r="DA214" s="1578">
        <f t="shared" si="319"/>
        <v>0</v>
      </c>
      <c r="DB214" s="1579">
        <f t="shared" si="320"/>
        <v>0</v>
      </c>
      <c r="DC214" s="1578">
        <f t="shared" si="321"/>
        <v>0</v>
      </c>
      <c r="DD214" s="1578">
        <f t="shared" si="321"/>
        <v>0</v>
      </c>
      <c r="DE214" s="1578">
        <f t="shared" si="321"/>
        <v>0</v>
      </c>
      <c r="DF214" s="1578">
        <f t="shared" ref="DF214:DF277" si="322">IF(DA214-(DE213+CZ214)&lt;0,0,DA214-(DE213+CZ214))</f>
        <v>0</v>
      </c>
      <c r="DG214" s="1538"/>
      <c r="DH214" s="1538"/>
      <c r="DI214" s="1422"/>
      <c r="DJ214" s="1428"/>
      <c r="DK214" s="1428"/>
      <c r="DL214" s="1428"/>
      <c r="DM214" s="1428"/>
      <c r="DN214" s="1753" t="s">
        <v>1717</v>
      </c>
      <c r="DO214" s="1783">
        <v>1</v>
      </c>
      <c r="DP214" s="1428"/>
      <c r="DQ214" s="1422"/>
      <c r="DR214" s="1428"/>
      <c r="DS214" s="1428"/>
      <c r="DT214" s="1428"/>
      <c r="DU214" s="1428"/>
      <c r="DV214" s="1428"/>
      <c r="DW214" s="1428"/>
      <c r="DX214" s="1428"/>
      <c r="DY214" s="1428"/>
      <c r="DZ214" s="1428"/>
      <c r="EA214" s="1428"/>
      <c r="EB214" s="1428"/>
      <c r="EC214" s="1428"/>
      <c r="ED214" s="1428"/>
      <c r="EE214" s="1428"/>
      <c r="EF214" s="1428"/>
      <c r="EG214" s="1428"/>
      <c r="EH214" s="1428"/>
      <c r="EI214" s="1428"/>
      <c r="EJ214" s="1428"/>
      <c r="EK214" s="1428"/>
      <c r="EL214" s="1428"/>
      <c r="EM214" s="1428"/>
      <c r="EN214" s="1428"/>
      <c r="EO214" s="1428"/>
      <c r="EP214" s="1428"/>
      <c r="EQ214" s="1428"/>
      <c r="ER214" s="1428"/>
      <c r="ES214" s="1428"/>
      <c r="ET214" s="1428"/>
      <c r="EU214" s="1428"/>
    </row>
    <row r="215" spans="1:151" s="1440" customFormat="1">
      <c r="A215" s="1587"/>
      <c r="B215" s="1600" t="s">
        <v>802</v>
      </c>
      <c r="C215" s="1674">
        <f>IFERROR(VLOOKUP($D$32,'Rainfall data'!$R$6:$AD$11,N232,FALSE),"")</f>
        <v>1</v>
      </c>
      <c r="D215" s="1601">
        <f t="shared" si="301"/>
        <v>0</v>
      </c>
      <c r="E215" s="1601">
        <f t="shared" si="302"/>
        <v>0</v>
      </c>
      <c r="F215" s="1475"/>
      <c r="G215" s="1475"/>
      <c r="H215" s="1475"/>
      <c r="I215" s="1586"/>
      <c r="J215" s="1586"/>
      <c r="K215" s="1586"/>
      <c r="L215" s="1721"/>
      <c r="M215" s="1721"/>
      <c r="N215" s="1430"/>
      <c r="O215" s="1640" t="s">
        <v>804</v>
      </c>
      <c r="P215" s="1777">
        <v>30</v>
      </c>
      <c r="Q215" s="1778">
        <f>'Potable Water Calculator'!D46</f>
        <v>85</v>
      </c>
      <c r="R215" s="1779">
        <f>'Potable Water Calculator'!C217</f>
        <v>0.5</v>
      </c>
      <c r="S215" s="1495">
        <f t="shared" si="279"/>
        <v>0</v>
      </c>
      <c r="T215" s="1495">
        <f t="shared" si="280"/>
        <v>0</v>
      </c>
      <c r="U215" s="1495">
        <f t="shared" si="281"/>
        <v>0</v>
      </c>
      <c r="V215" s="1495">
        <f t="shared" si="282"/>
        <v>0</v>
      </c>
      <c r="W215" s="1495">
        <f t="shared" si="283"/>
        <v>0</v>
      </c>
      <c r="X215" s="1495">
        <f t="shared" si="284"/>
        <v>0</v>
      </c>
      <c r="Y215" s="1495">
        <f t="shared" si="285"/>
        <v>0</v>
      </c>
      <c r="Z215" s="1495">
        <f t="shared" si="286"/>
        <v>0</v>
      </c>
      <c r="AA215" s="1495">
        <f t="shared" si="287"/>
        <v>0</v>
      </c>
      <c r="AB215" s="1495">
        <f t="shared" si="288"/>
        <v>0</v>
      </c>
      <c r="AC215" s="1495">
        <f t="shared" si="289"/>
        <v>0</v>
      </c>
      <c r="AD215" s="1495">
        <f t="shared" si="290"/>
        <v>0</v>
      </c>
      <c r="AE215" s="1495">
        <f t="shared" si="291"/>
        <v>0</v>
      </c>
      <c r="AF215" s="1495">
        <f t="shared" si="292"/>
        <v>0</v>
      </c>
      <c r="AG215" s="1495">
        <f t="shared" si="293"/>
        <v>0</v>
      </c>
      <c r="AH215" s="1436">
        <f t="shared" si="294"/>
        <v>0</v>
      </c>
      <c r="AI215" s="1495">
        <f t="shared" si="295"/>
        <v>0</v>
      </c>
      <c r="AJ215" s="1495">
        <f t="shared" si="296"/>
        <v>0</v>
      </c>
      <c r="AK215" s="1495">
        <f t="shared" si="297"/>
        <v>0</v>
      </c>
      <c r="AL215" s="1495">
        <f t="shared" si="298"/>
        <v>0</v>
      </c>
      <c r="AM215" s="1495">
        <f t="shared" si="299"/>
        <v>0</v>
      </c>
      <c r="AN215" s="1495">
        <f t="shared" si="300"/>
        <v>0</v>
      </c>
      <c r="AO215" s="1430"/>
      <c r="AP215" s="1430"/>
      <c r="AQ215" s="1430"/>
      <c r="AR215" s="1430"/>
      <c r="AS215" s="1430"/>
      <c r="AT215" s="1430"/>
      <c r="AU215" s="1430"/>
      <c r="AV215" s="1430"/>
      <c r="AW215" s="1430"/>
      <c r="AX215" s="1430"/>
      <c r="AY215" s="1430"/>
      <c r="AZ215" s="1430"/>
      <c r="BA215" s="1430"/>
      <c r="BB215" s="1430"/>
      <c r="BC215" s="1430"/>
      <c r="BD215" s="1720"/>
      <c r="BE215" s="1571" t="s">
        <v>1214</v>
      </c>
      <c r="BF215" s="1436">
        <v>22</v>
      </c>
      <c r="BG215" s="1436">
        <v>15</v>
      </c>
      <c r="BH215" s="1436">
        <v>4</v>
      </c>
      <c r="BI215" s="1495" t="b">
        <f t="shared" si="318"/>
        <v>1</v>
      </c>
      <c r="BJ215" s="1450" t="b">
        <f t="shared" si="253"/>
        <v>0</v>
      </c>
      <c r="BK215" s="1572">
        <f t="shared" si="254"/>
        <v>0</v>
      </c>
      <c r="BL215" s="1581">
        <f>IF(SUM(BL$201:BL214,BK215)&gt;$BP$4,0,BK215)</f>
        <v>0</v>
      </c>
      <c r="BM215" s="1436">
        <f t="shared" si="303"/>
        <v>0</v>
      </c>
      <c r="BN215" s="1495">
        <f t="shared" si="304"/>
        <v>0</v>
      </c>
      <c r="BO215" s="1437">
        <f t="shared" si="222"/>
        <v>0</v>
      </c>
      <c r="BP215" s="1762">
        <f t="shared" si="255"/>
        <v>0</v>
      </c>
      <c r="BQ215" s="1577">
        <f t="shared" si="256"/>
        <v>0</v>
      </c>
      <c r="BR215" s="1576">
        <f t="shared" si="305"/>
        <v>0</v>
      </c>
      <c r="BS215" s="1574">
        <f t="shared" si="257"/>
        <v>0</v>
      </c>
      <c r="BT215" s="1577">
        <f t="shared" si="258"/>
        <v>0</v>
      </c>
      <c r="BU215" s="1576">
        <f t="shared" si="306"/>
        <v>0</v>
      </c>
      <c r="BV215" s="1574">
        <f t="shared" si="259"/>
        <v>0</v>
      </c>
      <c r="BW215" s="1577">
        <f t="shared" si="260"/>
        <v>0</v>
      </c>
      <c r="BX215" s="1576">
        <f t="shared" si="307"/>
        <v>0</v>
      </c>
      <c r="BY215" s="1574">
        <f t="shared" si="261"/>
        <v>0</v>
      </c>
      <c r="BZ215" s="1577">
        <f t="shared" si="262"/>
        <v>0</v>
      </c>
      <c r="CA215" s="1576">
        <f t="shared" si="308"/>
        <v>0</v>
      </c>
      <c r="CB215" s="1495">
        <f t="shared" si="263"/>
        <v>0</v>
      </c>
      <c r="CC215" s="1577">
        <f t="shared" si="264"/>
        <v>0</v>
      </c>
      <c r="CD215" s="1576">
        <f t="shared" si="309"/>
        <v>0</v>
      </c>
      <c r="CE215" s="1495">
        <f t="shared" si="265"/>
        <v>0</v>
      </c>
      <c r="CF215" s="1577">
        <f t="shared" si="266"/>
        <v>0</v>
      </c>
      <c r="CG215" s="1576">
        <f t="shared" si="310"/>
        <v>0</v>
      </c>
      <c r="CH215" s="1495">
        <f t="shared" si="267"/>
        <v>0</v>
      </c>
      <c r="CI215" s="1577">
        <f t="shared" si="268"/>
        <v>0</v>
      </c>
      <c r="CJ215" s="1576">
        <f t="shared" si="311"/>
        <v>0</v>
      </c>
      <c r="CK215" s="1495">
        <f t="shared" si="269"/>
        <v>0</v>
      </c>
      <c r="CL215" s="1577">
        <f t="shared" si="270"/>
        <v>0</v>
      </c>
      <c r="CM215" s="1576">
        <f t="shared" si="312"/>
        <v>0</v>
      </c>
      <c r="CN215" s="1495">
        <f t="shared" si="271"/>
        <v>0</v>
      </c>
      <c r="CO215" s="1577">
        <f t="shared" si="272"/>
        <v>0</v>
      </c>
      <c r="CP215" s="1576">
        <f t="shared" si="313"/>
        <v>0</v>
      </c>
      <c r="CQ215" s="1495">
        <f t="shared" si="273"/>
        <v>0</v>
      </c>
      <c r="CR215" s="1577">
        <f t="shared" si="274"/>
        <v>0</v>
      </c>
      <c r="CS215" s="1576">
        <f t="shared" si="314"/>
        <v>0</v>
      </c>
      <c r="CT215" s="1495">
        <f t="shared" si="275"/>
        <v>0</v>
      </c>
      <c r="CU215" s="1577">
        <f t="shared" si="276"/>
        <v>0</v>
      </c>
      <c r="CV215" s="1576">
        <f t="shared" si="315"/>
        <v>0</v>
      </c>
      <c r="CW215" s="1495">
        <f t="shared" si="277"/>
        <v>0</v>
      </c>
      <c r="CX215" s="1577">
        <f t="shared" si="278"/>
        <v>0</v>
      </c>
      <c r="CY215" s="1576">
        <f t="shared" si="316"/>
        <v>0</v>
      </c>
      <c r="CZ215" s="1574">
        <f t="shared" si="317"/>
        <v>0</v>
      </c>
      <c r="DA215" s="1578">
        <f t="shared" si="319"/>
        <v>0</v>
      </c>
      <c r="DB215" s="1579">
        <f t="shared" si="320"/>
        <v>0</v>
      </c>
      <c r="DC215" s="1578">
        <f t="shared" si="321"/>
        <v>0</v>
      </c>
      <c r="DD215" s="1578">
        <f t="shared" si="321"/>
        <v>0</v>
      </c>
      <c r="DE215" s="1578">
        <f t="shared" si="321"/>
        <v>0</v>
      </c>
      <c r="DF215" s="1578">
        <f t="shared" si="322"/>
        <v>0</v>
      </c>
      <c r="DG215" s="1538"/>
      <c r="DH215" s="1538"/>
      <c r="DI215" s="1422"/>
      <c r="DJ215" s="1428"/>
      <c r="DK215" s="1428"/>
      <c r="DL215" s="1428"/>
      <c r="DM215" s="1428"/>
      <c r="DN215" s="1753" t="s">
        <v>1757</v>
      </c>
      <c r="DO215" s="1782">
        <v>1</v>
      </c>
      <c r="DP215" s="1428"/>
      <c r="DQ215" s="1422"/>
      <c r="DR215" s="1428"/>
      <c r="DS215" s="1428"/>
      <c r="DT215" s="1428"/>
      <c r="DU215" s="1428"/>
      <c r="DV215" s="1428"/>
      <c r="DW215" s="1428"/>
      <c r="DX215" s="1428"/>
      <c r="DY215" s="1428"/>
      <c r="DZ215" s="1428"/>
      <c r="EA215" s="1428"/>
      <c r="EB215" s="1428"/>
      <c r="EC215" s="1428"/>
      <c r="ED215" s="1428"/>
      <c r="EE215" s="1428"/>
      <c r="EF215" s="1428"/>
      <c r="EG215" s="1428"/>
      <c r="EH215" s="1428"/>
      <c r="EI215" s="1428"/>
      <c r="EJ215" s="1428"/>
      <c r="EK215" s="1428"/>
      <c r="EL215" s="1428"/>
      <c r="EM215" s="1428"/>
      <c r="EN215" s="1428"/>
      <c r="EO215" s="1428"/>
      <c r="EP215" s="1428"/>
      <c r="EQ215" s="1428"/>
      <c r="ER215" s="1428"/>
      <c r="ES215" s="1428"/>
      <c r="ET215" s="1428"/>
      <c r="EU215" s="1428"/>
    </row>
    <row r="216" spans="1:151" s="1440" customFormat="1">
      <c r="A216" s="1627"/>
      <c r="B216" s="1600" t="s">
        <v>803</v>
      </c>
      <c r="C216" s="1674">
        <f>IFERROR(VLOOKUP($D$32,'Rainfall data'!$R$6:$AD$11,N233,FALSE),"")</f>
        <v>0.5</v>
      </c>
      <c r="D216" s="1601">
        <f t="shared" si="301"/>
        <v>0</v>
      </c>
      <c r="E216" s="1601">
        <f t="shared" si="302"/>
        <v>0</v>
      </c>
      <c r="F216" s="1475"/>
      <c r="G216" s="1475"/>
      <c r="H216" s="1475"/>
      <c r="I216" s="1586"/>
      <c r="J216" s="1586"/>
      <c r="K216" s="1586"/>
      <c r="L216" s="1721"/>
      <c r="M216" s="1721"/>
      <c r="N216" s="1430"/>
      <c r="O216" s="1640" t="s">
        <v>1603</v>
      </c>
      <c r="P216" s="1777">
        <v>31</v>
      </c>
      <c r="Q216" s="1778">
        <f>'Potable Water Calculator'!D47</f>
        <v>81</v>
      </c>
      <c r="R216" s="1779">
        <f>'Potable Water Calculator'!C218</f>
        <v>0.5</v>
      </c>
      <c r="S216" s="1495">
        <f t="shared" si="279"/>
        <v>0</v>
      </c>
      <c r="T216" s="1495">
        <f t="shared" si="280"/>
        <v>0</v>
      </c>
      <c r="U216" s="1495">
        <f t="shared" si="281"/>
        <v>0</v>
      </c>
      <c r="V216" s="1495">
        <f t="shared" si="282"/>
        <v>0</v>
      </c>
      <c r="W216" s="1495">
        <f t="shared" si="283"/>
        <v>0</v>
      </c>
      <c r="X216" s="1495">
        <f t="shared" si="284"/>
        <v>0</v>
      </c>
      <c r="Y216" s="1495">
        <f t="shared" si="285"/>
        <v>0</v>
      </c>
      <c r="Z216" s="1495">
        <f t="shared" si="286"/>
        <v>0</v>
      </c>
      <c r="AA216" s="1495">
        <f t="shared" si="287"/>
        <v>0</v>
      </c>
      <c r="AB216" s="1495">
        <f t="shared" si="288"/>
        <v>0</v>
      </c>
      <c r="AC216" s="1495">
        <f t="shared" si="289"/>
        <v>0</v>
      </c>
      <c r="AD216" s="1495">
        <f t="shared" si="290"/>
        <v>0</v>
      </c>
      <c r="AE216" s="1495">
        <f t="shared" si="291"/>
        <v>0</v>
      </c>
      <c r="AF216" s="1495">
        <f t="shared" si="292"/>
        <v>0</v>
      </c>
      <c r="AG216" s="1495">
        <f t="shared" si="293"/>
        <v>0</v>
      </c>
      <c r="AH216" s="1436">
        <f t="shared" si="294"/>
        <v>0</v>
      </c>
      <c r="AI216" s="1495">
        <f t="shared" si="295"/>
        <v>0</v>
      </c>
      <c r="AJ216" s="1495">
        <f t="shared" si="296"/>
        <v>0</v>
      </c>
      <c r="AK216" s="1495">
        <f t="shared" si="297"/>
        <v>0</v>
      </c>
      <c r="AL216" s="1495">
        <f t="shared" si="298"/>
        <v>0</v>
      </c>
      <c r="AM216" s="1495">
        <f t="shared" si="299"/>
        <v>0</v>
      </c>
      <c r="AN216" s="1495">
        <f t="shared" si="300"/>
        <v>0</v>
      </c>
      <c r="AO216" s="1430"/>
      <c r="AP216" s="1430"/>
      <c r="AQ216" s="1430"/>
      <c r="AR216" s="1430"/>
      <c r="AS216" s="1430"/>
      <c r="AT216" s="1430"/>
      <c r="AU216" s="1430"/>
      <c r="AV216" s="1430"/>
      <c r="AW216" s="1430"/>
      <c r="AX216" s="1430"/>
      <c r="AY216" s="1430"/>
      <c r="AZ216" s="1430"/>
      <c r="BA216" s="1430"/>
      <c r="BB216" s="1430"/>
      <c r="BC216" s="1430"/>
      <c r="BD216" s="1720"/>
      <c r="BE216" s="1571" t="s">
        <v>1214</v>
      </c>
      <c r="BF216" s="1436">
        <v>22</v>
      </c>
      <c r="BG216" s="1436">
        <v>16</v>
      </c>
      <c r="BH216" s="1436">
        <v>5</v>
      </c>
      <c r="BI216" s="1495" t="b">
        <f t="shared" si="318"/>
        <v>1</v>
      </c>
      <c r="BJ216" s="1450" t="b">
        <f t="shared" si="253"/>
        <v>0</v>
      </c>
      <c r="BK216" s="1572">
        <f t="shared" si="254"/>
        <v>0</v>
      </c>
      <c r="BL216" s="1581">
        <f>IF(SUM(BL$201:BL215,BK216)&gt;$BP$4,0,BK216)</f>
        <v>0</v>
      </c>
      <c r="BM216" s="1436">
        <f t="shared" si="303"/>
        <v>0</v>
      </c>
      <c r="BN216" s="1495">
        <f t="shared" si="304"/>
        <v>0</v>
      </c>
      <c r="BO216" s="1437">
        <f t="shared" si="222"/>
        <v>0</v>
      </c>
      <c r="BP216" s="1762">
        <f t="shared" si="255"/>
        <v>0</v>
      </c>
      <c r="BQ216" s="1577">
        <f t="shared" si="256"/>
        <v>0</v>
      </c>
      <c r="BR216" s="1576">
        <f t="shared" si="305"/>
        <v>0</v>
      </c>
      <c r="BS216" s="1574">
        <f t="shared" si="257"/>
        <v>0</v>
      </c>
      <c r="BT216" s="1577">
        <f t="shared" si="258"/>
        <v>0</v>
      </c>
      <c r="BU216" s="1576">
        <f t="shared" si="306"/>
        <v>0</v>
      </c>
      <c r="BV216" s="1574">
        <f t="shared" si="259"/>
        <v>0</v>
      </c>
      <c r="BW216" s="1577">
        <f t="shared" si="260"/>
        <v>0</v>
      </c>
      <c r="BX216" s="1576">
        <f t="shared" si="307"/>
        <v>0</v>
      </c>
      <c r="BY216" s="1574">
        <f t="shared" si="261"/>
        <v>0</v>
      </c>
      <c r="BZ216" s="1577">
        <f t="shared" si="262"/>
        <v>0</v>
      </c>
      <c r="CA216" s="1576">
        <f t="shared" si="308"/>
        <v>0</v>
      </c>
      <c r="CB216" s="1495">
        <f t="shared" si="263"/>
        <v>0</v>
      </c>
      <c r="CC216" s="1577">
        <f t="shared" si="264"/>
        <v>0</v>
      </c>
      <c r="CD216" s="1576">
        <f t="shared" si="309"/>
        <v>0</v>
      </c>
      <c r="CE216" s="1495">
        <f t="shared" si="265"/>
        <v>0</v>
      </c>
      <c r="CF216" s="1577">
        <f t="shared" si="266"/>
        <v>0</v>
      </c>
      <c r="CG216" s="1576">
        <f t="shared" si="310"/>
        <v>0</v>
      </c>
      <c r="CH216" s="1495">
        <f t="shared" si="267"/>
        <v>0</v>
      </c>
      <c r="CI216" s="1577">
        <f t="shared" si="268"/>
        <v>0</v>
      </c>
      <c r="CJ216" s="1576">
        <f t="shared" si="311"/>
        <v>0</v>
      </c>
      <c r="CK216" s="1495">
        <f t="shared" si="269"/>
        <v>0</v>
      </c>
      <c r="CL216" s="1577">
        <f t="shared" si="270"/>
        <v>0</v>
      </c>
      <c r="CM216" s="1576">
        <f t="shared" si="312"/>
        <v>0</v>
      </c>
      <c r="CN216" s="1495">
        <f t="shared" si="271"/>
        <v>0</v>
      </c>
      <c r="CO216" s="1577">
        <f t="shared" si="272"/>
        <v>0</v>
      </c>
      <c r="CP216" s="1576">
        <f t="shared" si="313"/>
        <v>0</v>
      </c>
      <c r="CQ216" s="1495">
        <f t="shared" si="273"/>
        <v>0</v>
      </c>
      <c r="CR216" s="1577">
        <f t="shared" si="274"/>
        <v>0</v>
      </c>
      <c r="CS216" s="1576">
        <f t="shared" si="314"/>
        <v>0</v>
      </c>
      <c r="CT216" s="1495">
        <f t="shared" si="275"/>
        <v>0</v>
      </c>
      <c r="CU216" s="1577">
        <f t="shared" si="276"/>
        <v>0</v>
      </c>
      <c r="CV216" s="1576">
        <f t="shared" si="315"/>
        <v>0</v>
      </c>
      <c r="CW216" s="1495">
        <f t="shared" si="277"/>
        <v>0</v>
      </c>
      <c r="CX216" s="1577">
        <f t="shared" si="278"/>
        <v>0</v>
      </c>
      <c r="CY216" s="1576">
        <f t="shared" si="316"/>
        <v>0</v>
      </c>
      <c r="CZ216" s="1574">
        <f t="shared" si="317"/>
        <v>0</v>
      </c>
      <c r="DA216" s="1578">
        <f t="shared" si="319"/>
        <v>0</v>
      </c>
      <c r="DB216" s="1579">
        <f t="shared" si="320"/>
        <v>0</v>
      </c>
      <c r="DC216" s="1578">
        <f t="shared" si="321"/>
        <v>0</v>
      </c>
      <c r="DD216" s="1578">
        <f t="shared" si="321"/>
        <v>0</v>
      </c>
      <c r="DE216" s="1578">
        <f t="shared" si="321"/>
        <v>0</v>
      </c>
      <c r="DF216" s="1578">
        <f t="shared" si="322"/>
        <v>0</v>
      </c>
      <c r="DG216" s="1538"/>
      <c r="DH216" s="1538"/>
      <c r="DI216" s="1422"/>
      <c r="DJ216" s="1428"/>
      <c r="DK216" s="1428"/>
      <c r="DL216" s="1428"/>
      <c r="DM216" s="1428"/>
      <c r="DN216" s="1753" t="s">
        <v>1759</v>
      </c>
      <c r="DO216" s="1788">
        <v>0.75</v>
      </c>
      <c r="DP216" s="1428"/>
      <c r="DQ216" s="1422"/>
      <c r="DR216" s="1428"/>
      <c r="DS216" s="1428"/>
      <c r="DT216" s="1428"/>
      <c r="DU216" s="1428"/>
      <c r="DV216" s="1428"/>
      <c r="DW216" s="1428"/>
      <c r="DX216" s="1428"/>
      <c r="DY216" s="1428"/>
      <c r="DZ216" s="1428"/>
      <c r="EA216" s="1428"/>
      <c r="EB216" s="1428"/>
      <c r="EC216" s="1428"/>
      <c r="ED216" s="1428"/>
      <c r="EE216" s="1428"/>
      <c r="EF216" s="1428"/>
      <c r="EG216" s="1428"/>
      <c r="EH216" s="1428"/>
      <c r="EI216" s="1428"/>
      <c r="EJ216" s="1428"/>
      <c r="EK216" s="1428"/>
      <c r="EL216" s="1428"/>
      <c r="EM216" s="1428"/>
      <c r="EN216" s="1428"/>
      <c r="EO216" s="1428"/>
      <c r="EP216" s="1428"/>
      <c r="EQ216" s="1428"/>
      <c r="ER216" s="1428"/>
      <c r="ES216" s="1428"/>
      <c r="ET216" s="1428"/>
      <c r="EU216" s="1428"/>
    </row>
    <row r="217" spans="1:151" s="1440" customFormat="1">
      <c r="A217" s="1455"/>
      <c r="B217" s="1600" t="s">
        <v>804</v>
      </c>
      <c r="C217" s="1674">
        <f>IFERROR(VLOOKUP($D$32,'Rainfall data'!$R$6:$AD$11,N234,FALSE),"")</f>
        <v>0.5</v>
      </c>
      <c r="D217" s="1601">
        <f t="shared" si="301"/>
        <v>0</v>
      </c>
      <c r="E217" s="1601">
        <f t="shared" si="302"/>
        <v>0</v>
      </c>
      <c r="F217" s="1475"/>
      <c r="G217" s="1475"/>
      <c r="H217" s="1475"/>
      <c r="I217" s="1586"/>
      <c r="J217" s="1586"/>
      <c r="K217" s="1586"/>
      <c r="L217" s="1721"/>
      <c r="M217" s="1721"/>
      <c r="N217" s="1430"/>
      <c r="O217" s="1430"/>
      <c r="P217" s="1430"/>
      <c r="Q217" s="1430"/>
      <c r="R217" s="1430"/>
      <c r="S217" s="1789">
        <f>S195*365-SUM(S205:S216)</f>
        <v>0</v>
      </c>
      <c r="T217" s="1430"/>
      <c r="U217" s="1733">
        <f>SUM(U205:U216)</f>
        <v>0</v>
      </c>
      <c r="V217" s="1790"/>
      <c r="W217" s="1790"/>
      <c r="X217" s="1733">
        <f>SUM(X205:X216)</f>
        <v>0</v>
      </c>
      <c r="Y217" s="1790"/>
      <c r="Z217" s="1790"/>
      <c r="AA217" s="1733">
        <f>SUM(AA205:AA216)</f>
        <v>0</v>
      </c>
      <c r="AB217" s="1790"/>
      <c r="AC217" s="1790"/>
      <c r="AD217" s="1733">
        <f>SUM(AD205:AD216)</f>
        <v>0</v>
      </c>
      <c r="AE217" s="1790"/>
      <c r="AF217" s="1790"/>
      <c r="AG217" s="1733">
        <f>SUM(AG205:AG216)</f>
        <v>0</v>
      </c>
      <c r="AH217" s="1733">
        <f>SUM(AH205:AH216)</f>
        <v>0</v>
      </c>
      <c r="AI217" s="1441">
        <f t="shared" ref="AI217:AN217" si="323">SUM(AI205:AI216)</f>
        <v>0</v>
      </c>
      <c r="AJ217" s="1441">
        <f t="shared" si="323"/>
        <v>0</v>
      </c>
      <c r="AK217" s="1441">
        <f t="shared" si="323"/>
        <v>0</v>
      </c>
      <c r="AL217" s="1441">
        <f t="shared" si="323"/>
        <v>0</v>
      </c>
      <c r="AM217" s="1441">
        <f t="shared" si="323"/>
        <v>0</v>
      </c>
      <c r="AN217" s="1441">
        <f t="shared" si="323"/>
        <v>0</v>
      </c>
      <c r="AO217" s="1430"/>
      <c r="AP217" s="1430"/>
      <c r="AQ217" s="1430"/>
      <c r="AR217" s="1430"/>
      <c r="AS217" s="1430"/>
      <c r="AT217" s="1430"/>
      <c r="AU217" s="1430"/>
      <c r="AV217" s="1430"/>
      <c r="AW217" s="1430"/>
      <c r="AX217" s="1430"/>
      <c r="AY217" s="1430"/>
      <c r="AZ217" s="1430"/>
      <c r="BA217" s="1430"/>
      <c r="BB217" s="1430"/>
      <c r="BC217" s="1430"/>
      <c r="BD217" s="1720"/>
      <c r="BE217" s="1571" t="s">
        <v>1214</v>
      </c>
      <c r="BF217" s="1436">
        <v>22</v>
      </c>
      <c r="BG217" s="1436">
        <v>17</v>
      </c>
      <c r="BH217" s="1436">
        <v>6</v>
      </c>
      <c r="BI217" s="1495" t="b">
        <f t="shared" si="318"/>
        <v>0</v>
      </c>
      <c r="BJ217" s="1450" t="b">
        <f t="shared" si="253"/>
        <v>0</v>
      </c>
      <c r="BK217" s="1572">
        <f t="shared" si="254"/>
        <v>0</v>
      </c>
      <c r="BL217" s="1581">
        <f>IF(SUM(BL$201:BL216,BK217)&gt;$BP$4,0,BK217)</f>
        <v>0</v>
      </c>
      <c r="BM217" s="1436">
        <f t="shared" si="303"/>
        <v>0</v>
      </c>
      <c r="BN217" s="1495">
        <f t="shared" si="304"/>
        <v>0</v>
      </c>
      <c r="BO217" s="1437">
        <f t="shared" ref="BO217:BO280" si="324">BM217-BN217</f>
        <v>0</v>
      </c>
      <c r="BP217" s="1762">
        <f t="shared" si="255"/>
        <v>0</v>
      </c>
      <c r="BQ217" s="1577">
        <f t="shared" si="256"/>
        <v>0</v>
      </c>
      <c r="BR217" s="1576">
        <f t="shared" si="305"/>
        <v>0</v>
      </c>
      <c r="BS217" s="1574">
        <f t="shared" si="257"/>
        <v>0</v>
      </c>
      <c r="BT217" s="1577">
        <f t="shared" si="258"/>
        <v>0</v>
      </c>
      <c r="BU217" s="1576">
        <f t="shared" si="306"/>
        <v>0</v>
      </c>
      <c r="BV217" s="1574">
        <f t="shared" si="259"/>
        <v>0</v>
      </c>
      <c r="BW217" s="1577">
        <f t="shared" si="260"/>
        <v>0</v>
      </c>
      <c r="BX217" s="1576">
        <f t="shared" si="307"/>
        <v>0</v>
      </c>
      <c r="BY217" s="1574">
        <f t="shared" si="261"/>
        <v>0</v>
      </c>
      <c r="BZ217" s="1577">
        <f t="shared" si="262"/>
        <v>0</v>
      </c>
      <c r="CA217" s="1576">
        <f t="shared" si="308"/>
        <v>0</v>
      </c>
      <c r="CB217" s="1495">
        <f t="shared" si="263"/>
        <v>0</v>
      </c>
      <c r="CC217" s="1577">
        <f t="shared" si="264"/>
        <v>0</v>
      </c>
      <c r="CD217" s="1576">
        <f t="shared" si="309"/>
        <v>0</v>
      </c>
      <c r="CE217" s="1495">
        <f t="shared" si="265"/>
        <v>0</v>
      </c>
      <c r="CF217" s="1577">
        <f t="shared" si="266"/>
        <v>0</v>
      </c>
      <c r="CG217" s="1576">
        <f t="shared" si="310"/>
        <v>0</v>
      </c>
      <c r="CH217" s="1495">
        <f t="shared" si="267"/>
        <v>0</v>
      </c>
      <c r="CI217" s="1577">
        <f t="shared" si="268"/>
        <v>0</v>
      </c>
      <c r="CJ217" s="1576">
        <f t="shared" si="311"/>
        <v>0</v>
      </c>
      <c r="CK217" s="1495">
        <f t="shared" si="269"/>
        <v>0</v>
      </c>
      <c r="CL217" s="1577">
        <f t="shared" si="270"/>
        <v>0</v>
      </c>
      <c r="CM217" s="1576">
        <f t="shared" si="312"/>
        <v>0</v>
      </c>
      <c r="CN217" s="1495">
        <f t="shared" si="271"/>
        <v>0</v>
      </c>
      <c r="CO217" s="1577">
        <f t="shared" si="272"/>
        <v>0</v>
      </c>
      <c r="CP217" s="1576">
        <f t="shared" si="313"/>
        <v>0</v>
      </c>
      <c r="CQ217" s="1495">
        <f t="shared" si="273"/>
        <v>0</v>
      </c>
      <c r="CR217" s="1577">
        <f t="shared" si="274"/>
        <v>0</v>
      </c>
      <c r="CS217" s="1576">
        <f t="shared" si="314"/>
        <v>0</v>
      </c>
      <c r="CT217" s="1495">
        <f t="shared" si="275"/>
        <v>0</v>
      </c>
      <c r="CU217" s="1577">
        <f t="shared" si="276"/>
        <v>0</v>
      </c>
      <c r="CV217" s="1576">
        <f t="shared" si="315"/>
        <v>0</v>
      </c>
      <c r="CW217" s="1495">
        <f t="shared" si="277"/>
        <v>0</v>
      </c>
      <c r="CX217" s="1577">
        <f t="shared" si="278"/>
        <v>0</v>
      </c>
      <c r="CY217" s="1576">
        <f t="shared" si="316"/>
        <v>0</v>
      </c>
      <c r="CZ217" s="1574">
        <f t="shared" si="317"/>
        <v>0</v>
      </c>
      <c r="DA217" s="1578">
        <f t="shared" si="319"/>
        <v>0</v>
      </c>
      <c r="DB217" s="1579">
        <f t="shared" si="320"/>
        <v>0</v>
      </c>
      <c r="DC217" s="1578">
        <f t="shared" si="321"/>
        <v>0</v>
      </c>
      <c r="DD217" s="1578">
        <f t="shared" si="321"/>
        <v>0</v>
      </c>
      <c r="DE217" s="1578">
        <f t="shared" si="321"/>
        <v>0</v>
      </c>
      <c r="DF217" s="1578">
        <f t="shared" si="322"/>
        <v>0</v>
      </c>
      <c r="DG217" s="1538"/>
      <c r="DH217" s="1538"/>
      <c r="DI217" s="1422"/>
      <c r="DJ217" s="1428"/>
      <c r="DK217" s="1428"/>
      <c r="DL217" s="1428"/>
      <c r="DM217" s="1428"/>
      <c r="DN217" s="1428"/>
      <c r="DO217" s="1428"/>
      <c r="DP217" s="1428"/>
      <c r="DQ217" s="1422"/>
      <c r="DR217" s="1685"/>
      <c r="DS217" s="1685"/>
      <c r="DT217" s="1685"/>
      <c r="DU217" s="1685"/>
      <c r="DV217" s="1685"/>
      <c r="DW217" s="1685"/>
      <c r="DX217" s="1685"/>
      <c r="DY217" s="1685"/>
      <c r="DZ217" s="1685"/>
      <c r="EA217" s="1685"/>
      <c r="EB217" s="1685"/>
      <c r="EC217" s="1685"/>
      <c r="ED217" s="1685"/>
      <c r="EE217" s="1685"/>
      <c r="EF217" s="1685"/>
      <c r="EG217" s="1685"/>
      <c r="EH217" s="1685"/>
      <c r="EI217" s="1685"/>
      <c r="EJ217" s="1685"/>
      <c r="EK217" s="1685"/>
      <c r="EL217" s="1685"/>
      <c r="EM217" s="1685"/>
      <c r="EN217" s="1685"/>
      <c r="EO217" s="1685"/>
      <c r="EP217" s="1685"/>
      <c r="EQ217" s="1685"/>
      <c r="ER217" s="1685"/>
      <c r="ES217" s="1685"/>
      <c r="ET217" s="1428"/>
      <c r="EU217" s="1428"/>
    </row>
    <row r="218" spans="1:151" s="1440" customFormat="1">
      <c r="A218" s="1455"/>
      <c r="B218" s="1600" t="s">
        <v>1603</v>
      </c>
      <c r="C218" s="1674">
        <f>IFERROR(VLOOKUP($D$32,'Rainfall data'!$R$6:$AD$11,N235,FALSE),"")</f>
        <v>0.5</v>
      </c>
      <c r="D218" s="1601">
        <f t="shared" si="301"/>
        <v>0</v>
      </c>
      <c r="E218" s="1601">
        <f t="shared" si="302"/>
        <v>0</v>
      </c>
      <c r="F218" s="1475"/>
      <c r="G218" s="1475"/>
      <c r="H218" s="1475"/>
      <c r="I218" s="1586"/>
      <c r="J218" s="1586"/>
      <c r="K218" s="1586"/>
      <c r="L218" s="1721"/>
      <c r="M218" s="1721"/>
      <c r="N218" s="1430"/>
      <c r="O218" s="1430"/>
      <c r="P218" s="1430"/>
      <c r="Q218" s="1430"/>
      <c r="R218" s="1430"/>
      <c r="S218" s="1430"/>
      <c r="T218" s="1430"/>
      <c r="U218" s="1430"/>
      <c r="V218" s="1430"/>
      <c r="W218" s="1430"/>
      <c r="X218" s="1430"/>
      <c r="Y218" s="1430"/>
      <c r="Z218" s="1430"/>
      <c r="AA218" s="1430"/>
      <c r="AB218" s="1430"/>
      <c r="AC218" s="1430"/>
      <c r="AD218" s="1430"/>
      <c r="AE218" s="1430"/>
      <c r="AF218" s="1430"/>
      <c r="AG218" s="1430"/>
      <c r="AH218" s="1430"/>
      <c r="AI218" s="1430"/>
      <c r="AJ218" s="1430"/>
      <c r="AK218" s="1704"/>
      <c r="AL218" s="1430"/>
      <c r="AM218" s="1430"/>
      <c r="AN218" s="1430"/>
      <c r="AO218" s="1430"/>
      <c r="AP218" s="1430"/>
      <c r="AQ218" s="1430"/>
      <c r="AR218" s="1430"/>
      <c r="AS218" s="1430"/>
      <c r="AT218" s="1430"/>
      <c r="AU218" s="1430"/>
      <c r="AV218" s="1430"/>
      <c r="AW218" s="1430"/>
      <c r="AX218" s="1430"/>
      <c r="AY218" s="1430"/>
      <c r="AZ218" s="1430"/>
      <c r="BA218" s="1430"/>
      <c r="BB218" s="1430"/>
      <c r="BC218" s="1430"/>
      <c r="BD218" s="1720"/>
      <c r="BE218" s="1571" t="s">
        <v>1214</v>
      </c>
      <c r="BF218" s="1436">
        <v>22</v>
      </c>
      <c r="BG218" s="1436">
        <v>18</v>
      </c>
      <c r="BH218" s="1436">
        <v>7</v>
      </c>
      <c r="BI218" s="1495" t="b">
        <f t="shared" si="318"/>
        <v>0</v>
      </c>
      <c r="BJ218" s="1450" t="b">
        <f t="shared" si="253"/>
        <v>0</v>
      </c>
      <c r="BK218" s="1572">
        <f t="shared" si="254"/>
        <v>0</v>
      </c>
      <c r="BL218" s="1581">
        <f>IF(SUM(BL$201:BL217,BK218)&gt;$BP$4,0,BK218)</f>
        <v>0</v>
      </c>
      <c r="BM218" s="1436">
        <f t="shared" si="303"/>
        <v>0</v>
      </c>
      <c r="BN218" s="1495">
        <f t="shared" si="304"/>
        <v>0</v>
      </c>
      <c r="BO218" s="1437">
        <f t="shared" si="324"/>
        <v>0</v>
      </c>
      <c r="BP218" s="1762">
        <f t="shared" si="255"/>
        <v>0</v>
      </c>
      <c r="BQ218" s="1577">
        <f t="shared" si="256"/>
        <v>0</v>
      </c>
      <c r="BR218" s="1576">
        <f t="shared" si="305"/>
        <v>0</v>
      </c>
      <c r="BS218" s="1574">
        <f t="shared" si="257"/>
        <v>0</v>
      </c>
      <c r="BT218" s="1577">
        <f t="shared" si="258"/>
        <v>0</v>
      </c>
      <c r="BU218" s="1576">
        <f t="shared" si="306"/>
        <v>0</v>
      </c>
      <c r="BV218" s="1574">
        <f t="shared" si="259"/>
        <v>0</v>
      </c>
      <c r="BW218" s="1577">
        <f t="shared" si="260"/>
        <v>0</v>
      </c>
      <c r="BX218" s="1576">
        <f t="shared" si="307"/>
        <v>0</v>
      </c>
      <c r="BY218" s="1574">
        <f t="shared" si="261"/>
        <v>0</v>
      </c>
      <c r="BZ218" s="1577">
        <f t="shared" si="262"/>
        <v>0</v>
      </c>
      <c r="CA218" s="1576">
        <f t="shared" si="308"/>
        <v>0</v>
      </c>
      <c r="CB218" s="1495">
        <f t="shared" si="263"/>
        <v>0</v>
      </c>
      <c r="CC218" s="1577">
        <f t="shared" si="264"/>
        <v>0</v>
      </c>
      <c r="CD218" s="1576">
        <f t="shared" si="309"/>
        <v>0</v>
      </c>
      <c r="CE218" s="1495">
        <f t="shared" si="265"/>
        <v>0</v>
      </c>
      <c r="CF218" s="1577">
        <f t="shared" si="266"/>
        <v>0</v>
      </c>
      <c r="CG218" s="1576">
        <f t="shared" si="310"/>
        <v>0</v>
      </c>
      <c r="CH218" s="1495">
        <f t="shared" si="267"/>
        <v>0</v>
      </c>
      <c r="CI218" s="1577">
        <f t="shared" si="268"/>
        <v>0</v>
      </c>
      <c r="CJ218" s="1576">
        <f t="shared" si="311"/>
        <v>0</v>
      </c>
      <c r="CK218" s="1495">
        <f t="shared" si="269"/>
        <v>0</v>
      </c>
      <c r="CL218" s="1577">
        <f t="shared" si="270"/>
        <v>0</v>
      </c>
      <c r="CM218" s="1576">
        <f t="shared" si="312"/>
        <v>0</v>
      </c>
      <c r="CN218" s="1495">
        <f t="shared" si="271"/>
        <v>0</v>
      </c>
      <c r="CO218" s="1577">
        <f t="shared" si="272"/>
        <v>0</v>
      </c>
      <c r="CP218" s="1576">
        <f t="shared" si="313"/>
        <v>0</v>
      </c>
      <c r="CQ218" s="1495">
        <f t="shared" si="273"/>
        <v>0</v>
      </c>
      <c r="CR218" s="1577">
        <f t="shared" si="274"/>
        <v>0</v>
      </c>
      <c r="CS218" s="1576">
        <f t="shared" si="314"/>
        <v>0</v>
      </c>
      <c r="CT218" s="1495">
        <f t="shared" si="275"/>
        <v>0</v>
      </c>
      <c r="CU218" s="1577">
        <f t="shared" si="276"/>
        <v>0</v>
      </c>
      <c r="CV218" s="1576">
        <f t="shared" si="315"/>
        <v>0</v>
      </c>
      <c r="CW218" s="1495">
        <f t="shared" si="277"/>
        <v>0</v>
      </c>
      <c r="CX218" s="1577">
        <f t="shared" si="278"/>
        <v>0</v>
      </c>
      <c r="CY218" s="1576">
        <f t="shared" si="316"/>
        <v>0</v>
      </c>
      <c r="CZ218" s="1574">
        <f t="shared" si="317"/>
        <v>0</v>
      </c>
      <c r="DA218" s="1578">
        <f t="shared" si="319"/>
        <v>0</v>
      </c>
      <c r="DB218" s="1579">
        <f t="shared" si="320"/>
        <v>0</v>
      </c>
      <c r="DC218" s="1578">
        <f t="shared" si="321"/>
        <v>0</v>
      </c>
      <c r="DD218" s="1578">
        <f t="shared" si="321"/>
        <v>0</v>
      </c>
      <c r="DE218" s="1578">
        <f t="shared" si="321"/>
        <v>0</v>
      </c>
      <c r="DF218" s="1578">
        <f t="shared" si="322"/>
        <v>0</v>
      </c>
      <c r="DG218" s="1538"/>
      <c r="DH218" s="1538"/>
      <c r="DI218" s="1422"/>
      <c r="DJ218" s="1428"/>
      <c r="DK218" s="1428"/>
      <c r="DL218" s="1428"/>
      <c r="DM218" s="1428"/>
      <c r="DN218" s="1428"/>
      <c r="DO218" s="1428"/>
      <c r="DP218" s="1428"/>
      <c r="DQ218" s="1422"/>
      <c r="DR218" s="1428"/>
      <c r="DS218" s="1428"/>
      <c r="DT218" s="1428"/>
      <c r="DU218" s="1428"/>
      <c r="DV218" s="1428"/>
      <c r="DW218" s="1428"/>
      <c r="DX218" s="1428"/>
      <c r="DY218" s="1428"/>
      <c r="DZ218" s="1428"/>
      <c r="EA218" s="1428"/>
      <c r="EB218" s="1428"/>
      <c r="EC218" s="1428"/>
      <c r="ED218" s="1428"/>
      <c r="EE218" s="1428"/>
      <c r="EF218" s="1428"/>
      <c r="EG218" s="1428"/>
      <c r="EH218" s="1428"/>
      <c r="EI218" s="1428"/>
      <c r="EJ218" s="1428"/>
      <c r="EK218" s="1428"/>
      <c r="EL218" s="1428"/>
      <c r="EM218" s="1428"/>
      <c r="EN218" s="1428"/>
      <c r="EO218" s="1428"/>
      <c r="EP218" s="1428"/>
      <c r="EQ218" s="1428"/>
      <c r="ER218" s="1428"/>
      <c r="ES218" s="1428"/>
      <c r="ET218" s="1428"/>
      <c r="EU218" s="1428"/>
    </row>
    <row r="219" spans="1:151" s="1440" customFormat="1" ht="17.25" customHeight="1">
      <c r="A219" s="1455"/>
      <c r="B219" s="1475"/>
      <c r="C219" s="1422"/>
      <c r="D219" s="1684">
        <f>SUM(D207:D218)</f>
        <v>0</v>
      </c>
      <c r="E219" s="1682">
        <f>SUM(E207:E218)</f>
        <v>0</v>
      </c>
      <c r="F219" s="1475"/>
      <c r="G219" s="1475"/>
      <c r="H219" s="1475"/>
      <c r="I219" s="1586"/>
      <c r="J219" s="1586"/>
      <c r="K219" s="1586"/>
      <c r="L219" s="1721"/>
      <c r="M219" s="1721"/>
      <c r="N219" s="1430"/>
      <c r="O219" s="1430"/>
      <c r="P219" s="1430"/>
      <c r="Q219" s="1430"/>
      <c r="R219" s="1430"/>
      <c r="S219" s="1430"/>
      <c r="T219" s="1430"/>
      <c r="U219" s="1430"/>
      <c r="V219" s="1430"/>
      <c r="W219" s="1430"/>
      <c r="X219" s="1430"/>
      <c r="Y219" s="1430"/>
      <c r="Z219" s="1430"/>
      <c r="AA219" s="1430"/>
      <c r="AB219" s="1430"/>
      <c r="AC219" s="1430"/>
      <c r="AD219" s="1430"/>
      <c r="AE219" s="1430"/>
      <c r="AF219" s="1430"/>
      <c r="AG219" s="1430"/>
      <c r="AH219" s="1430"/>
      <c r="AI219" s="1430"/>
      <c r="AJ219" s="1430"/>
      <c r="AK219" s="1704"/>
      <c r="AL219" s="1430"/>
      <c r="AM219" s="1430"/>
      <c r="AN219" s="1430"/>
      <c r="AO219" s="1430"/>
      <c r="AP219" s="1430"/>
      <c r="AQ219" s="1430"/>
      <c r="AR219" s="1430"/>
      <c r="AS219" s="1430"/>
      <c r="AT219" s="1430"/>
      <c r="AU219" s="1430"/>
      <c r="AV219" s="1430"/>
      <c r="AW219" s="1430"/>
      <c r="AX219" s="1430"/>
      <c r="AY219" s="1430"/>
      <c r="AZ219" s="1430"/>
      <c r="BA219" s="1430"/>
      <c r="BB219" s="1430"/>
      <c r="BC219" s="1430"/>
      <c r="BD219" s="1720"/>
      <c r="BE219" s="1571" t="s">
        <v>1214</v>
      </c>
      <c r="BF219" s="1436">
        <v>22</v>
      </c>
      <c r="BG219" s="1436">
        <v>19</v>
      </c>
      <c r="BH219" s="1436">
        <v>1</v>
      </c>
      <c r="BI219" s="1495" t="b">
        <f t="shared" si="318"/>
        <v>1</v>
      </c>
      <c r="BJ219" s="1450" t="b">
        <f t="shared" si="253"/>
        <v>0</v>
      </c>
      <c r="BK219" s="1572">
        <f t="shared" si="254"/>
        <v>0</v>
      </c>
      <c r="BL219" s="1581">
        <f>IF(SUM(BL$201:BL218,BK219)&gt;$BP$4,0,BK219)</f>
        <v>0</v>
      </c>
      <c r="BM219" s="1436">
        <f t="shared" si="303"/>
        <v>0</v>
      </c>
      <c r="BN219" s="1495">
        <f t="shared" si="304"/>
        <v>0</v>
      </c>
      <c r="BO219" s="1437">
        <f t="shared" si="324"/>
        <v>0</v>
      </c>
      <c r="BP219" s="1762">
        <f t="shared" si="255"/>
        <v>0</v>
      </c>
      <c r="BQ219" s="1577">
        <f t="shared" si="256"/>
        <v>0</v>
      </c>
      <c r="BR219" s="1576">
        <f t="shared" si="305"/>
        <v>0</v>
      </c>
      <c r="BS219" s="1574">
        <f t="shared" si="257"/>
        <v>0</v>
      </c>
      <c r="BT219" s="1577">
        <f t="shared" si="258"/>
        <v>0</v>
      </c>
      <c r="BU219" s="1576">
        <f t="shared" si="306"/>
        <v>0</v>
      </c>
      <c r="BV219" s="1574">
        <f t="shared" si="259"/>
        <v>0</v>
      </c>
      <c r="BW219" s="1577">
        <f t="shared" si="260"/>
        <v>0</v>
      </c>
      <c r="BX219" s="1576">
        <f t="shared" si="307"/>
        <v>0</v>
      </c>
      <c r="BY219" s="1574">
        <f t="shared" si="261"/>
        <v>0</v>
      </c>
      <c r="BZ219" s="1577">
        <f t="shared" si="262"/>
        <v>0</v>
      </c>
      <c r="CA219" s="1576">
        <f t="shared" si="308"/>
        <v>0</v>
      </c>
      <c r="CB219" s="1495">
        <f t="shared" si="263"/>
        <v>0</v>
      </c>
      <c r="CC219" s="1577">
        <f t="shared" si="264"/>
        <v>0</v>
      </c>
      <c r="CD219" s="1576">
        <f t="shared" si="309"/>
        <v>0</v>
      </c>
      <c r="CE219" s="1495">
        <f t="shared" si="265"/>
        <v>0</v>
      </c>
      <c r="CF219" s="1577">
        <f t="shared" si="266"/>
        <v>0</v>
      </c>
      <c r="CG219" s="1576">
        <f t="shared" si="310"/>
        <v>0</v>
      </c>
      <c r="CH219" s="1495">
        <f t="shared" si="267"/>
        <v>0</v>
      </c>
      <c r="CI219" s="1577">
        <f t="shared" si="268"/>
        <v>0</v>
      </c>
      <c r="CJ219" s="1576">
        <f t="shared" si="311"/>
        <v>0</v>
      </c>
      <c r="CK219" s="1495">
        <f t="shared" si="269"/>
        <v>0</v>
      </c>
      <c r="CL219" s="1577">
        <f t="shared" si="270"/>
        <v>0</v>
      </c>
      <c r="CM219" s="1576">
        <f t="shared" si="312"/>
        <v>0</v>
      </c>
      <c r="CN219" s="1495">
        <f t="shared" si="271"/>
        <v>0</v>
      </c>
      <c r="CO219" s="1577">
        <f t="shared" si="272"/>
        <v>0</v>
      </c>
      <c r="CP219" s="1576">
        <f t="shared" si="313"/>
        <v>0</v>
      </c>
      <c r="CQ219" s="1495">
        <f t="shared" si="273"/>
        <v>0</v>
      </c>
      <c r="CR219" s="1577">
        <f t="shared" si="274"/>
        <v>0</v>
      </c>
      <c r="CS219" s="1576">
        <f t="shared" si="314"/>
        <v>0</v>
      </c>
      <c r="CT219" s="1495">
        <f t="shared" si="275"/>
        <v>0</v>
      </c>
      <c r="CU219" s="1577">
        <f t="shared" si="276"/>
        <v>0</v>
      </c>
      <c r="CV219" s="1576">
        <f t="shared" si="315"/>
        <v>0</v>
      </c>
      <c r="CW219" s="1495">
        <f t="shared" si="277"/>
        <v>0</v>
      </c>
      <c r="CX219" s="1577">
        <f t="shared" si="278"/>
        <v>0</v>
      </c>
      <c r="CY219" s="1576">
        <f t="shared" si="316"/>
        <v>0</v>
      </c>
      <c r="CZ219" s="1574">
        <f t="shared" si="317"/>
        <v>0</v>
      </c>
      <c r="DA219" s="1578">
        <f t="shared" si="319"/>
        <v>0</v>
      </c>
      <c r="DB219" s="1579">
        <f t="shared" si="320"/>
        <v>0</v>
      </c>
      <c r="DC219" s="1578">
        <f t="shared" si="321"/>
        <v>0</v>
      </c>
      <c r="DD219" s="1578">
        <f t="shared" si="321"/>
        <v>0</v>
      </c>
      <c r="DE219" s="1578">
        <f t="shared" si="321"/>
        <v>0</v>
      </c>
      <c r="DF219" s="1578">
        <f t="shared" si="322"/>
        <v>0</v>
      </c>
      <c r="DG219" s="1538"/>
      <c r="DH219" s="1538"/>
      <c r="DI219" s="1687"/>
      <c r="DJ219" s="1685"/>
      <c r="DK219" s="1685"/>
      <c r="DL219" s="1428"/>
      <c r="DM219" s="1685"/>
      <c r="DN219" s="1685"/>
      <c r="DO219" s="1685"/>
      <c r="DP219" s="1685"/>
      <c r="DQ219" s="1687"/>
      <c r="DR219" s="1428"/>
      <c r="DS219" s="1428"/>
      <c r="DT219" s="1428"/>
      <c r="DU219" s="1428"/>
      <c r="DV219" s="1428"/>
      <c r="DW219" s="1428"/>
      <c r="DX219" s="1428"/>
      <c r="DY219" s="1428"/>
      <c r="DZ219" s="1428"/>
      <c r="EA219" s="1428"/>
      <c r="EB219" s="1428"/>
      <c r="EC219" s="1428"/>
      <c r="ED219" s="1428"/>
      <c r="EE219" s="1428"/>
      <c r="EF219" s="1428"/>
      <c r="EG219" s="1428"/>
      <c r="EH219" s="1428"/>
      <c r="EI219" s="1428"/>
      <c r="EJ219" s="1428"/>
      <c r="EK219" s="1428"/>
      <c r="EL219" s="1428"/>
      <c r="EM219" s="1428"/>
      <c r="EN219" s="1428"/>
      <c r="EO219" s="1428"/>
      <c r="EP219" s="1428"/>
      <c r="EQ219" s="1428"/>
      <c r="ER219" s="1428"/>
      <c r="ES219" s="1428"/>
      <c r="ET219" s="1428"/>
      <c r="EU219" s="1428"/>
    </row>
    <row r="220" spans="1:151" s="1440" customFormat="1">
      <c r="A220" s="1455"/>
      <c r="B220" s="1095"/>
      <c r="C220" s="1475"/>
      <c r="D220" s="1475"/>
      <c r="E220" s="1586"/>
      <c r="F220" s="1586"/>
      <c r="G220" s="1586"/>
      <c r="H220" s="1586"/>
      <c r="I220" s="1586"/>
      <c r="J220" s="1791"/>
      <c r="K220" s="1721"/>
      <c r="L220" s="1721"/>
      <c r="M220" s="1721"/>
      <c r="N220" s="1628" t="str">
        <f>B222</f>
        <v>Building Specific Major Water Uses - Swimming Pools</v>
      </c>
      <c r="O220" s="1624"/>
      <c r="P220" s="1624"/>
      <c r="Q220" s="1624"/>
      <c r="R220" s="1624"/>
      <c r="S220" s="1624"/>
      <c r="T220" s="1624"/>
      <c r="U220" s="1624"/>
      <c r="V220" s="1624"/>
      <c r="W220" s="1624"/>
      <c r="X220" s="1624"/>
      <c r="Y220" s="1624"/>
      <c r="Z220" s="1624"/>
      <c r="AA220" s="1624"/>
      <c r="AB220" s="1624"/>
      <c r="AC220" s="1624"/>
      <c r="AD220" s="1624"/>
      <c r="AE220" s="1624"/>
      <c r="AF220" s="1624"/>
      <c r="AG220" s="1624"/>
      <c r="AH220" s="1624"/>
      <c r="AI220" s="1624"/>
      <c r="AJ220" s="1624"/>
      <c r="AK220" s="1624"/>
      <c r="AL220" s="1624"/>
      <c r="AM220" s="1624"/>
      <c r="AN220" s="1624"/>
      <c r="AO220" s="1624"/>
      <c r="AP220" s="1624"/>
      <c r="AQ220" s="1624"/>
      <c r="AR220" s="1624"/>
      <c r="AS220" s="1624"/>
      <c r="AT220" s="1624"/>
      <c r="AU220" s="1624"/>
      <c r="AV220" s="1624"/>
      <c r="AW220" s="1624"/>
      <c r="AX220" s="1624"/>
      <c r="AY220" s="1624"/>
      <c r="AZ220" s="1624"/>
      <c r="BA220" s="1624"/>
      <c r="BB220" s="1624"/>
      <c r="BC220" s="1624"/>
      <c r="BD220" s="1624"/>
      <c r="BE220" s="1571" t="s">
        <v>1214</v>
      </c>
      <c r="BF220" s="1436">
        <v>22</v>
      </c>
      <c r="BG220" s="1436">
        <v>20</v>
      </c>
      <c r="BH220" s="1436">
        <v>2</v>
      </c>
      <c r="BI220" s="1495" t="b">
        <f t="shared" si="318"/>
        <v>1</v>
      </c>
      <c r="BJ220" s="1450" t="b">
        <f t="shared" si="253"/>
        <v>0</v>
      </c>
      <c r="BK220" s="1572">
        <f t="shared" si="254"/>
        <v>0</v>
      </c>
      <c r="BL220" s="1581">
        <f>IF(SUM(BL$201:BL219,BK220)&gt;$BP$4,0,BK220)</f>
        <v>0</v>
      </c>
      <c r="BM220" s="1436">
        <f t="shared" si="303"/>
        <v>0</v>
      </c>
      <c r="BN220" s="1495">
        <f t="shared" si="304"/>
        <v>0</v>
      </c>
      <c r="BO220" s="1437">
        <f t="shared" si="324"/>
        <v>0</v>
      </c>
      <c r="BP220" s="1762">
        <f t="shared" si="255"/>
        <v>0</v>
      </c>
      <c r="BQ220" s="1577">
        <f t="shared" si="256"/>
        <v>0</v>
      </c>
      <c r="BR220" s="1576">
        <f t="shared" si="305"/>
        <v>0</v>
      </c>
      <c r="BS220" s="1574">
        <f t="shared" si="257"/>
        <v>0</v>
      </c>
      <c r="BT220" s="1577">
        <f t="shared" si="258"/>
        <v>0</v>
      </c>
      <c r="BU220" s="1576">
        <f t="shared" si="306"/>
        <v>0</v>
      </c>
      <c r="BV220" s="1574">
        <f t="shared" si="259"/>
        <v>0</v>
      </c>
      <c r="BW220" s="1577">
        <f t="shared" si="260"/>
        <v>0</v>
      </c>
      <c r="BX220" s="1576">
        <f t="shared" si="307"/>
        <v>0</v>
      </c>
      <c r="BY220" s="1574">
        <f t="shared" si="261"/>
        <v>0</v>
      </c>
      <c r="BZ220" s="1577">
        <f t="shared" si="262"/>
        <v>0</v>
      </c>
      <c r="CA220" s="1576">
        <f t="shared" si="308"/>
        <v>0</v>
      </c>
      <c r="CB220" s="1495">
        <f t="shared" si="263"/>
        <v>0</v>
      </c>
      <c r="CC220" s="1577">
        <f t="shared" si="264"/>
        <v>0</v>
      </c>
      <c r="CD220" s="1576">
        <f t="shared" si="309"/>
        <v>0</v>
      </c>
      <c r="CE220" s="1495">
        <f t="shared" si="265"/>
        <v>0</v>
      </c>
      <c r="CF220" s="1577">
        <f t="shared" si="266"/>
        <v>0</v>
      </c>
      <c r="CG220" s="1576">
        <f t="shared" si="310"/>
        <v>0</v>
      </c>
      <c r="CH220" s="1495">
        <f t="shared" si="267"/>
        <v>0</v>
      </c>
      <c r="CI220" s="1577">
        <f t="shared" si="268"/>
        <v>0</v>
      </c>
      <c r="CJ220" s="1576">
        <f t="shared" si="311"/>
        <v>0</v>
      </c>
      <c r="CK220" s="1495">
        <f t="shared" si="269"/>
        <v>0</v>
      </c>
      <c r="CL220" s="1577">
        <f t="shared" si="270"/>
        <v>0</v>
      </c>
      <c r="CM220" s="1576">
        <f t="shared" si="312"/>
        <v>0</v>
      </c>
      <c r="CN220" s="1495">
        <f t="shared" si="271"/>
        <v>0</v>
      </c>
      <c r="CO220" s="1577">
        <f t="shared" si="272"/>
        <v>0</v>
      </c>
      <c r="CP220" s="1576">
        <f t="shared" si="313"/>
        <v>0</v>
      </c>
      <c r="CQ220" s="1495">
        <f t="shared" si="273"/>
        <v>0</v>
      </c>
      <c r="CR220" s="1577">
        <f t="shared" si="274"/>
        <v>0</v>
      </c>
      <c r="CS220" s="1576">
        <f t="shared" si="314"/>
        <v>0</v>
      </c>
      <c r="CT220" s="1495">
        <f t="shared" si="275"/>
        <v>0</v>
      </c>
      <c r="CU220" s="1577">
        <f t="shared" si="276"/>
        <v>0</v>
      </c>
      <c r="CV220" s="1576">
        <f t="shared" si="315"/>
        <v>0</v>
      </c>
      <c r="CW220" s="1495">
        <f t="shared" si="277"/>
        <v>0</v>
      </c>
      <c r="CX220" s="1577">
        <f t="shared" si="278"/>
        <v>0</v>
      </c>
      <c r="CY220" s="1576">
        <f t="shared" si="316"/>
        <v>0</v>
      </c>
      <c r="CZ220" s="1574">
        <f t="shared" si="317"/>
        <v>0</v>
      </c>
      <c r="DA220" s="1578">
        <f t="shared" si="319"/>
        <v>0</v>
      </c>
      <c r="DB220" s="1579">
        <f t="shared" si="320"/>
        <v>0</v>
      </c>
      <c r="DC220" s="1578">
        <f t="shared" si="321"/>
        <v>0</v>
      </c>
      <c r="DD220" s="1578">
        <f t="shared" si="321"/>
        <v>0</v>
      </c>
      <c r="DE220" s="1578">
        <f t="shared" si="321"/>
        <v>0</v>
      </c>
      <c r="DF220" s="1578">
        <f>IF(DA220-(DE219+CZ220)&lt;0,0,DA220-(DE219+CZ220))</f>
        <v>0</v>
      </c>
      <c r="DG220" s="1538"/>
      <c r="DH220" s="1538"/>
      <c r="DI220" s="1422"/>
      <c r="DJ220" s="1792"/>
      <c r="DK220" s="1685"/>
      <c r="DL220" s="1685"/>
      <c r="DM220" s="1428"/>
      <c r="DN220" s="1428"/>
      <c r="DO220" s="1428"/>
      <c r="DP220" s="1428"/>
      <c r="DQ220" s="1422"/>
      <c r="DR220" s="1428"/>
      <c r="DS220" s="1428"/>
      <c r="DT220" s="1428"/>
      <c r="DU220" s="1428"/>
      <c r="DV220" s="1428"/>
      <c r="DW220" s="1428"/>
      <c r="DX220" s="1428"/>
      <c r="DY220" s="1428"/>
      <c r="DZ220" s="1428"/>
      <c r="EA220" s="1428"/>
      <c r="EB220" s="1428"/>
      <c r="EC220" s="1428"/>
      <c r="ED220" s="1428"/>
      <c r="EE220" s="1428"/>
      <c r="EF220" s="1428"/>
      <c r="EG220" s="1428"/>
      <c r="EH220" s="1428"/>
      <c r="EI220" s="1428"/>
      <c r="EJ220" s="1428"/>
      <c r="EK220" s="1428"/>
      <c r="EL220" s="1428"/>
      <c r="EM220" s="1428"/>
      <c r="EN220" s="1428"/>
      <c r="EO220" s="1428"/>
      <c r="EP220" s="1428"/>
      <c r="EQ220" s="1428"/>
      <c r="ER220" s="1428"/>
      <c r="ES220" s="1428"/>
      <c r="ET220" s="1428"/>
      <c r="EU220" s="1428"/>
    </row>
    <row r="221" spans="1:151" s="1440" customFormat="1" ht="25.5" thickBot="1">
      <c r="A221" s="1455"/>
      <c r="B221" s="1095"/>
      <c r="C221" s="1475"/>
      <c r="D221" s="1475"/>
      <c r="E221" s="1586"/>
      <c r="F221" s="1586"/>
      <c r="G221" s="1586"/>
      <c r="H221" s="1586"/>
      <c r="I221" s="1586"/>
      <c r="J221" s="1791"/>
      <c r="K221" s="1721"/>
      <c r="L221" s="1721"/>
      <c r="M221" s="1721"/>
      <c r="N221" s="1430"/>
      <c r="O221" s="1700" t="s">
        <v>121</v>
      </c>
      <c r="P221" s="1430"/>
      <c r="Q221" s="1704" t="s">
        <v>1770</v>
      </c>
      <c r="R221" s="1432">
        <f>O243*DK238+O244*DK239</f>
        <v>0</v>
      </c>
      <c r="S221" s="1430"/>
      <c r="T221" s="1430"/>
      <c r="U221" s="1430"/>
      <c r="V221" s="1430"/>
      <c r="W221" s="1704" t="s">
        <v>1771</v>
      </c>
      <c r="X221" s="1430">
        <f>(X239*DK245+X240*DK246)*(X241*DK247+X242*DK248)*(X243*DK249+(1-X243))</f>
        <v>0</v>
      </c>
      <c r="Y221" s="1430"/>
      <c r="Z221" s="1704" t="s">
        <v>1772</v>
      </c>
      <c r="AA221" s="1430">
        <f>(Z239*DK245+Z240*DK246)*O242</f>
        <v>0</v>
      </c>
      <c r="AB221" s="1430"/>
      <c r="AC221" s="1430"/>
      <c r="AD221" s="1430"/>
      <c r="AE221" s="1430"/>
      <c r="AF221" s="1430"/>
      <c r="AG221" s="1430"/>
      <c r="AH221" s="1430"/>
      <c r="AI221" s="1430"/>
      <c r="AJ221" s="1430"/>
      <c r="AK221" s="1430"/>
      <c r="AL221" s="1430"/>
      <c r="AM221" s="1430"/>
      <c r="AN221" s="1430"/>
      <c r="AO221" s="1430"/>
      <c r="AP221" s="1430"/>
      <c r="AQ221" s="1704"/>
      <c r="AR221" s="1430"/>
      <c r="AS221" s="1430"/>
      <c r="AT221" s="1430"/>
      <c r="AU221" s="1430"/>
      <c r="AV221" s="1430"/>
      <c r="AW221" s="1430"/>
      <c r="AX221" s="1430"/>
      <c r="AY221" s="1430"/>
      <c r="AZ221" s="1430"/>
      <c r="BA221" s="1430"/>
      <c r="BB221" s="1430"/>
      <c r="BC221" s="1430"/>
      <c r="BD221" s="1720"/>
      <c r="BE221" s="1571" t="s">
        <v>1214</v>
      </c>
      <c r="BF221" s="1436">
        <v>22</v>
      </c>
      <c r="BG221" s="1436">
        <v>21</v>
      </c>
      <c r="BH221" s="1436">
        <v>3</v>
      </c>
      <c r="BI221" s="1495" t="b">
        <f t="shared" si="318"/>
        <v>1</v>
      </c>
      <c r="BJ221" s="1450" t="b">
        <f t="shared" si="253"/>
        <v>0</v>
      </c>
      <c r="BK221" s="1572">
        <f t="shared" si="254"/>
        <v>0</v>
      </c>
      <c r="BL221" s="1581">
        <f>IF(SUM(BK$201:BK220,BK221)&gt;$BP$4,0,BK221)</f>
        <v>0</v>
      </c>
      <c r="BM221" s="1436">
        <f t="shared" si="303"/>
        <v>0</v>
      </c>
      <c r="BN221" s="1495">
        <f t="shared" si="304"/>
        <v>0</v>
      </c>
      <c r="BO221" s="1437">
        <f t="shared" si="324"/>
        <v>0</v>
      </c>
      <c r="BP221" s="1762">
        <f t="shared" si="255"/>
        <v>0</v>
      </c>
      <c r="BQ221" s="1577">
        <f t="shared" si="256"/>
        <v>0</v>
      </c>
      <c r="BR221" s="1576">
        <f t="shared" si="305"/>
        <v>0</v>
      </c>
      <c r="BS221" s="1574">
        <f t="shared" si="257"/>
        <v>0</v>
      </c>
      <c r="BT221" s="1577">
        <f t="shared" si="258"/>
        <v>0</v>
      </c>
      <c r="BU221" s="1576">
        <f t="shared" si="306"/>
        <v>0</v>
      </c>
      <c r="BV221" s="1574">
        <f t="shared" si="259"/>
        <v>0</v>
      </c>
      <c r="BW221" s="1577">
        <f t="shared" si="260"/>
        <v>0</v>
      </c>
      <c r="BX221" s="1576">
        <f t="shared" si="307"/>
        <v>0</v>
      </c>
      <c r="BY221" s="1574">
        <f t="shared" si="261"/>
        <v>0</v>
      </c>
      <c r="BZ221" s="1577">
        <f t="shared" si="262"/>
        <v>0</v>
      </c>
      <c r="CA221" s="1576">
        <f t="shared" si="308"/>
        <v>0</v>
      </c>
      <c r="CB221" s="1495">
        <f t="shared" si="263"/>
        <v>0</v>
      </c>
      <c r="CC221" s="1577">
        <f t="shared" si="264"/>
        <v>0</v>
      </c>
      <c r="CD221" s="1576">
        <f t="shared" si="309"/>
        <v>0</v>
      </c>
      <c r="CE221" s="1495">
        <f t="shared" si="265"/>
        <v>0</v>
      </c>
      <c r="CF221" s="1577">
        <f t="shared" si="266"/>
        <v>0</v>
      </c>
      <c r="CG221" s="1576">
        <f t="shared" si="310"/>
        <v>0</v>
      </c>
      <c r="CH221" s="1495">
        <f t="shared" si="267"/>
        <v>0</v>
      </c>
      <c r="CI221" s="1577">
        <f t="shared" si="268"/>
        <v>0</v>
      </c>
      <c r="CJ221" s="1576">
        <f t="shared" si="311"/>
        <v>0</v>
      </c>
      <c r="CK221" s="1495">
        <f t="shared" si="269"/>
        <v>0</v>
      </c>
      <c r="CL221" s="1577">
        <f t="shared" si="270"/>
        <v>0</v>
      </c>
      <c r="CM221" s="1576">
        <f t="shared" si="312"/>
        <v>0</v>
      </c>
      <c r="CN221" s="1495">
        <f t="shared" si="271"/>
        <v>0</v>
      </c>
      <c r="CO221" s="1577">
        <f t="shared" si="272"/>
        <v>0</v>
      </c>
      <c r="CP221" s="1576">
        <f t="shared" si="313"/>
        <v>0</v>
      </c>
      <c r="CQ221" s="1495">
        <f t="shared" si="273"/>
        <v>0</v>
      </c>
      <c r="CR221" s="1577">
        <f t="shared" si="274"/>
        <v>0</v>
      </c>
      <c r="CS221" s="1576">
        <f t="shared" si="314"/>
        <v>0</v>
      </c>
      <c r="CT221" s="1495">
        <f t="shared" si="275"/>
        <v>0</v>
      </c>
      <c r="CU221" s="1577">
        <f t="shared" si="276"/>
        <v>0</v>
      </c>
      <c r="CV221" s="1576">
        <f t="shared" si="315"/>
        <v>0</v>
      </c>
      <c r="CW221" s="1495">
        <f t="shared" si="277"/>
        <v>0</v>
      </c>
      <c r="CX221" s="1577">
        <f t="shared" si="278"/>
        <v>0</v>
      </c>
      <c r="CY221" s="1576">
        <f t="shared" si="316"/>
        <v>0</v>
      </c>
      <c r="CZ221" s="1574">
        <f t="shared" si="317"/>
        <v>0</v>
      </c>
      <c r="DA221" s="1578">
        <f t="shared" si="319"/>
        <v>0</v>
      </c>
      <c r="DB221" s="1579">
        <f t="shared" si="320"/>
        <v>0</v>
      </c>
      <c r="DC221" s="1578">
        <f t="shared" si="321"/>
        <v>0</v>
      </c>
      <c r="DD221" s="1578">
        <f t="shared" si="321"/>
        <v>0</v>
      </c>
      <c r="DE221" s="1578">
        <f t="shared" si="321"/>
        <v>0</v>
      </c>
      <c r="DF221" s="1578">
        <f>IF(DA221-(DE220+CZ221)&lt;0,0,DA221-(DE220+CZ221))</f>
        <v>0</v>
      </c>
      <c r="DG221" s="1538"/>
      <c r="DH221" s="1538"/>
      <c r="DI221" s="1422"/>
      <c r="DJ221" s="1428"/>
      <c r="DK221" s="1428"/>
      <c r="DL221" s="1428"/>
      <c r="DM221" s="1793"/>
      <c r="DN221" s="1793"/>
      <c r="DO221" s="1428"/>
      <c r="DP221" s="1428"/>
      <c r="DQ221" s="1422"/>
      <c r="DR221" s="1428"/>
      <c r="DS221" s="1428"/>
      <c r="DT221" s="1428"/>
      <c r="DU221" s="1428"/>
      <c r="DV221" s="1428"/>
      <c r="DW221" s="1428"/>
      <c r="DX221" s="1428"/>
      <c r="DY221" s="1428"/>
      <c r="DZ221" s="1428"/>
      <c r="EA221" s="1428"/>
      <c r="EB221" s="1428"/>
      <c r="EC221" s="1428"/>
      <c r="ED221" s="1428"/>
      <c r="EE221" s="1428"/>
      <c r="EF221" s="1428"/>
      <c r="EG221" s="1428"/>
      <c r="EH221" s="1428"/>
      <c r="EI221" s="1428"/>
      <c r="EJ221" s="1428"/>
      <c r="EK221" s="1428"/>
      <c r="EL221" s="1428"/>
      <c r="EM221" s="1428"/>
      <c r="EN221" s="1428"/>
      <c r="EO221" s="1428"/>
      <c r="EP221" s="1428"/>
      <c r="EQ221" s="1428"/>
      <c r="ER221" s="1428"/>
      <c r="ES221" s="1428"/>
      <c r="ET221" s="1428"/>
      <c r="EU221" s="1428"/>
    </row>
    <row r="222" spans="1:151" s="1440" customFormat="1">
      <c r="A222" s="1455"/>
      <c r="B222" s="1623" t="s">
        <v>2222</v>
      </c>
      <c r="C222" s="1624"/>
      <c r="D222" s="1624"/>
      <c r="E222" s="1624"/>
      <c r="F222" s="1624"/>
      <c r="G222" s="1624"/>
      <c r="H222" s="1624"/>
      <c r="I222" s="1624"/>
      <c r="J222" s="1624"/>
      <c r="K222" s="1624"/>
      <c r="L222" s="1624"/>
      <c r="M222" s="1624"/>
      <c r="N222" s="1476"/>
      <c r="O222" s="1430"/>
      <c r="P222" s="2500" t="s">
        <v>1773</v>
      </c>
      <c r="Q222" s="2501"/>
      <c r="R222" s="2501"/>
      <c r="S222" s="2501"/>
      <c r="T222" s="2501"/>
      <c r="U222" s="2502" t="s">
        <v>1934</v>
      </c>
      <c r="V222" s="2503" t="s">
        <v>1774</v>
      </c>
      <c r="W222" s="2503"/>
      <c r="X222" s="2503"/>
      <c r="Y222" s="1794" t="s">
        <v>1775</v>
      </c>
      <c r="Z222" s="1794"/>
      <c r="AA222" s="1794"/>
      <c r="AB222" s="2502" t="s">
        <v>1776</v>
      </c>
      <c r="AC222" s="1430"/>
      <c r="AD222" s="1430"/>
      <c r="AE222" s="1430"/>
      <c r="AF222" s="1430"/>
      <c r="AG222" s="1430"/>
      <c r="AH222" s="1430"/>
      <c r="AI222" s="1430"/>
      <c r="AJ222" s="1430"/>
      <c r="AK222" s="1430"/>
      <c r="AL222" s="1430"/>
      <c r="AM222" s="1430"/>
      <c r="AN222" s="1430"/>
      <c r="AO222" s="1430"/>
      <c r="AP222" s="1430"/>
      <c r="AQ222" s="1704"/>
      <c r="AR222" s="1430"/>
      <c r="AS222" s="1430"/>
      <c r="AT222" s="1430"/>
      <c r="AU222" s="1430"/>
      <c r="AV222" s="1430"/>
      <c r="AW222" s="1430"/>
      <c r="AX222" s="1430"/>
      <c r="AY222" s="1430"/>
      <c r="AZ222" s="1430"/>
      <c r="BA222" s="1430"/>
      <c r="BB222" s="1430"/>
      <c r="BC222" s="1430"/>
      <c r="BD222" s="1720"/>
      <c r="BE222" s="1571" t="s">
        <v>1214</v>
      </c>
      <c r="BF222" s="1436">
        <v>22</v>
      </c>
      <c r="BG222" s="1436">
        <v>22</v>
      </c>
      <c r="BH222" s="1436">
        <v>4</v>
      </c>
      <c r="BI222" s="1495" t="b">
        <f t="shared" si="318"/>
        <v>1</v>
      </c>
      <c r="BJ222" s="1450" t="b">
        <f t="shared" si="253"/>
        <v>0</v>
      </c>
      <c r="BK222" s="1572">
        <f t="shared" si="254"/>
        <v>0</v>
      </c>
      <c r="BL222" s="1581">
        <f>IF(SUM(BL$201:BL221,BK222)&gt;$BP$4,0,BK222)</f>
        <v>0</v>
      </c>
      <c r="BM222" s="1436">
        <f t="shared" si="303"/>
        <v>0</v>
      </c>
      <c r="BN222" s="1495">
        <f t="shared" si="304"/>
        <v>0</v>
      </c>
      <c r="BO222" s="1437">
        <f t="shared" si="324"/>
        <v>0</v>
      </c>
      <c r="BP222" s="1762">
        <f t="shared" si="255"/>
        <v>0</v>
      </c>
      <c r="BQ222" s="1577">
        <f t="shared" si="256"/>
        <v>0</v>
      </c>
      <c r="BR222" s="1576">
        <f t="shared" si="305"/>
        <v>0</v>
      </c>
      <c r="BS222" s="1574">
        <f t="shared" si="257"/>
        <v>0</v>
      </c>
      <c r="BT222" s="1577">
        <f t="shared" si="258"/>
        <v>0</v>
      </c>
      <c r="BU222" s="1576">
        <f t="shared" si="306"/>
        <v>0</v>
      </c>
      <c r="BV222" s="1574">
        <f t="shared" si="259"/>
        <v>0</v>
      </c>
      <c r="BW222" s="1577">
        <f t="shared" si="260"/>
        <v>0</v>
      </c>
      <c r="BX222" s="1576">
        <f t="shared" si="307"/>
        <v>0</v>
      </c>
      <c r="BY222" s="1574">
        <f t="shared" si="261"/>
        <v>0</v>
      </c>
      <c r="BZ222" s="1577">
        <f t="shared" si="262"/>
        <v>0</v>
      </c>
      <c r="CA222" s="1576">
        <f t="shared" si="308"/>
        <v>0</v>
      </c>
      <c r="CB222" s="1495">
        <f t="shared" si="263"/>
        <v>0</v>
      </c>
      <c r="CC222" s="1577">
        <f t="shared" si="264"/>
        <v>0</v>
      </c>
      <c r="CD222" s="1576">
        <f t="shared" si="309"/>
        <v>0</v>
      </c>
      <c r="CE222" s="1495">
        <f t="shared" si="265"/>
        <v>0</v>
      </c>
      <c r="CF222" s="1577">
        <f t="shared" si="266"/>
        <v>0</v>
      </c>
      <c r="CG222" s="1576">
        <f t="shared" si="310"/>
        <v>0</v>
      </c>
      <c r="CH222" s="1495">
        <f t="shared" si="267"/>
        <v>0</v>
      </c>
      <c r="CI222" s="1577">
        <f t="shared" si="268"/>
        <v>0</v>
      </c>
      <c r="CJ222" s="1576">
        <f t="shared" si="311"/>
        <v>0</v>
      </c>
      <c r="CK222" s="1495">
        <f t="shared" si="269"/>
        <v>0</v>
      </c>
      <c r="CL222" s="1577">
        <f t="shared" si="270"/>
        <v>0</v>
      </c>
      <c r="CM222" s="1576">
        <f t="shared" si="312"/>
        <v>0</v>
      </c>
      <c r="CN222" s="1495">
        <f t="shared" si="271"/>
        <v>0</v>
      </c>
      <c r="CO222" s="1577">
        <f t="shared" si="272"/>
        <v>0</v>
      </c>
      <c r="CP222" s="1576">
        <f t="shared" si="313"/>
        <v>0</v>
      </c>
      <c r="CQ222" s="1495">
        <f t="shared" si="273"/>
        <v>0</v>
      </c>
      <c r="CR222" s="1577">
        <f t="shared" si="274"/>
        <v>0</v>
      </c>
      <c r="CS222" s="1576">
        <f t="shared" si="314"/>
        <v>0</v>
      </c>
      <c r="CT222" s="1495">
        <f t="shared" si="275"/>
        <v>0</v>
      </c>
      <c r="CU222" s="1577">
        <f t="shared" si="276"/>
        <v>0</v>
      </c>
      <c r="CV222" s="1576">
        <f t="shared" si="315"/>
        <v>0</v>
      </c>
      <c r="CW222" s="1495">
        <f t="shared" si="277"/>
        <v>0</v>
      </c>
      <c r="CX222" s="1577">
        <f t="shared" si="278"/>
        <v>0</v>
      </c>
      <c r="CY222" s="1576">
        <f t="shared" si="316"/>
        <v>0</v>
      </c>
      <c r="CZ222" s="1574">
        <f t="shared" si="317"/>
        <v>0</v>
      </c>
      <c r="DA222" s="1578">
        <f t="shared" si="319"/>
        <v>0</v>
      </c>
      <c r="DB222" s="1579">
        <f t="shared" si="320"/>
        <v>0</v>
      </c>
      <c r="DC222" s="1578">
        <f t="shared" si="321"/>
        <v>0</v>
      </c>
      <c r="DD222" s="1578">
        <f t="shared" si="321"/>
        <v>0</v>
      </c>
      <c r="DE222" s="1578">
        <f t="shared" si="321"/>
        <v>0</v>
      </c>
      <c r="DF222" s="1578">
        <f t="shared" si="322"/>
        <v>0</v>
      </c>
      <c r="DG222" s="1538"/>
      <c r="DH222" s="1538"/>
      <c r="DI222" s="1422"/>
      <c r="DJ222" s="1793"/>
      <c r="DK222" s="1793"/>
      <c r="DL222" s="1793"/>
      <c r="DM222" s="1793"/>
      <c r="DN222" s="1793"/>
      <c r="DO222" s="1428"/>
      <c r="DP222" s="1428"/>
      <c r="DQ222" s="1422"/>
      <c r="DR222" s="1428"/>
      <c r="DS222" s="1428"/>
      <c r="DT222" s="1428"/>
      <c r="DU222" s="1428"/>
      <c r="DV222" s="1428"/>
      <c r="DW222" s="1428"/>
      <c r="DX222" s="1428"/>
      <c r="DY222" s="1428"/>
      <c r="DZ222" s="1428"/>
      <c r="EA222" s="1428"/>
      <c r="EB222" s="1428"/>
      <c r="EC222" s="1428"/>
      <c r="ED222" s="1428"/>
      <c r="EE222" s="1428"/>
      <c r="EF222" s="1428"/>
      <c r="EG222" s="1428"/>
      <c r="EH222" s="1428"/>
      <c r="EI222" s="1428"/>
      <c r="EJ222" s="1428"/>
      <c r="EK222" s="1428"/>
      <c r="EL222" s="1428"/>
      <c r="EM222" s="1428"/>
      <c r="EN222" s="1428"/>
      <c r="EO222" s="1428"/>
      <c r="EP222" s="1428"/>
      <c r="EQ222" s="1428"/>
      <c r="ER222" s="1428"/>
      <c r="ES222" s="1428"/>
      <c r="ET222" s="1428"/>
      <c r="EU222" s="1428"/>
    </row>
    <row r="223" spans="1:151" s="1440" customFormat="1">
      <c r="A223" s="1747"/>
      <c r="B223" s="1688" t="s">
        <v>2325</v>
      </c>
      <c r="C223" s="1748"/>
      <c r="D223" s="1458"/>
      <c r="E223" s="1458"/>
      <c r="F223" s="1458"/>
      <c r="G223" s="1748"/>
      <c r="H223" s="1748"/>
      <c r="I223" s="1748"/>
      <c r="J223" s="1748"/>
      <c r="K223" s="1748"/>
      <c r="L223" s="1748"/>
      <c r="M223" s="1748"/>
      <c r="N223" s="1476" t="s">
        <v>1590</v>
      </c>
      <c r="O223" s="1430"/>
      <c r="P223" s="2476" t="s">
        <v>1778</v>
      </c>
      <c r="Q223" s="2476" t="s">
        <v>1779</v>
      </c>
      <c r="R223" s="2476" t="s">
        <v>1780</v>
      </c>
      <c r="S223" s="2476" t="s">
        <v>1781</v>
      </c>
      <c r="T223" s="2476" t="s">
        <v>1782</v>
      </c>
      <c r="U223" s="2476"/>
      <c r="V223" s="2476" t="s">
        <v>1783</v>
      </c>
      <c r="W223" s="2476" t="s">
        <v>1784</v>
      </c>
      <c r="X223" s="2476" t="s">
        <v>1785</v>
      </c>
      <c r="Y223" s="2476" t="s">
        <v>1783</v>
      </c>
      <c r="Z223" s="2476" t="s">
        <v>1784</v>
      </c>
      <c r="AA223" s="2476" t="s">
        <v>1785</v>
      </c>
      <c r="AB223" s="2476"/>
      <c r="AC223" s="2478" t="s">
        <v>1783</v>
      </c>
      <c r="AD223" s="2478" t="s">
        <v>1786</v>
      </c>
      <c r="AE223" s="2478" t="s">
        <v>1785</v>
      </c>
      <c r="AF223" s="1430"/>
      <c r="AG223" s="1430"/>
      <c r="AH223" s="1430"/>
      <c r="AI223" s="1430"/>
      <c r="AJ223" s="1430"/>
      <c r="AK223" s="1430"/>
      <c r="AL223" s="1430"/>
      <c r="AM223" s="1430"/>
      <c r="AN223" s="1430"/>
      <c r="AO223" s="1430"/>
      <c r="AP223" s="1430"/>
      <c r="AQ223" s="1704"/>
      <c r="AR223" s="1430"/>
      <c r="AS223" s="1430"/>
      <c r="AT223" s="1430"/>
      <c r="AU223" s="1430"/>
      <c r="AV223" s="1430"/>
      <c r="AW223" s="1430"/>
      <c r="AX223" s="1430"/>
      <c r="AY223" s="1430"/>
      <c r="AZ223" s="1430"/>
      <c r="BA223" s="1430"/>
      <c r="BB223" s="1430"/>
      <c r="BC223" s="1430"/>
      <c r="BD223" s="1720"/>
      <c r="BE223" s="1571" t="s">
        <v>1214</v>
      </c>
      <c r="BF223" s="1436">
        <v>22</v>
      </c>
      <c r="BG223" s="1436">
        <v>23</v>
      </c>
      <c r="BH223" s="1436">
        <v>5</v>
      </c>
      <c r="BI223" s="1495" t="b">
        <f t="shared" si="318"/>
        <v>1</v>
      </c>
      <c r="BJ223" s="1450" t="b">
        <f t="shared" si="253"/>
        <v>0</v>
      </c>
      <c r="BK223" s="1572">
        <f t="shared" si="254"/>
        <v>0</v>
      </c>
      <c r="BL223" s="1581">
        <f>IF(SUM(BL$201:BL222,BK223)&gt;$BP$4,0,BK223)</f>
        <v>0</v>
      </c>
      <c r="BM223" s="1436">
        <f t="shared" si="303"/>
        <v>0</v>
      </c>
      <c r="BN223" s="1495">
        <f t="shared" si="304"/>
        <v>0</v>
      </c>
      <c r="BO223" s="1437">
        <f t="shared" si="324"/>
        <v>0</v>
      </c>
      <c r="BP223" s="1762">
        <f t="shared" si="255"/>
        <v>0</v>
      </c>
      <c r="BQ223" s="1577">
        <f t="shared" si="256"/>
        <v>0</v>
      </c>
      <c r="BR223" s="1576">
        <f t="shared" si="305"/>
        <v>0</v>
      </c>
      <c r="BS223" s="1574">
        <f t="shared" si="257"/>
        <v>0</v>
      </c>
      <c r="BT223" s="1577">
        <f t="shared" si="258"/>
        <v>0</v>
      </c>
      <c r="BU223" s="1576">
        <f t="shared" si="306"/>
        <v>0</v>
      </c>
      <c r="BV223" s="1574">
        <f t="shared" si="259"/>
        <v>0</v>
      </c>
      <c r="BW223" s="1577">
        <f t="shared" si="260"/>
        <v>0</v>
      </c>
      <c r="BX223" s="1576">
        <f t="shared" si="307"/>
        <v>0</v>
      </c>
      <c r="BY223" s="1574">
        <f t="shared" si="261"/>
        <v>0</v>
      </c>
      <c r="BZ223" s="1577">
        <f t="shared" si="262"/>
        <v>0</v>
      </c>
      <c r="CA223" s="1576">
        <f t="shared" si="308"/>
        <v>0</v>
      </c>
      <c r="CB223" s="1495">
        <f t="shared" si="263"/>
        <v>0</v>
      </c>
      <c r="CC223" s="1577">
        <f t="shared" si="264"/>
        <v>0</v>
      </c>
      <c r="CD223" s="1576">
        <f t="shared" si="309"/>
        <v>0</v>
      </c>
      <c r="CE223" s="1495">
        <f t="shared" si="265"/>
        <v>0</v>
      </c>
      <c r="CF223" s="1577">
        <f t="shared" si="266"/>
        <v>0</v>
      </c>
      <c r="CG223" s="1576">
        <f t="shared" si="310"/>
        <v>0</v>
      </c>
      <c r="CH223" s="1495">
        <f t="shared" si="267"/>
        <v>0</v>
      </c>
      <c r="CI223" s="1577">
        <f t="shared" si="268"/>
        <v>0</v>
      </c>
      <c r="CJ223" s="1576">
        <f t="shared" si="311"/>
        <v>0</v>
      </c>
      <c r="CK223" s="1495">
        <f t="shared" si="269"/>
        <v>0</v>
      </c>
      <c r="CL223" s="1577">
        <f t="shared" si="270"/>
        <v>0</v>
      </c>
      <c r="CM223" s="1576">
        <f t="shared" si="312"/>
        <v>0</v>
      </c>
      <c r="CN223" s="1495">
        <f t="shared" si="271"/>
        <v>0</v>
      </c>
      <c r="CO223" s="1577">
        <f t="shared" si="272"/>
        <v>0</v>
      </c>
      <c r="CP223" s="1576">
        <f t="shared" si="313"/>
        <v>0</v>
      </c>
      <c r="CQ223" s="1495">
        <f t="shared" si="273"/>
        <v>0</v>
      </c>
      <c r="CR223" s="1577">
        <f t="shared" si="274"/>
        <v>0</v>
      </c>
      <c r="CS223" s="1576">
        <f t="shared" si="314"/>
        <v>0</v>
      </c>
      <c r="CT223" s="1495">
        <f t="shared" si="275"/>
        <v>0</v>
      </c>
      <c r="CU223" s="1577">
        <f t="shared" si="276"/>
        <v>0</v>
      </c>
      <c r="CV223" s="1576">
        <f t="shared" si="315"/>
        <v>0</v>
      </c>
      <c r="CW223" s="1495">
        <f t="shared" si="277"/>
        <v>0</v>
      </c>
      <c r="CX223" s="1577">
        <f t="shared" si="278"/>
        <v>0</v>
      </c>
      <c r="CY223" s="1576">
        <f t="shared" si="316"/>
        <v>0</v>
      </c>
      <c r="CZ223" s="1574">
        <f t="shared" si="317"/>
        <v>0</v>
      </c>
      <c r="DA223" s="1578">
        <f t="shared" si="319"/>
        <v>0</v>
      </c>
      <c r="DB223" s="1579">
        <f t="shared" si="320"/>
        <v>0</v>
      </c>
      <c r="DC223" s="1578">
        <f t="shared" si="321"/>
        <v>0</v>
      </c>
      <c r="DD223" s="1578">
        <f t="shared" si="321"/>
        <v>0</v>
      </c>
      <c r="DE223" s="1578">
        <f t="shared" si="321"/>
        <v>0</v>
      </c>
      <c r="DF223" s="1578">
        <f t="shared" si="322"/>
        <v>0</v>
      </c>
      <c r="DG223" s="1538"/>
      <c r="DH223" s="1538"/>
      <c r="DI223" s="1422"/>
      <c r="DJ223" s="1795" t="s">
        <v>1787</v>
      </c>
      <c r="DK223" s="1796" t="s">
        <v>1788</v>
      </c>
      <c r="DL223" s="1796"/>
      <c r="DM223" s="1797"/>
      <c r="DN223" s="1798"/>
      <c r="DO223" s="1428"/>
      <c r="DP223" s="1428"/>
      <c r="DQ223" s="1422"/>
      <c r="DR223" s="1428"/>
      <c r="DS223" s="1428"/>
      <c r="DT223" s="1428"/>
      <c r="DU223" s="1428"/>
      <c r="DV223" s="1428"/>
      <c r="DW223" s="1428"/>
      <c r="DX223" s="1428"/>
      <c r="DY223" s="1428"/>
      <c r="DZ223" s="1428"/>
      <c r="EA223" s="1428"/>
      <c r="EB223" s="1428"/>
      <c r="EC223" s="1428"/>
      <c r="ED223" s="1428"/>
      <c r="EE223" s="1428"/>
      <c r="EF223" s="1428"/>
      <c r="EG223" s="1428"/>
      <c r="EH223" s="1428"/>
      <c r="EI223" s="1428"/>
      <c r="EJ223" s="1428"/>
      <c r="EK223" s="1428"/>
      <c r="EL223" s="1428"/>
      <c r="EM223" s="1428"/>
      <c r="EN223" s="1428"/>
      <c r="EO223" s="1428"/>
      <c r="EP223" s="1428"/>
      <c r="EQ223" s="1428"/>
      <c r="ER223" s="1428"/>
      <c r="ES223" s="1428"/>
      <c r="ET223" s="1428"/>
      <c r="EU223" s="1428"/>
    </row>
    <row r="224" spans="1:151" s="1440" customFormat="1" ht="14.25" customHeight="1">
      <c r="A224" s="1455"/>
      <c r="B224" s="1799" t="s">
        <v>1769</v>
      </c>
      <c r="C224" s="1799"/>
      <c r="D224" s="1637" t="s">
        <v>368</v>
      </c>
      <c r="F224" s="1799"/>
      <c r="G224" s="1799"/>
      <c r="N224" s="1476">
        <v>2</v>
      </c>
      <c r="P224" s="2476"/>
      <c r="Q224" s="2499"/>
      <c r="R224" s="2499"/>
      <c r="S224" s="2499"/>
      <c r="T224" s="2499"/>
      <c r="U224" s="2499"/>
      <c r="V224" s="2499"/>
      <c r="W224" s="2499"/>
      <c r="X224" s="2499"/>
      <c r="Y224" s="2499"/>
      <c r="Z224" s="2499"/>
      <c r="AA224" s="2499"/>
      <c r="AB224" s="2499"/>
      <c r="AC224" s="2496"/>
      <c r="AD224" s="2496"/>
      <c r="AE224" s="2496"/>
      <c r="AF224" s="1430"/>
      <c r="AG224" s="1430"/>
      <c r="AH224" s="1430"/>
      <c r="AI224" s="1430"/>
      <c r="AJ224" s="1430"/>
      <c r="AK224" s="1430"/>
      <c r="AL224" s="1430"/>
      <c r="AM224" s="1430"/>
      <c r="AN224" s="1430"/>
      <c r="AO224" s="1430"/>
      <c r="AP224" s="1430"/>
      <c r="AQ224" s="1704"/>
      <c r="AR224" s="1430"/>
      <c r="AS224" s="1430"/>
      <c r="AT224" s="1430"/>
      <c r="AU224" s="1430"/>
      <c r="AV224" s="1430"/>
      <c r="AW224" s="1430"/>
      <c r="AX224" s="1430"/>
      <c r="AY224" s="1430"/>
      <c r="AZ224" s="1430"/>
      <c r="BA224" s="1430"/>
      <c r="BB224" s="1430"/>
      <c r="BC224" s="1430"/>
      <c r="BD224" s="1720"/>
      <c r="BE224" s="1571" t="s">
        <v>1214</v>
      </c>
      <c r="BF224" s="1436">
        <v>22</v>
      </c>
      <c r="BG224" s="1436">
        <v>24</v>
      </c>
      <c r="BH224" s="1436">
        <v>6</v>
      </c>
      <c r="BI224" s="1495" t="b">
        <f t="shared" si="318"/>
        <v>0</v>
      </c>
      <c r="BJ224" s="1450" t="b">
        <f t="shared" si="253"/>
        <v>0</v>
      </c>
      <c r="BK224" s="1572">
        <f t="shared" si="254"/>
        <v>0</v>
      </c>
      <c r="BL224" s="1581">
        <f>IF(SUM(BL$201:BL223,BK224)&gt;$BP$4,0,BK224)</f>
        <v>0</v>
      </c>
      <c r="BM224" s="1436">
        <f t="shared" si="303"/>
        <v>0</v>
      </c>
      <c r="BN224" s="1495">
        <f t="shared" si="304"/>
        <v>0</v>
      </c>
      <c r="BO224" s="1437">
        <f t="shared" si="324"/>
        <v>0</v>
      </c>
      <c r="BP224" s="1762">
        <f t="shared" si="255"/>
        <v>0</v>
      </c>
      <c r="BQ224" s="1577">
        <f t="shared" si="256"/>
        <v>0</v>
      </c>
      <c r="BR224" s="1576">
        <f t="shared" si="305"/>
        <v>0</v>
      </c>
      <c r="BS224" s="1574">
        <f t="shared" si="257"/>
        <v>0</v>
      </c>
      <c r="BT224" s="1577">
        <f t="shared" si="258"/>
        <v>0</v>
      </c>
      <c r="BU224" s="1576">
        <f t="shared" si="306"/>
        <v>0</v>
      </c>
      <c r="BV224" s="1574">
        <f t="shared" si="259"/>
        <v>0</v>
      </c>
      <c r="BW224" s="1577">
        <f t="shared" si="260"/>
        <v>0</v>
      </c>
      <c r="BX224" s="1576">
        <f t="shared" si="307"/>
        <v>0</v>
      </c>
      <c r="BY224" s="1574">
        <f t="shared" si="261"/>
        <v>0</v>
      </c>
      <c r="BZ224" s="1577">
        <f t="shared" si="262"/>
        <v>0</v>
      </c>
      <c r="CA224" s="1576">
        <f t="shared" si="308"/>
        <v>0</v>
      </c>
      <c r="CB224" s="1495">
        <f t="shared" si="263"/>
        <v>0</v>
      </c>
      <c r="CC224" s="1577">
        <f t="shared" si="264"/>
        <v>0</v>
      </c>
      <c r="CD224" s="1576">
        <f t="shared" si="309"/>
        <v>0</v>
      </c>
      <c r="CE224" s="1495">
        <f t="shared" si="265"/>
        <v>0</v>
      </c>
      <c r="CF224" s="1577">
        <f t="shared" si="266"/>
        <v>0</v>
      </c>
      <c r="CG224" s="1576">
        <f t="shared" si="310"/>
        <v>0</v>
      </c>
      <c r="CH224" s="1495">
        <f t="shared" si="267"/>
        <v>0</v>
      </c>
      <c r="CI224" s="1577">
        <f t="shared" si="268"/>
        <v>0</v>
      </c>
      <c r="CJ224" s="1576">
        <f t="shared" si="311"/>
        <v>0</v>
      </c>
      <c r="CK224" s="1495">
        <f t="shared" si="269"/>
        <v>0</v>
      </c>
      <c r="CL224" s="1577">
        <f t="shared" si="270"/>
        <v>0</v>
      </c>
      <c r="CM224" s="1576">
        <f t="shared" si="312"/>
        <v>0</v>
      </c>
      <c r="CN224" s="1495">
        <f t="shared" si="271"/>
        <v>0</v>
      </c>
      <c r="CO224" s="1577">
        <f t="shared" si="272"/>
        <v>0</v>
      </c>
      <c r="CP224" s="1576">
        <f t="shared" si="313"/>
        <v>0</v>
      </c>
      <c r="CQ224" s="1495">
        <f t="shared" si="273"/>
        <v>0</v>
      </c>
      <c r="CR224" s="1577">
        <f t="shared" si="274"/>
        <v>0</v>
      </c>
      <c r="CS224" s="1576">
        <f t="shared" si="314"/>
        <v>0</v>
      </c>
      <c r="CT224" s="1495">
        <f t="shared" si="275"/>
        <v>0</v>
      </c>
      <c r="CU224" s="1577">
        <f t="shared" si="276"/>
        <v>0</v>
      </c>
      <c r="CV224" s="1576">
        <f t="shared" si="315"/>
        <v>0</v>
      </c>
      <c r="CW224" s="1495">
        <f t="shared" si="277"/>
        <v>0</v>
      </c>
      <c r="CX224" s="1577">
        <f t="shared" si="278"/>
        <v>0</v>
      </c>
      <c r="CY224" s="1576">
        <f t="shared" si="316"/>
        <v>0</v>
      </c>
      <c r="CZ224" s="1574">
        <f t="shared" si="317"/>
        <v>0</v>
      </c>
      <c r="DA224" s="1578">
        <f t="shared" si="319"/>
        <v>0</v>
      </c>
      <c r="DB224" s="1579">
        <f t="shared" si="320"/>
        <v>0</v>
      </c>
      <c r="DC224" s="1578">
        <f t="shared" si="321"/>
        <v>0</v>
      </c>
      <c r="DD224" s="1578">
        <f t="shared" si="321"/>
        <v>0</v>
      </c>
      <c r="DE224" s="1578">
        <f t="shared" si="321"/>
        <v>0</v>
      </c>
      <c r="DF224" s="1578">
        <f t="shared" si="322"/>
        <v>0</v>
      </c>
      <c r="DG224" s="1538"/>
      <c r="DH224" s="1538"/>
      <c r="DI224" s="1422"/>
      <c r="DJ224" s="1800" t="s">
        <v>1789</v>
      </c>
      <c r="DK224" s="1797"/>
      <c r="DL224" s="1797"/>
      <c r="DM224" s="1780"/>
      <c r="DN224" s="1780"/>
      <c r="DO224" s="1428"/>
      <c r="DP224" s="1428"/>
      <c r="DQ224" s="1422"/>
      <c r="DR224" s="1428"/>
      <c r="DS224" s="1428"/>
      <c r="DT224" s="1428"/>
      <c r="DU224" s="1428"/>
      <c r="DV224" s="1428"/>
      <c r="DW224" s="1428"/>
      <c r="DX224" s="1428"/>
      <c r="DY224" s="1428"/>
      <c r="DZ224" s="1428"/>
      <c r="EA224" s="1428"/>
      <c r="EB224" s="1428"/>
      <c r="EC224" s="1428"/>
      <c r="ED224" s="1428"/>
      <c r="EE224" s="1428"/>
      <c r="EF224" s="1428"/>
      <c r="EG224" s="1428"/>
      <c r="EH224" s="1428"/>
      <c r="EI224" s="1428"/>
      <c r="EJ224" s="1428"/>
      <c r="EK224" s="1428"/>
      <c r="EL224" s="1428"/>
      <c r="EM224" s="1428"/>
      <c r="EN224" s="1428"/>
      <c r="EO224" s="1428"/>
      <c r="EP224" s="1428"/>
      <c r="EQ224" s="1428"/>
      <c r="ER224" s="1428"/>
      <c r="ES224" s="1428"/>
      <c r="ET224" s="1428"/>
      <c r="EU224" s="1428"/>
    </row>
    <row r="225" spans="1:151" s="1440" customFormat="1" ht="39">
      <c r="A225" s="1455"/>
      <c r="B225" s="1799"/>
      <c r="C225" s="1799"/>
      <c r="D225" s="1801"/>
      <c r="E225" s="1799"/>
      <c r="F225" s="1799"/>
      <c r="G225" s="1799"/>
      <c r="N225" s="1476">
        <v>3</v>
      </c>
      <c r="O225" s="1640" t="s">
        <v>800</v>
      </c>
      <c r="P225" s="1802">
        <f>$DN$226/3*$O$243+$O$244*$DN$232/3</f>
        <v>0</v>
      </c>
      <c r="Q225" s="1803">
        <f t="shared" ref="Q225:Q236" si="325">$R$221*$D$231*$O$240</f>
        <v>0</v>
      </c>
      <c r="R225" s="1803">
        <f t="shared" ref="R225:R236" si="326">$O$239*Q225*P225/1000</f>
        <v>0</v>
      </c>
      <c r="S225" s="1803">
        <f t="shared" ref="S225:S236" si="327">$D$233*$DL$242*P225/1000*$O$241</f>
        <v>0</v>
      </c>
      <c r="T225" s="1803">
        <f t="shared" ref="T225:T236" si="328">$O$239*(S225+R225)</f>
        <v>0</v>
      </c>
      <c r="U225" s="1803">
        <f>VLOOKUP($D$32,'Rainfall data'!$R$15:$AD$20,'Potable Water Calculator'!N224,FALSE)</f>
        <v>3.7554435483870949</v>
      </c>
      <c r="V225" s="1803">
        <f t="shared" ref="V225:V236" si="329">U225/1000*P205*$D$227*$X$221</f>
        <v>0</v>
      </c>
      <c r="W225" s="1803">
        <f t="shared" ref="W225:W236" si="330">Q205/1000*$D$227*$X$240</f>
        <v>0</v>
      </c>
      <c r="X225" s="1803">
        <f>IF(W225&gt;V225,0,V225-W225)</f>
        <v>0</v>
      </c>
      <c r="Y225" s="1803">
        <f t="shared" ref="Y225:Y236" si="331">U225/1000*P205*$D$235*$AA$221</f>
        <v>0</v>
      </c>
      <c r="Z225" s="1803">
        <f t="shared" ref="Z225:Z236" si="332">Q205/1000*$D$235*$Z$240</f>
        <v>0</v>
      </c>
      <c r="AA225" s="1803">
        <f t="shared" ref="AA225:AA236" si="333">IF(Z225&gt;Y225,0,Y225-Z225)</f>
        <v>0</v>
      </c>
      <c r="AB225" s="1803">
        <f t="shared" ref="AB225:AB236" si="334">AA225+X225*$O$239</f>
        <v>0</v>
      </c>
      <c r="AC225" s="1803">
        <f t="shared" ref="AC225:AC236" si="335">U225/1000*P205*$D$227</f>
        <v>0</v>
      </c>
      <c r="AD225" s="1803">
        <f t="shared" ref="AD225:AD236" si="336">Q205/1000*$D$227</f>
        <v>0</v>
      </c>
      <c r="AE225" s="1803">
        <f t="shared" ref="AE225:AE236" si="337">IF(AD225&gt;AC225,0,AC225-AD225)*$O$239</f>
        <v>0</v>
      </c>
      <c r="AF225" s="1430"/>
      <c r="AG225" s="1430"/>
      <c r="AH225" s="1430"/>
      <c r="AI225" s="1430"/>
      <c r="AJ225" s="1430"/>
      <c r="AK225" s="1430"/>
      <c r="AL225" s="1430"/>
      <c r="AM225" s="1430"/>
      <c r="AN225" s="1430"/>
      <c r="AO225" s="1430"/>
      <c r="AP225" s="1430"/>
      <c r="AQ225" s="1704"/>
      <c r="AR225" s="1430"/>
      <c r="AS225" s="1430"/>
      <c r="AT225" s="1430"/>
      <c r="AU225" s="1430"/>
      <c r="AV225" s="1430"/>
      <c r="AW225" s="1430"/>
      <c r="AX225" s="1430"/>
      <c r="AY225" s="1430"/>
      <c r="AZ225" s="1430"/>
      <c r="BA225" s="1430"/>
      <c r="BB225" s="1430"/>
      <c r="BC225" s="1430"/>
      <c r="BE225" s="1571" t="s">
        <v>1214</v>
      </c>
      <c r="BF225" s="1436">
        <v>22</v>
      </c>
      <c r="BG225" s="1436">
        <v>25</v>
      </c>
      <c r="BH225" s="1436">
        <v>7</v>
      </c>
      <c r="BI225" s="1495" t="b">
        <f t="shared" si="318"/>
        <v>0</v>
      </c>
      <c r="BJ225" s="1450" t="b">
        <f t="shared" si="253"/>
        <v>0</v>
      </c>
      <c r="BK225" s="1572">
        <f t="shared" si="254"/>
        <v>0</v>
      </c>
      <c r="BL225" s="1581">
        <f>IF(SUM(BL$201:BL224,BK225)&gt;$BP$4,0,BK225)</f>
        <v>0</v>
      </c>
      <c r="BM225" s="1436">
        <f t="shared" si="303"/>
        <v>0</v>
      </c>
      <c r="BN225" s="1495">
        <f t="shared" si="304"/>
        <v>0</v>
      </c>
      <c r="BO225" s="1437">
        <f t="shared" si="324"/>
        <v>0</v>
      </c>
      <c r="BP225" s="1762">
        <f t="shared" si="255"/>
        <v>0</v>
      </c>
      <c r="BQ225" s="1577">
        <f t="shared" si="256"/>
        <v>0</v>
      </c>
      <c r="BR225" s="1576">
        <f t="shared" si="305"/>
        <v>0</v>
      </c>
      <c r="BS225" s="1574">
        <f t="shared" si="257"/>
        <v>0</v>
      </c>
      <c r="BT225" s="1577">
        <f t="shared" si="258"/>
        <v>0</v>
      </c>
      <c r="BU225" s="1576">
        <f t="shared" si="306"/>
        <v>0</v>
      </c>
      <c r="BV225" s="1574">
        <f t="shared" si="259"/>
        <v>0</v>
      </c>
      <c r="BW225" s="1577">
        <f t="shared" si="260"/>
        <v>0</v>
      </c>
      <c r="BX225" s="1576">
        <f t="shared" si="307"/>
        <v>0</v>
      </c>
      <c r="BY225" s="1574">
        <f t="shared" si="261"/>
        <v>0</v>
      </c>
      <c r="BZ225" s="1577">
        <f t="shared" si="262"/>
        <v>0</v>
      </c>
      <c r="CA225" s="1576">
        <f t="shared" si="308"/>
        <v>0</v>
      </c>
      <c r="CB225" s="1495">
        <f t="shared" si="263"/>
        <v>0</v>
      </c>
      <c r="CC225" s="1577">
        <f t="shared" si="264"/>
        <v>0</v>
      </c>
      <c r="CD225" s="1576">
        <f t="shared" si="309"/>
        <v>0</v>
      </c>
      <c r="CE225" s="1495">
        <f t="shared" si="265"/>
        <v>0</v>
      </c>
      <c r="CF225" s="1577">
        <f t="shared" si="266"/>
        <v>0</v>
      </c>
      <c r="CG225" s="1576">
        <f t="shared" si="310"/>
        <v>0</v>
      </c>
      <c r="CH225" s="1495">
        <f t="shared" si="267"/>
        <v>0</v>
      </c>
      <c r="CI225" s="1577">
        <f t="shared" si="268"/>
        <v>0</v>
      </c>
      <c r="CJ225" s="1576">
        <f t="shared" si="311"/>
        <v>0</v>
      </c>
      <c r="CK225" s="1495">
        <f t="shared" si="269"/>
        <v>0</v>
      </c>
      <c r="CL225" s="1577">
        <f t="shared" si="270"/>
        <v>0</v>
      </c>
      <c r="CM225" s="1576">
        <f t="shared" si="312"/>
        <v>0</v>
      </c>
      <c r="CN225" s="1495">
        <f t="shared" si="271"/>
        <v>0</v>
      </c>
      <c r="CO225" s="1577">
        <f t="shared" si="272"/>
        <v>0</v>
      </c>
      <c r="CP225" s="1576">
        <f t="shared" si="313"/>
        <v>0</v>
      </c>
      <c r="CQ225" s="1495">
        <f t="shared" si="273"/>
        <v>0</v>
      </c>
      <c r="CR225" s="1577">
        <f t="shared" si="274"/>
        <v>0</v>
      </c>
      <c r="CS225" s="1576">
        <f t="shared" si="314"/>
        <v>0</v>
      </c>
      <c r="CT225" s="1495">
        <f t="shared" si="275"/>
        <v>0</v>
      </c>
      <c r="CU225" s="1577">
        <f t="shared" si="276"/>
        <v>0</v>
      </c>
      <c r="CV225" s="1576">
        <f t="shared" si="315"/>
        <v>0</v>
      </c>
      <c r="CW225" s="1495">
        <f t="shared" si="277"/>
        <v>0</v>
      </c>
      <c r="CX225" s="1577">
        <f t="shared" si="278"/>
        <v>0</v>
      </c>
      <c r="CY225" s="1576">
        <f t="shared" si="316"/>
        <v>0</v>
      </c>
      <c r="CZ225" s="1574">
        <f t="shared" si="317"/>
        <v>0</v>
      </c>
      <c r="DA225" s="1578">
        <f t="shared" si="319"/>
        <v>0</v>
      </c>
      <c r="DB225" s="1579">
        <f t="shared" si="320"/>
        <v>0</v>
      </c>
      <c r="DC225" s="1578">
        <f t="shared" si="321"/>
        <v>0</v>
      </c>
      <c r="DD225" s="1578">
        <f t="shared" si="321"/>
        <v>0</v>
      </c>
      <c r="DE225" s="1578">
        <f t="shared" si="321"/>
        <v>0</v>
      </c>
      <c r="DF225" s="1578">
        <f t="shared" si="322"/>
        <v>0</v>
      </c>
      <c r="DG225" s="1538"/>
      <c r="DH225" s="1538"/>
      <c r="DI225" s="1422"/>
      <c r="DJ225" s="1753"/>
      <c r="DK225" s="1753" t="s">
        <v>1792</v>
      </c>
      <c r="DL225" s="1753" t="s">
        <v>1793</v>
      </c>
      <c r="DM225" s="1804" t="s">
        <v>1794</v>
      </c>
      <c r="DN225" s="1804" t="s">
        <v>1795</v>
      </c>
      <c r="DO225" s="1428"/>
      <c r="DP225" s="1428"/>
      <c r="DQ225" s="1422"/>
      <c r="DR225" s="1428"/>
      <c r="DS225" s="1428"/>
      <c r="DT225" s="1428"/>
      <c r="DU225" s="1428"/>
      <c r="DV225" s="1428"/>
      <c r="DW225" s="1428"/>
      <c r="DX225" s="1428"/>
      <c r="DY225" s="1428"/>
      <c r="DZ225" s="1428"/>
      <c r="EA225" s="1428"/>
      <c r="EB225" s="1428"/>
      <c r="EC225" s="1428"/>
      <c r="ED225" s="1428"/>
      <c r="EE225" s="1428"/>
      <c r="EF225" s="1428"/>
      <c r="EG225" s="1428"/>
      <c r="EH225" s="1428"/>
      <c r="EI225" s="1428"/>
      <c r="EJ225" s="1428"/>
      <c r="EK225" s="1428"/>
      <c r="EL225" s="1428"/>
      <c r="EM225" s="1428"/>
      <c r="EN225" s="1428"/>
      <c r="EO225" s="1428"/>
      <c r="EP225" s="1428"/>
      <c r="EQ225" s="1428"/>
      <c r="ER225" s="1428"/>
      <c r="ES225" s="1428"/>
      <c r="ET225" s="1428"/>
      <c r="EU225" s="1428"/>
    </row>
    <row r="226" spans="1:151" s="1440" customFormat="1">
      <c r="A226" s="1455"/>
      <c r="B226" s="2494" t="s">
        <v>1777</v>
      </c>
      <c r="C226" s="2495"/>
      <c r="D226" s="1637"/>
      <c r="E226" s="1799"/>
      <c r="F226" s="1799"/>
      <c r="G226" s="1799"/>
      <c r="N226" s="1476">
        <v>4</v>
      </c>
      <c r="O226" s="1640" t="s">
        <v>801</v>
      </c>
      <c r="P226" s="1802">
        <f>$DN$226/3*$O$243+$O$244*$DN$232/3</f>
        <v>0</v>
      </c>
      <c r="Q226" s="1803">
        <f t="shared" si="325"/>
        <v>0</v>
      </c>
      <c r="R226" s="1803">
        <f t="shared" si="326"/>
        <v>0</v>
      </c>
      <c r="S226" s="1803">
        <f t="shared" si="327"/>
        <v>0</v>
      </c>
      <c r="T226" s="1803">
        <f t="shared" si="328"/>
        <v>0</v>
      </c>
      <c r="U226" s="1803">
        <f>VLOOKUP($D$32,'Rainfall data'!$R$15:$AD$20,'Potable Water Calculator'!N225,FALSE)</f>
        <v>4.091733333333333</v>
      </c>
      <c r="V226" s="1803">
        <f t="shared" si="329"/>
        <v>0</v>
      </c>
      <c r="W226" s="1803">
        <f t="shared" si="330"/>
        <v>0</v>
      </c>
      <c r="X226" s="1803">
        <f t="shared" ref="X226:X236" si="338">IF(W226&gt;V226,0,V226-W226)</f>
        <v>0</v>
      </c>
      <c r="Y226" s="1803">
        <f t="shared" si="331"/>
        <v>0</v>
      </c>
      <c r="Z226" s="1803">
        <f t="shared" si="332"/>
        <v>0</v>
      </c>
      <c r="AA226" s="1803">
        <f t="shared" si="333"/>
        <v>0</v>
      </c>
      <c r="AB226" s="1803">
        <f t="shared" si="334"/>
        <v>0</v>
      </c>
      <c r="AC226" s="1803">
        <f t="shared" si="335"/>
        <v>0</v>
      </c>
      <c r="AD226" s="1803">
        <f t="shared" si="336"/>
        <v>0</v>
      </c>
      <c r="AE226" s="1803">
        <f t="shared" si="337"/>
        <v>0</v>
      </c>
      <c r="AF226" s="1430"/>
      <c r="AG226" s="1430"/>
      <c r="AH226" s="1430"/>
      <c r="AI226" s="1430"/>
      <c r="AJ226" s="1430"/>
      <c r="AK226" s="1430"/>
      <c r="AL226" s="1430"/>
      <c r="AM226" s="1430"/>
      <c r="AN226" s="1430"/>
      <c r="AO226" s="1430"/>
      <c r="AP226" s="1430"/>
      <c r="AQ226" s="1704"/>
      <c r="AR226" s="1430"/>
      <c r="AS226" s="1430"/>
      <c r="AT226" s="1430"/>
      <c r="AU226" s="1430"/>
      <c r="AV226" s="1430"/>
      <c r="AW226" s="1430"/>
      <c r="AX226" s="1430"/>
      <c r="AY226" s="1430"/>
      <c r="AZ226" s="1430"/>
      <c r="BA226" s="1430"/>
      <c r="BB226" s="1430"/>
      <c r="BC226" s="1430"/>
      <c r="BD226" s="1720"/>
      <c r="BE226" s="1571" t="s">
        <v>1214</v>
      </c>
      <c r="BF226" s="1436">
        <v>22</v>
      </c>
      <c r="BG226" s="1436">
        <v>26</v>
      </c>
      <c r="BH226" s="1436">
        <v>1</v>
      </c>
      <c r="BI226" s="1495" t="b">
        <f t="shared" si="318"/>
        <v>1</v>
      </c>
      <c r="BJ226" s="1450" t="b">
        <f t="shared" si="253"/>
        <v>0</v>
      </c>
      <c r="BK226" s="1572">
        <f t="shared" si="254"/>
        <v>0</v>
      </c>
      <c r="BL226" s="1581">
        <f>IF(SUM(BL$201:BL225,BK226)&gt;$BP$4,0,BK226)</f>
        <v>0</v>
      </c>
      <c r="BM226" s="1436">
        <f t="shared" si="303"/>
        <v>0</v>
      </c>
      <c r="BN226" s="1495">
        <f t="shared" si="304"/>
        <v>0</v>
      </c>
      <c r="BO226" s="1437">
        <f t="shared" si="324"/>
        <v>0</v>
      </c>
      <c r="BP226" s="1762">
        <f t="shared" si="255"/>
        <v>0</v>
      </c>
      <c r="BQ226" s="1577">
        <f t="shared" si="256"/>
        <v>0</v>
      </c>
      <c r="BR226" s="1576">
        <f t="shared" si="305"/>
        <v>0</v>
      </c>
      <c r="BS226" s="1574">
        <f t="shared" si="257"/>
        <v>0</v>
      </c>
      <c r="BT226" s="1577">
        <f t="shared" si="258"/>
        <v>0</v>
      </c>
      <c r="BU226" s="1576">
        <f t="shared" si="306"/>
        <v>0</v>
      </c>
      <c r="BV226" s="1574">
        <f t="shared" si="259"/>
        <v>0</v>
      </c>
      <c r="BW226" s="1577">
        <f t="shared" si="260"/>
        <v>0</v>
      </c>
      <c r="BX226" s="1576">
        <f t="shared" si="307"/>
        <v>0</v>
      </c>
      <c r="BY226" s="1574">
        <f t="shared" si="261"/>
        <v>0</v>
      </c>
      <c r="BZ226" s="1577">
        <f t="shared" si="262"/>
        <v>0</v>
      </c>
      <c r="CA226" s="1576">
        <f t="shared" si="308"/>
        <v>0</v>
      </c>
      <c r="CB226" s="1495">
        <f t="shared" si="263"/>
        <v>0</v>
      </c>
      <c r="CC226" s="1577">
        <f t="shared" si="264"/>
        <v>0</v>
      </c>
      <c r="CD226" s="1576">
        <f t="shared" si="309"/>
        <v>0</v>
      </c>
      <c r="CE226" s="1495">
        <f t="shared" si="265"/>
        <v>0</v>
      </c>
      <c r="CF226" s="1577">
        <f t="shared" si="266"/>
        <v>0</v>
      </c>
      <c r="CG226" s="1576">
        <f t="shared" si="310"/>
        <v>0</v>
      </c>
      <c r="CH226" s="1495">
        <f t="shared" si="267"/>
        <v>0</v>
      </c>
      <c r="CI226" s="1577">
        <f t="shared" si="268"/>
        <v>0</v>
      </c>
      <c r="CJ226" s="1576">
        <f t="shared" si="311"/>
        <v>0</v>
      </c>
      <c r="CK226" s="1495">
        <f t="shared" si="269"/>
        <v>0</v>
      </c>
      <c r="CL226" s="1577">
        <f t="shared" si="270"/>
        <v>0</v>
      </c>
      <c r="CM226" s="1576">
        <f t="shared" si="312"/>
        <v>0</v>
      </c>
      <c r="CN226" s="1495">
        <f t="shared" si="271"/>
        <v>0</v>
      </c>
      <c r="CO226" s="1577">
        <f t="shared" si="272"/>
        <v>0</v>
      </c>
      <c r="CP226" s="1576">
        <f t="shared" si="313"/>
        <v>0</v>
      </c>
      <c r="CQ226" s="1495">
        <f t="shared" si="273"/>
        <v>0</v>
      </c>
      <c r="CR226" s="1577">
        <f t="shared" si="274"/>
        <v>0</v>
      </c>
      <c r="CS226" s="1576">
        <f t="shared" si="314"/>
        <v>0</v>
      </c>
      <c r="CT226" s="1495">
        <f t="shared" si="275"/>
        <v>0</v>
      </c>
      <c r="CU226" s="1577">
        <f t="shared" si="276"/>
        <v>0</v>
      </c>
      <c r="CV226" s="1576">
        <f t="shared" si="315"/>
        <v>0</v>
      </c>
      <c r="CW226" s="1495">
        <f t="shared" si="277"/>
        <v>0</v>
      </c>
      <c r="CX226" s="1577">
        <f t="shared" si="278"/>
        <v>0</v>
      </c>
      <c r="CY226" s="1576">
        <f t="shared" si="316"/>
        <v>0</v>
      </c>
      <c r="CZ226" s="1574">
        <f t="shared" si="317"/>
        <v>0</v>
      </c>
      <c r="DA226" s="1578">
        <f t="shared" si="319"/>
        <v>0</v>
      </c>
      <c r="DB226" s="1579">
        <f t="shared" si="320"/>
        <v>0</v>
      </c>
      <c r="DC226" s="1578">
        <f t="shared" si="321"/>
        <v>0</v>
      </c>
      <c r="DD226" s="1578">
        <f t="shared" si="321"/>
        <v>0</v>
      </c>
      <c r="DE226" s="1578">
        <f t="shared" si="321"/>
        <v>0</v>
      </c>
      <c r="DF226" s="1578">
        <f t="shared" si="322"/>
        <v>0</v>
      </c>
      <c r="DG226" s="1538"/>
      <c r="DH226" s="1538"/>
      <c r="DI226" s="1422"/>
      <c r="DJ226" s="1753" t="s">
        <v>1798</v>
      </c>
      <c r="DK226" s="1776">
        <v>7</v>
      </c>
      <c r="DL226" s="1776">
        <v>90</v>
      </c>
      <c r="DM226" s="1776">
        <f>DL226*DK226</f>
        <v>630</v>
      </c>
      <c r="DN226" s="1805">
        <f>DM226/70</f>
        <v>9</v>
      </c>
      <c r="DO226" s="1428"/>
      <c r="DP226" s="1428"/>
      <c r="DQ226" s="1422"/>
      <c r="DR226" s="1428"/>
      <c r="DS226" s="1428"/>
      <c r="DT226" s="1428"/>
      <c r="DU226" s="1428"/>
      <c r="DV226" s="1428"/>
      <c r="DW226" s="1428"/>
      <c r="DX226" s="1428"/>
      <c r="DY226" s="1428"/>
      <c r="DZ226" s="1428"/>
      <c r="EA226" s="1428"/>
      <c r="EB226" s="1428"/>
      <c r="EC226" s="1428"/>
      <c r="ED226" s="1428"/>
      <c r="EE226" s="1428"/>
      <c r="EF226" s="1428"/>
      <c r="EG226" s="1428"/>
      <c r="EH226" s="1428"/>
      <c r="EI226" s="1428"/>
      <c r="EJ226" s="1428"/>
      <c r="EK226" s="1428"/>
      <c r="EL226" s="1428"/>
      <c r="EM226" s="1428"/>
      <c r="EN226" s="1428"/>
      <c r="EO226" s="1428"/>
      <c r="EP226" s="1428"/>
      <c r="EQ226" s="1428"/>
      <c r="ER226" s="1428"/>
      <c r="ES226" s="1428"/>
      <c r="ET226" s="1428"/>
      <c r="EU226" s="1428"/>
    </row>
    <row r="227" spans="1:151" s="1440" customFormat="1">
      <c r="A227" s="1455"/>
      <c r="B227" s="2494" t="s">
        <v>1942</v>
      </c>
      <c r="C227" s="2495"/>
      <c r="D227" s="1637"/>
      <c r="E227" s="1799"/>
      <c r="F227" s="1799"/>
      <c r="G227" s="1799"/>
      <c r="N227" s="1476">
        <v>5</v>
      </c>
      <c r="O227" s="1640" t="s">
        <v>881</v>
      </c>
      <c r="P227" s="1806">
        <f>$DN$227/6*$O$243+$O$244*$DN$233/6</f>
        <v>0</v>
      </c>
      <c r="Q227" s="1803">
        <f t="shared" si="325"/>
        <v>0</v>
      </c>
      <c r="R227" s="1803">
        <f t="shared" si="326"/>
        <v>0</v>
      </c>
      <c r="S227" s="1803">
        <f t="shared" si="327"/>
        <v>0</v>
      </c>
      <c r="T227" s="1803">
        <f t="shared" si="328"/>
        <v>0</v>
      </c>
      <c r="U227" s="1803">
        <f>VLOOKUP($D$32,'Rainfall data'!$R$15:$AD$20,'Potable Water Calculator'!N226,FALSE)</f>
        <v>3.5426724137931034</v>
      </c>
      <c r="V227" s="1803">
        <f t="shared" si="329"/>
        <v>0</v>
      </c>
      <c r="W227" s="1803">
        <f t="shared" si="330"/>
        <v>0</v>
      </c>
      <c r="X227" s="1803">
        <f t="shared" si="338"/>
        <v>0</v>
      </c>
      <c r="Y227" s="1803">
        <f t="shared" si="331"/>
        <v>0</v>
      </c>
      <c r="Z227" s="1803">
        <f t="shared" si="332"/>
        <v>0</v>
      </c>
      <c r="AA227" s="1803">
        <f t="shared" si="333"/>
        <v>0</v>
      </c>
      <c r="AB227" s="1803">
        <f t="shared" si="334"/>
        <v>0</v>
      </c>
      <c r="AC227" s="1803">
        <f t="shared" si="335"/>
        <v>0</v>
      </c>
      <c r="AD227" s="1803">
        <f t="shared" si="336"/>
        <v>0</v>
      </c>
      <c r="AE227" s="1803">
        <f t="shared" si="337"/>
        <v>0</v>
      </c>
      <c r="AF227" s="1430"/>
      <c r="AG227" s="1430"/>
      <c r="AH227" s="1430"/>
      <c r="AI227" s="1430"/>
      <c r="AJ227" s="1430"/>
      <c r="AK227" s="1430"/>
      <c r="AL227" s="1430"/>
      <c r="AM227" s="1430"/>
      <c r="AN227" s="1430"/>
      <c r="AO227" s="1430"/>
      <c r="AP227" s="1430"/>
      <c r="AQ227" s="1704"/>
      <c r="AR227" s="1430"/>
      <c r="AS227" s="1430"/>
      <c r="AT227" s="1430"/>
      <c r="AU227" s="1430"/>
      <c r="AV227" s="1430"/>
      <c r="AW227" s="1430"/>
      <c r="AX227" s="1430"/>
      <c r="AY227" s="1430"/>
      <c r="AZ227" s="1430"/>
      <c r="BA227" s="1430"/>
      <c r="BB227" s="1430"/>
      <c r="BC227" s="1430"/>
      <c r="BE227" s="1571" t="s">
        <v>1214</v>
      </c>
      <c r="BF227" s="1436">
        <v>22</v>
      </c>
      <c r="BG227" s="1436">
        <v>27</v>
      </c>
      <c r="BH227" s="1436">
        <v>2</v>
      </c>
      <c r="BI227" s="1495" t="b">
        <f t="shared" si="318"/>
        <v>1</v>
      </c>
      <c r="BJ227" s="1450" t="b">
        <f t="shared" si="253"/>
        <v>0</v>
      </c>
      <c r="BK227" s="1572">
        <f t="shared" si="254"/>
        <v>0</v>
      </c>
      <c r="BL227" s="1581">
        <f>IF(SUM(BL$201:BL226,BK227)&gt;$BP$4,0,BK227)</f>
        <v>0</v>
      </c>
      <c r="BM227" s="1436">
        <f t="shared" si="303"/>
        <v>0</v>
      </c>
      <c r="BN227" s="1495">
        <f t="shared" si="304"/>
        <v>0</v>
      </c>
      <c r="BO227" s="1437">
        <f t="shared" si="324"/>
        <v>0</v>
      </c>
      <c r="BP227" s="1762">
        <f t="shared" si="255"/>
        <v>0</v>
      </c>
      <c r="BQ227" s="1577">
        <f t="shared" si="256"/>
        <v>0</v>
      </c>
      <c r="BR227" s="1576">
        <f t="shared" si="305"/>
        <v>0</v>
      </c>
      <c r="BS227" s="1574">
        <f t="shared" si="257"/>
        <v>0</v>
      </c>
      <c r="BT227" s="1577">
        <f t="shared" si="258"/>
        <v>0</v>
      </c>
      <c r="BU227" s="1576">
        <f t="shared" si="306"/>
        <v>0</v>
      </c>
      <c r="BV227" s="1574">
        <f t="shared" si="259"/>
        <v>0</v>
      </c>
      <c r="BW227" s="1577">
        <f t="shared" si="260"/>
        <v>0</v>
      </c>
      <c r="BX227" s="1576">
        <f t="shared" si="307"/>
        <v>0</v>
      </c>
      <c r="BY227" s="1574">
        <f t="shared" si="261"/>
        <v>0</v>
      </c>
      <c r="BZ227" s="1577">
        <f t="shared" si="262"/>
        <v>0</v>
      </c>
      <c r="CA227" s="1576">
        <f t="shared" si="308"/>
        <v>0</v>
      </c>
      <c r="CB227" s="1495">
        <f t="shared" si="263"/>
        <v>0</v>
      </c>
      <c r="CC227" s="1577">
        <f t="shared" si="264"/>
        <v>0</v>
      </c>
      <c r="CD227" s="1576">
        <f t="shared" si="309"/>
        <v>0</v>
      </c>
      <c r="CE227" s="1495">
        <f t="shared" si="265"/>
        <v>0</v>
      </c>
      <c r="CF227" s="1577">
        <f t="shared" si="266"/>
        <v>0</v>
      </c>
      <c r="CG227" s="1576">
        <f t="shared" si="310"/>
        <v>0</v>
      </c>
      <c r="CH227" s="1495">
        <f t="shared" si="267"/>
        <v>0</v>
      </c>
      <c r="CI227" s="1577">
        <f t="shared" si="268"/>
        <v>0</v>
      </c>
      <c r="CJ227" s="1576">
        <f t="shared" si="311"/>
        <v>0</v>
      </c>
      <c r="CK227" s="1495">
        <f t="shared" si="269"/>
        <v>0</v>
      </c>
      <c r="CL227" s="1577">
        <f t="shared" si="270"/>
        <v>0</v>
      </c>
      <c r="CM227" s="1576">
        <f t="shared" si="312"/>
        <v>0</v>
      </c>
      <c r="CN227" s="1495">
        <f t="shared" si="271"/>
        <v>0</v>
      </c>
      <c r="CO227" s="1577">
        <f t="shared" si="272"/>
        <v>0</v>
      </c>
      <c r="CP227" s="1576">
        <f t="shared" si="313"/>
        <v>0</v>
      </c>
      <c r="CQ227" s="1495">
        <f t="shared" si="273"/>
        <v>0</v>
      </c>
      <c r="CR227" s="1577">
        <f t="shared" si="274"/>
        <v>0</v>
      </c>
      <c r="CS227" s="1576">
        <f t="shared" si="314"/>
        <v>0</v>
      </c>
      <c r="CT227" s="1495">
        <f t="shared" si="275"/>
        <v>0</v>
      </c>
      <c r="CU227" s="1577">
        <f t="shared" si="276"/>
        <v>0</v>
      </c>
      <c r="CV227" s="1576">
        <f t="shared" si="315"/>
        <v>0</v>
      </c>
      <c r="CW227" s="1495">
        <f t="shared" si="277"/>
        <v>0</v>
      </c>
      <c r="CX227" s="1577">
        <f t="shared" si="278"/>
        <v>0</v>
      </c>
      <c r="CY227" s="1576">
        <f t="shared" si="316"/>
        <v>0</v>
      </c>
      <c r="CZ227" s="1574">
        <f t="shared" si="317"/>
        <v>0</v>
      </c>
      <c r="DA227" s="1578">
        <f t="shared" si="319"/>
        <v>0</v>
      </c>
      <c r="DB227" s="1579">
        <f t="shared" si="320"/>
        <v>0</v>
      </c>
      <c r="DC227" s="1578">
        <f t="shared" si="321"/>
        <v>0</v>
      </c>
      <c r="DD227" s="1578">
        <f t="shared" si="321"/>
        <v>0</v>
      </c>
      <c r="DE227" s="1578">
        <f t="shared" si="321"/>
        <v>0</v>
      </c>
      <c r="DF227" s="1578">
        <f t="shared" si="322"/>
        <v>0</v>
      </c>
      <c r="DG227" s="1538"/>
      <c r="DH227" s="1538"/>
      <c r="DI227" s="1422"/>
      <c r="DJ227" s="1753" t="s">
        <v>1807</v>
      </c>
      <c r="DK227" s="1773">
        <v>7</v>
      </c>
      <c r="DL227" s="1773">
        <v>183</v>
      </c>
      <c r="DM227" s="1773">
        <f>DL227*DK227</f>
        <v>1281</v>
      </c>
      <c r="DN227" s="1807">
        <f>DM227/70</f>
        <v>18.3</v>
      </c>
      <c r="DO227" s="1428"/>
      <c r="DP227" s="1428"/>
      <c r="DQ227" s="1422"/>
      <c r="DR227" s="1428"/>
      <c r="DS227" s="1428"/>
      <c r="DT227" s="1428"/>
      <c r="DU227" s="1428"/>
      <c r="DV227" s="1428"/>
      <c r="DW227" s="1428"/>
      <c r="DX227" s="1428"/>
      <c r="DY227" s="1428"/>
      <c r="DZ227" s="1428"/>
      <c r="EA227" s="1428"/>
      <c r="EB227" s="1428"/>
      <c r="EC227" s="1428"/>
      <c r="ED227" s="1428"/>
      <c r="EE227" s="1428"/>
      <c r="EF227" s="1428"/>
      <c r="EG227" s="1428"/>
      <c r="EH227" s="1428"/>
      <c r="EI227" s="1428"/>
      <c r="EJ227" s="1428"/>
      <c r="EK227" s="1428"/>
      <c r="EL227" s="1428"/>
      <c r="EM227" s="1428"/>
      <c r="EN227" s="1428"/>
      <c r="EO227" s="1428"/>
      <c r="EP227" s="1428"/>
      <c r="EQ227" s="1428"/>
      <c r="ER227" s="1428"/>
      <c r="ES227" s="1428"/>
      <c r="ET227" s="1428"/>
      <c r="EU227" s="1428"/>
    </row>
    <row r="228" spans="1:151" s="1440" customFormat="1">
      <c r="A228" s="1455"/>
      <c r="B228" s="1422"/>
      <c r="C228" s="1422"/>
      <c r="D228" s="1720"/>
      <c r="E228" s="1799"/>
      <c r="F228" s="1799"/>
      <c r="G228" s="1799"/>
      <c r="N228" s="1476">
        <v>6</v>
      </c>
      <c r="O228" s="1640" t="s">
        <v>882</v>
      </c>
      <c r="P228" s="1806">
        <f>$DN$227/6*$O$243+$O$244*$DN$233/6</f>
        <v>0</v>
      </c>
      <c r="Q228" s="1803">
        <f t="shared" si="325"/>
        <v>0</v>
      </c>
      <c r="R228" s="1803">
        <f t="shared" si="326"/>
        <v>0</v>
      </c>
      <c r="S228" s="1803">
        <f t="shared" si="327"/>
        <v>0</v>
      </c>
      <c r="T228" s="1803">
        <f t="shared" si="328"/>
        <v>0</v>
      </c>
      <c r="U228" s="1803">
        <f>VLOOKUP($D$32,'Rainfall data'!$R$15:$AD$20,'Potable Water Calculator'!N227,FALSE)</f>
        <v>2.7748095238095241</v>
      </c>
      <c r="V228" s="1803">
        <f t="shared" si="329"/>
        <v>0</v>
      </c>
      <c r="W228" s="1803">
        <f t="shared" si="330"/>
        <v>0</v>
      </c>
      <c r="X228" s="1803">
        <f t="shared" si="338"/>
        <v>0</v>
      </c>
      <c r="Y228" s="1803">
        <f t="shared" si="331"/>
        <v>0</v>
      </c>
      <c r="Z228" s="1803">
        <f t="shared" si="332"/>
        <v>0</v>
      </c>
      <c r="AA228" s="1803">
        <f t="shared" si="333"/>
        <v>0</v>
      </c>
      <c r="AB228" s="1803">
        <f t="shared" si="334"/>
        <v>0</v>
      </c>
      <c r="AC228" s="1803">
        <f t="shared" si="335"/>
        <v>0</v>
      </c>
      <c r="AD228" s="1803">
        <f t="shared" si="336"/>
        <v>0</v>
      </c>
      <c r="AE228" s="1803">
        <f t="shared" si="337"/>
        <v>0</v>
      </c>
      <c r="AF228" s="1430"/>
      <c r="AG228" s="1430"/>
      <c r="AH228" s="1430"/>
      <c r="AI228" s="1430"/>
      <c r="AJ228" s="1430"/>
      <c r="AK228" s="1430"/>
      <c r="AL228" s="1430"/>
      <c r="AM228" s="1430"/>
      <c r="AN228" s="1430"/>
      <c r="AO228" s="1430"/>
      <c r="AP228" s="1430"/>
      <c r="AQ228" s="1704"/>
      <c r="AR228" s="1430"/>
      <c r="AS228" s="1430"/>
      <c r="AT228" s="1430"/>
      <c r="AU228" s="1430"/>
      <c r="AV228" s="1430"/>
      <c r="AW228" s="1430"/>
      <c r="AX228" s="1430"/>
      <c r="AY228" s="1430"/>
      <c r="AZ228" s="1430"/>
      <c r="BA228" s="1430"/>
      <c r="BB228" s="1430"/>
      <c r="BC228" s="1430"/>
      <c r="BD228" s="1475"/>
      <c r="BE228" s="1571" t="s">
        <v>1214</v>
      </c>
      <c r="BF228" s="1436">
        <v>22</v>
      </c>
      <c r="BG228" s="1436">
        <v>28</v>
      </c>
      <c r="BH228" s="1436">
        <v>3</v>
      </c>
      <c r="BI228" s="1495" t="b">
        <f t="shared" si="318"/>
        <v>1</v>
      </c>
      <c r="BJ228" s="1450" t="b">
        <f t="shared" si="253"/>
        <v>0</v>
      </c>
      <c r="BK228" s="1572">
        <f t="shared" si="254"/>
        <v>0</v>
      </c>
      <c r="BL228" s="1581">
        <f>IF(SUM(BL$201:BL227,BK228)&gt;$BP$4,0,BK228)</f>
        <v>0</v>
      </c>
      <c r="BM228" s="1436">
        <f t="shared" si="303"/>
        <v>0</v>
      </c>
      <c r="BN228" s="1495">
        <f t="shared" si="304"/>
        <v>0</v>
      </c>
      <c r="BO228" s="1437">
        <f t="shared" si="324"/>
        <v>0</v>
      </c>
      <c r="BP228" s="1762">
        <f t="shared" si="255"/>
        <v>0</v>
      </c>
      <c r="BQ228" s="1577">
        <f t="shared" si="256"/>
        <v>0</v>
      </c>
      <c r="BR228" s="1576">
        <f t="shared" si="305"/>
        <v>0</v>
      </c>
      <c r="BS228" s="1574">
        <f t="shared" si="257"/>
        <v>0</v>
      </c>
      <c r="BT228" s="1577">
        <f t="shared" si="258"/>
        <v>0</v>
      </c>
      <c r="BU228" s="1576">
        <f t="shared" si="306"/>
        <v>0</v>
      </c>
      <c r="BV228" s="1574">
        <f t="shared" si="259"/>
        <v>0</v>
      </c>
      <c r="BW228" s="1577">
        <f t="shared" si="260"/>
        <v>0</v>
      </c>
      <c r="BX228" s="1576">
        <f t="shared" si="307"/>
        <v>0</v>
      </c>
      <c r="BY228" s="1574">
        <f t="shared" si="261"/>
        <v>0</v>
      </c>
      <c r="BZ228" s="1577">
        <f t="shared" si="262"/>
        <v>0</v>
      </c>
      <c r="CA228" s="1576">
        <f t="shared" si="308"/>
        <v>0</v>
      </c>
      <c r="CB228" s="1495">
        <f t="shared" si="263"/>
        <v>0</v>
      </c>
      <c r="CC228" s="1577">
        <f t="shared" si="264"/>
        <v>0</v>
      </c>
      <c r="CD228" s="1576">
        <f t="shared" si="309"/>
        <v>0</v>
      </c>
      <c r="CE228" s="1495">
        <f t="shared" si="265"/>
        <v>0</v>
      </c>
      <c r="CF228" s="1577">
        <f t="shared" si="266"/>
        <v>0</v>
      </c>
      <c r="CG228" s="1576">
        <f t="shared" si="310"/>
        <v>0</v>
      </c>
      <c r="CH228" s="1495">
        <f t="shared" si="267"/>
        <v>0</v>
      </c>
      <c r="CI228" s="1577">
        <f t="shared" si="268"/>
        <v>0</v>
      </c>
      <c r="CJ228" s="1576">
        <f t="shared" si="311"/>
        <v>0</v>
      </c>
      <c r="CK228" s="1495">
        <f t="shared" si="269"/>
        <v>0</v>
      </c>
      <c r="CL228" s="1577">
        <f t="shared" si="270"/>
        <v>0</v>
      </c>
      <c r="CM228" s="1576">
        <f t="shared" si="312"/>
        <v>0</v>
      </c>
      <c r="CN228" s="1495">
        <f t="shared" si="271"/>
        <v>0</v>
      </c>
      <c r="CO228" s="1577">
        <f t="shared" si="272"/>
        <v>0</v>
      </c>
      <c r="CP228" s="1576">
        <f t="shared" si="313"/>
        <v>0</v>
      </c>
      <c r="CQ228" s="1495">
        <f t="shared" si="273"/>
        <v>0</v>
      </c>
      <c r="CR228" s="1577">
        <f t="shared" si="274"/>
        <v>0</v>
      </c>
      <c r="CS228" s="1576">
        <f t="shared" si="314"/>
        <v>0</v>
      </c>
      <c r="CT228" s="1495">
        <f t="shared" si="275"/>
        <v>0</v>
      </c>
      <c r="CU228" s="1577">
        <f t="shared" si="276"/>
        <v>0</v>
      </c>
      <c r="CV228" s="1576">
        <f t="shared" si="315"/>
        <v>0</v>
      </c>
      <c r="CW228" s="1495">
        <f t="shared" si="277"/>
        <v>0</v>
      </c>
      <c r="CX228" s="1577">
        <f t="shared" si="278"/>
        <v>0</v>
      </c>
      <c r="CY228" s="1576">
        <f t="shared" si="316"/>
        <v>0</v>
      </c>
      <c r="CZ228" s="1574">
        <f t="shared" si="317"/>
        <v>0</v>
      </c>
      <c r="DA228" s="1578">
        <f t="shared" si="319"/>
        <v>0</v>
      </c>
      <c r="DB228" s="1579">
        <f t="shared" si="320"/>
        <v>0</v>
      </c>
      <c r="DC228" s="1578">
        <f t="shared" si="321"/>
        <v>0</v>
      </c>
      <c r="DD228" s="1578">
        <f t="shared" si="321"/>
        <v>0</v>
      </c>
      <c r="DE228" s="1578">
        <f t="shared" si="321"/>
        <v>0</v>
      </c>
      <c r="DF228" s="1578">
        <f t="shared" si="322"/>
        <v>0</v>
      </c>
      <c r="DG228" s="1538"/>
      <c r="DH228" s="1538"/>
      <c r="DI228" s="1422"/>
      <c r="DJ228" s="1753" t="s">
        <v>1812</v>
      </c>
      <c r="DK228" s="1773">
        <v>7</v>
      </c>
      <c r="DL228" s="1773">
        <v>92</v>
      </c>
      <c r="DM228" s="1773">
        <f>DL228*DK228</f>
        <v>644</v>
      </c>
      <c r="DN228" s="1808">
        <f>DM228/70</f>
        <v>9.1999999999999993</v>
      </c>
      <c r="DO228" s="1428"/>
      <c r="DP228" s="1428"/>
      <c r="DQ228" s="1422"/>
      <c r="DR228" s="1428"/>
      <c r="DS228" s="1428"/>
      <c r="DT228" s="1428"/>
      <c r="DU228" s="1428"/>
      <c r="DV228" s="1428"/>
      <c r="DW228" s="1428"/>
      <c r="DX228" s="1428"/>
      <c r="DY228" s="1428"/>
      <c r="DZ228" s="1428"/>
      <c r="EA228" s="1428"/>
      <c r="EB228" s="1428"/>
      <c r="EC228" s="1428"/>
      <c r="ED228" s="1428"/>
      <c r="EE228" s="1428"/>
      <c r="EF228" s="1428"/>
      <c r="EG228" s="1428"/>
      <c r="EH228" s="1428"/>
      <c r="EI228" s="1428"/>
      <c r="EJ228" s="1428"/>
      <c r="EK228" s="1428"/>
      <c r="EL228" s="1428"/>
      <c r="EM228" s="1428"/>
      <c r="EN228" s="1428"/>
      <c r="EO228" s="1428"/>
      <c r="EP228" s="1428"/>
      <c r="EQ228" s="1428"/>
      <c r="ER228" s="1428"/>
      <c r="ES228" s="1428"/>
      <c r="ET228" s="1428"/>
      <c r="EU228" s="1428"/>
    </row>
    <row r="229" spans="1:151" s="1440" customFormat="1">
      <c r="A229" s="1455"/>
      <c r="B229" s="1809" t="s">
        <v>1796</v>
      </c>
      <c r="C229" s="1810"/>
      <c r="D229" s="1811"/>
      <c r="E229" s="1810"/>
      <c r="F229" s="1810"/>
      <c r="G229" s="1799"/>
      <c r="J229" s="1774"/>
      <c r="N229" s="1476">
        <v>7</v>
      </c>
      <c r="O229" s="1640" t="s">
        <v>1212</v>
      </c>
      <c r="P229" s="1806">
        <f>$DN$227/6*$O$243+$O$244*$DN$233/6</f>
        <v>0</v>
      </c>
      <c r="Q229" s="1803">
        <f t="shared" si="325"/>
        <v>0</v>
      </c>
      <c r="R229" s="1803">
        <f t="shared" si="326"/>
        <v>0</v>
      </c>
      <c r="S229" s="1803">
        <f t="shared" si="327"/>
        <v>0</v>
      </c>
      <c r="T229" s="1803">
        <f t="shared" si="328"/>
        <v>0</v>
      </c>
      <c r="U229" s="1803">
        <f>VLOOKUP($D$32,'Rainfall data'!$R$15:$AD$20,'Potable Water Calculator'!N228,FALSE)</f>
        <v>2.4348815165876765</v>
      </c>
      <c r="V229" s="1803">
        <f t="shared" si="329"/>
        <v>0</v>
      </c>
      <c r="W229" s="1803">
        <f t="shared" si="330"/>
        <v>0</v>
      </c>
      <c r="X229" s="1803">
        <f t="shared" si="338"/>
        <v>0</v>
      </c>
      <c r="Y229" s="1803">
        <f t="shared" si="331"/>
        <v>0</v>
      </c>
      <c r="Z229" s="1803">
        <f t="shared" si="332"/>
        <v>0</v>
      </c>
      <c r="AA229" s="1803">
        <f t="shared" si="333"/>
        <v>0</v>
      </c>
      <c r="AB229" s="1803">
        <f t="shared" si="334"/>
        <v>0</v>
      </c>
      <c r="AC229" s="1803">
        <f t="shared" si="335"/>
        <v>0</v>
      </c>
      <c r="AD229" s="1803">
        <f t="shared" si="336"/>
        <v>0</v>
      </c>
      <c r="AE229" s="1803">
        <f t="shared" si="337"/>
        <v>0</v>
      </c>
      <c r="AF229" s="1430"/>
      <c r="AG229" s="1430"/>
      <c r="AH229" s="1430"/>
      <c r="AI229" s="1430"/>
      <c r="AJ229" s="1430"/>
      <c r="AK229" s="1430"/>
      <c r="AL229" s="1430"/>
      <c r="AM229" s="1430"/>
      <c r="AN229" s="1430"/>
      <c r="AO229" s="1430"/>
      <c r="AP229" s="1430"/>
      <c r="AQ229" s="1704"/>
      <c r="AR229" s="1430"/>
      <c r="AS229" s="1430"/>
      <c r="AT229" s="1430"/>
      <c r="AU229" s="1430"/>
      <c r="AV229" s="1430"/>
      <c r="AW229" s="1430"/>
      <c r="AX229" s="1430"/>
      <c r="AY229" s="1430"/>
      <c r="AZ229" s="1430"/>
      <c r="BA229" s="1430"/>
      <c r="BB229" s="1430"/>
      <c r="BC229" s="1430"/>
      <c r="BD229" s="1475"/>
      <c r="BE229" s="1571" t="s">
        <v>1214</v>
      </c>
      <c r="BF229" s="1436">
        <v>22</v>
      </c>
      <c r="BG229" s="1436">
        <v>29</v>
      </c>
      <c r="BH229" s="1436">
        <v>4</v>
      </c>
      <c r="BI229" s="1495" t="b">
        <f t="shared" si="318"/>
        <v>1</v>
      </c>
      <c r="BJ229" s="1450" t="b">
        <f t="shared" si="253"/>
        <v>0</v>
      </c>
      <c r="BK229" s="1572">
        <f t="shared" si="254"/>
        <v>0</v>
      </c>
      <c r="BL229" s="1581">
        <f>IF(SUM(BL$201:BL228,BK229)&gt;$BP$4,0,BK229)</f>
        <v>0</v>
      </c>
      <c r="BM229" s="1436">
        <f t="shared" si="303"/>
        <v>0</v>
      </c>
      <c r="BN229" s="1495">
        <f t="shared" si="304"/>
        <v>0</v>
      </c>
      <c r="BO229" s="1437">
        <f t="shared" si="324"/>
        <v>0</v>
      </c>
      <c r="BP229" s="1762">
        <f t="shared" si="255"/>
        <v>0</v>
      </c>
      <c r="BQ229" s="1577">
        <f t="shared" si="256"/>
        <v>0</v>
      </c>
      <c r="BR229" s="1576">
        <f t="shared" si="305"/>
        <v>0</v>
      </c>
      <c r="BS229" s="1574">
        <f t="shared" si="257"/>
        <v>0</v>
      </c>
      <c r="BT229" s="1577">
        <f t="shared" si="258"/>
        <v>0</v>
      </c>
      <c r="BU229" s="1576">
        <f t="shared" si="306"/>
        <v>0</v>
      </c>
      <c r="BV229" s="1574">
        <f t="shared" si="259"/>
        <v>0</v>
      </c>
      <c r="BW229" s="1577">
        <f t="shared" si="260"/>
        <v>0</v>
      </c>
      <c r="BX229" s="1576">
        <f t="shared" si="307"/>
        <v>0</v>
      </c>
      <c r="BY229" s="1574">
        <f t="shared" si="261"/>
        <v>0</v>
      </c>
      <c r="BZ229" s="1577">
        <f t="shared" si="262"/>
        <v>0</v>
      </c>
      <c r="CA229" s="1576">
        <f t="shared" si="308"/>
        <v>0</v>
      </c>
      <c r="CB229" s="1495">
        <f t="shared" si="263"/>
        <v>0</v>
      </c>
      <c r="CC229" s="1577">
        <f t="shared" si="264"/>
        <v>0</v>
      </c>
      <c r="CD229" s="1576">
        <f t="shared" si="309"/>
        <v>0</v>
      </c>
      <c r="CE229" s="1495">
        <f t="shared" si="265"/>
        <v>0</v>
      </c>
      <c r="CF229" s="1577">
        <f t="shared" si="266"/>
        <v>0</v>
      </c>
      <c r="CG229" s="1576">
        <f t="shared" si="310"/>
        <v>0</v>
      </c>
      <c r="CH229" s="1495">
        <f t="shared" si="267"/>
        <v>0</v>
      </c>
      <c r="CI229" s="1577">
        <f t="shared" si="268"/>
        <v>0</v>
      </c>
      <c r="CJ229" s="1576">
        <f t="shared" si="311"/>
        <v>0</v>
      </c>
      <c r="CK229" s="1495">
        <f t="shared" si="269"/>
        <v>0</v>
      </c>
      <c r="CL229" s="1577">
        <f t="shared" si="270"/>
        <v>0</v>
      </c>
      <c r="CM229" s="1576">
        <f t="shared" si="312"/>
        <v>0</v>
      </c>
      <c r="CN229" s="1495">
        <f t="shared" si="271"/>
        <v>0</v>
      </c>
      <c r="CO229" s="1577">
        <f t="shared" si="272"/>
        <v>0</v>
      </c>
      <c r="CP229" s="1576">
        <f t="shared" si="313"/>
        <v>0</v>
      </c>
      <c r="CQ229" s="1495">
        <f t="shared" si="273"/>
        <v>0</v>
      </c>
      <c r="CR229" s="1577">
        <f t="shared" si="274"/>
        <v>0</v>
      </c>
      <c r="CS229" s="1576">
        <f t="shared" si="314"/>
        <v>0</v>
      </c>
      <c r="CT229" s="1495">
        <f t="shared" si="275"/>
        <v>0</v>
      </c>
      <c r="CU229" s="1577">
        <f t="shared" si="276"/>
        <v>0</v>
      </c>
      <c r="CV229" s="1576">
        <f t="shared" si="315"/>
        <v>0</v>
      </c>
      <c r="CW229" s="1495">
        <f t="shared" si="277"/>
        <v>0</v>
      </c>
      <c r="CX229" s="1577">
        <f t="shared" si="278"/>
        <v>0</v>
      </c>
      <c r="CY229" s="1576">
        <f t="shared" si="316"/>
        <v>0</v>
      </c>
      <c r="CZ229" s="1574">
        <f t="shared" si="317"/>
        <v>0</v>
      </c>
      <c r="DA229" s="1578">
        <f t="shared" si="319"/>
        <v>0</v>
      </c>
      <c r="DB229" s="1579">
        <f t="shared" si="320"/>
        <v>0</v>
      </c>
      <c r="DC229" s="1578">
        <f t="shared" si="321"/>
        <v>0</v>
      </c>
      <c r="DD229" s="1578">
        <f t="shared" si="321"/>
        <v>0</v>
      </c>
      <c r="DE229" s="1578">
        <f t="shared" si="321"/>
        <v>0</v>
      </c>
      <c r="DF229" s="1578">
        <f t="shared" si="322"/>
        <v>0</v>
      </c>
      <c r="DG229" s="1538"/>
      <c r="DH229" s="1538"/>
      <c r="DI229" s="1422"/>
      <c r="DJ229" s="1753" t="s">
        <v>1086</v>
      </c>
      <c r="DK229" s="1812"/>
      <c r="DL229" s="1813">
        <f>SUM(DL226:DL228)</f>
        <v>365</v>
      </c>
      <c r="DM229" s="1813">
        <f>SUM(DM226:DM228)</f>
        <v>2555</v>
      </c>
      <c r="DN229" s="1812">
        <f>SUM(DN226:DN228)</f>
        <v>36.5</v>
      </c>
      <c r="DO229" s="1428"/>
      <c r="DP229" s="1428"/>
      <c r="DQ229" s="1422"/>
      <c r="DR229" s="1428"/>
      <c r="DS229" s="1428"/>
      <c r="DT229" s="1428"/>
      <c r="DU229" s="1428"/>
      <c r="DV229" s="1428"/>
      <c r="DW229" s="1428"/>
      <c r="DX229" s="1428"/>
      <c r="DY229" s="1428"/>
      <c r="DZ229" s="1428"/>
      <c r="EA229" s="1428"/>
      <c r="EB229" s="1428"/>
      <c r="EC229" s="1428"/>
      <c r="ED229" s="1428"/>
      <c r="EE229" s="1428"/>
      <c r="EF229" s="1428"/>
      <c r="EG229" s="1428"/>
      <c r="EH229" s="1428"/>
      <c r="EI229" s="1428"/>
      <c r="EJ229" s="1428"/>
      <c r="EK229" s="1428"/>
      <c r="EL229" s="1428"/>
      <c r="EM229" s="1428"/>
      <c r="EN229" s="1428"/>
      <c r="EO229" s="1428"/>
      <c r="EP229" s="1428"/>
      <c r="EQ229" s="1428"/>
      <c r="ER229" s="1428"/>
      <c r="ES229" s="1428"/>
      <c r="ET229" s="1428"/>
      <c r="EU229" s="1428"/>
    </row>
    <row r="230" spans="1:151" s="1440" customFormat="1">
      <c r="B230" s="1706" t="s">
        <v>1801</v>
      </c>
      <c r="C230" s="1706"/>
      <c r="D230" s="2497"/>
      <c r="E230" s="2498"/>
      <c r="N230" s="1476">
        <v>8</v>
      </c>
      <c r="O230" s="1640" t="s">
        <v>883</v>
      </c>
      <c r="P230" s="1814">
        <f>$DN$228/3*$O$243+$O$244*$DN$234/3</f>
        <v>0</v>
      </c>
      <c r="Q230" s="1803">
        <f t="shared" si="325"/>
        <v>0</v>
      </c>
      <c r="R230" s="1803">
        <f t="shared" si="326"/>
        <v>0</v>
      </c>
      <c r="S230" s="1803">
        <f t="shared" si="327"/>
        <v>0</v>
      </c>
      <c r="T230" s="1803">
        <f t="shared" si="328"/>
        <v>0</v>
      </c>
      <c r="U230" s="1803">
        <f>VLOOKUP($D$32,'Rainfall data'!$R$15:$AD$20,'Potable Water Calculator'!N229,FALSE)</f>
        <v>2.116683673469387</v>
      </c>
      <c r="V230" s="1803">
        <f t="shared" si="329"/>
        <v>0</v>
      </c>
      <c r="W230" s="1803">
        <f t="shared" si="330"/>
        <v>0</v>
      </c>
      <c r="X230" s="1803">
        <f t="shared" si="338"/>
        <v>0</v>
      </c>
      <c r="Y230" s="1803">
        <f t="shared" si="331"/>
        <v>0</v>
      </c>
      <c r="Z230" s="1803">
        <f t="shared" si="332"/>
        <v>0</v>
      </c>
      <c r="AA230" s="1803">
        <f t="shared" si="333"/>
        <v>0</v>
      </c>
      <c r="AB230" s="1803">
        <f t="shared" si="334"/>
        <v>0</v>
      </c>
      <c r="AC230" s="1803">
        <f t="shared" si="335"/>
        <v>0</v>
      </c>
      <c r="AD230" s="1803">
        <f t="shared" si="336"/>
        <v>0</v>
      </c>
      <c r="AE230" s="1803">
        <f t="shared" si="337"/>
        <v>0</v>
      </c>
      <c r="AF230" s="1430"/>
      <c r="AG230" s="1430"/>
      <c r="AH230" s="1430"/>
      <c r="AI230" s="1430"/>
      <c r="AJ230" s="1430"/>
      <c r="AK230" s="1430"/>
      <c r="AL230" s="1430"/>
      <c r="AM230" s="1430"/>
      <c r="AN230" s="1430"/>
      <c r="AO230" s="1430"/>
      <c r="AP230" s="1430"/>
      <c r="AQ230" s="1704"/>
      <c r="AR230" s="1430"/>
      <c r="AS230" s="1430"/>
      <c r="AT230" s="1430"/>
      <c r="AU230" s="1430"/>
      <c r="AV230" s="1430"/>
      <c r="AW230" s="1430"/>
      <c r="AX230" s="1430"/>
      <c r="AY230" s="1430"/>
      <c r="AZ230" s="1430"/>
      <c r="BA230" s="1430"/>
      <c r="BB230" s="1430"/>
      <c r="BC230" s="1430"/>
      <c r="BD230" s="1422"/>
      <c r="BE230" s="1571" t="s">
        <v>1214</v>
      </c>
      <c r="BF230" s="1436">
        <v>22</v>
      </c>
      <c r="BG230" s="1436">
        <v>30</v>
      </c>
      <c r="BH230" s="1436">
        <v>5</v>
      </c>
      <c r="BI230" s="1495" t="b">
        <f t="shared" si="318"/>
        <v>1</v>
      </c>
      <c r="BJ230" s="1450" t="b">
        <f t="shared" si="253"/>
        <v>0</v>
      </c>
      <c r="BK230" s="1572">
        <f t="shared" si="254"/>
        <v>0</v>
      </c>
      <c r="BL230" s="1581">
        <f>IF(SUM(BL$201:BL229,BK230)&gt;$BP$4,0,BK230)</f>
        <v>0</v>
      </c>
      <c r="BM230" s="1436">
        <f t="shared" si="303"/>
        <v>0</v>
      </c>
      <c r="BN230" s="1495">
        <f t="shared" si="304"/>
        <v>0</v>
      </c>
      <c r="BO230" s="1437">
        <f t="shared" si="324"/>
        <v>0</v>
      </c>
      <c r="BP230" s="1762">
        <f t="shared" si="255"/>
        <v>0</v>
      </c>
      <c r="BQ230" s="1577">
        <f t="shared" si="256"/>
        <v>0</v>
      </c>
      <c r="BR230" s="1576">
        <f t="shared" si="305"/>
        <v>0</v>
      </c>
      <c r="BS230" s="1574">
        <f t="shared" si="257"/>
        <v>0</v>
      </c>
      <c r="BT230" s="1577">
        <f t="shared" si="258"/>
        <v>0</v>
      </c>
      <c r="BU230" s="1576">
        <f t="shared" si="306"/>
        <v>0</v>
      </c>
      <c r="BV230" s="1574">
        <f t="shared" si="259"/>
        <v>0</v>
      </c>
      <c r="BW230" s="1577">
        <f t="shared" si="260"/>
        <v>0</v>
      </c>
      <c r="BX230" s="1576">
        <f t="shared" si="307"/>
        <v>0</v>
      </c>
      <c r="BY230" s="1574">
        <f t="shared" si="261"/>
        <v>0</v>
      </c>
      <c r="BZ230" s="1577">
        <f t="shared" si="262"/>
        <v>0</v>
      </c>
      <c r="CA230" s="1576">
        <f t="shared" si="308"/>
        <v>0</v>
      </c>
      <c r="CB230" s="1495">
        <f t="shared" si="263"/>
        <v>0</v>
      </c>
      <c r="CC230" s="1577">
        <f t="shared" si="264"/>
        <v>0</v>
      </c>
      <c r="CD230" s="1576">
        <f t="shared" si="309"/>
        <v>0</v>
      </c>
      <c r="CE230" s="1495">
        <f t="shared" si="265"/>
        <v>0</v>
      </c>
      <c r="CF230" s="1577">
        <f t="shared" si="266"/>
        <v>0</v>
      </c>
      <c r="CG230" s="1576">
        <f t="shared" si="310"/>
        <v>0</v>
      </c>
      <c r="CH230" s="1495">
        <f t="shared" si="267"/>
        <v>0</v>
      </c>
      <c r="CI230" s="1577">
        <f t="shared" si="268"/>
        <v>0</v>
      </c>
      <c r="CJ230" s="1576">
        <f t="shared" si="311"/>
        <v>0</v>
      </c>
      <c r="CK230" s="1495">
        <f t="shared" si="269"/>
        <v>0</v>
      </c>
      <c r="CL230" s="1577">
        <f t="shared" si="270"/>
        <v>0</v>
      </c>
      <c r="CM230" s="1576">
        <f t="shared" si="312"/>
        <v>0</v>
      </c>
      <c r="CN230" s="1495">
        <f t="shared" si="271"/>
        <v>0</v>
      </c>
      <c r="CO230" s="1577">
        <f t="shared" si="272"/>
        <v>0</v>
      </c>
      <c r="CP230" s="1576">
        <f t="shared" si="313"/>
        <v>0</v>
      </c>
      <c r="CQ230" s="1495">
        <f t="shared" si="273"/>
        <v>0</v>
      </c>
      <c r="CR230" s="1577">
        <f t="shared" si="274"/>
        <v>0</v>
      </c>
      <c r="CS230" s="1576">
        <f t="shared" si="314"/>
        <v>0</v>
      </c>
      <c r="CT230" s="1495">
        <f t="shared" si="275"/>
        <v>0</v>
      </c>
      <c r="CU230" s="1577">
        <f t="shared" si="276"/>
        <v>0</v>
      </c>
      <c r="CV230" s="1576">
        <f t="shared" si="315"/>
        <v>0</v>
      </c>
      <c r="CW230" s="1495">
        <f t="shared" si="277"/>
        <v>0</v>
      </c>
      <c r="CX230" s="1577">
        <f t="shared" si="278"/>
        <v>0</v>
      </c>
      <c r="CY230" s="1576">
        <f t="shared" si="316"/>
        <v>0</v>
      </c>
      <c r="CZ230" s="1574">
        <f t="shared" si="317"/>
        <v>0</v>
      </c>
      <c r="DA230" s="1578">
        <f t="shared" si="319"/>
        <v>0</v>
      </c>
      <c r="DB230" s="1579">
        <f t="shared" si="320"/>
        <v>0</v>
      </c>
      <c r="DC230" s="1578">
        <f t="shared" si="321"/>
        <v>0</v>
      </c>
      <c r="DD230" s="1578">
        <f t="shared" si="321"/>
        <v>0</v>
      </c>
      <c r="DE230" s="1578">
        <f t="shared" si="321"/>
        <v>0</v>
      </c>
      <c r="DF230" s="1578">
        <f t="shared" si="322"/>
        <v>0</v>
      </c>
      <c r="DG230" s="1538"/>
      <c r="DH230" s="1538"/>
      <c r="DI230" s="1422"/>
      <c r="DJ230" s="1800" t="s">
        <v>1815</v>
      </c>
      <c r="DK230" s="1797"/>
      <c r="DL230" s="1797"/>
      <c r="DM230" s="1797"/>
      <c r="DN230" s="1798"/>
      <c r="DO230" s="1428"/>
      <c r="DP230" s="1428"/>
      <c r="DQ230" s="1422"/>
      <c r="DR230" s="1428"/>
      <c r="DS230" s="1428"/>
      <c r="DT230" s="1428"/>
      <c r="DU230" s="1428"/>
      <c r="DV230" s="1428"/>
      <c r="DW230" s="1428"/>
      <c r="DX230" s="1428"/>
      <c r="DY230" s="1428"/>
      <c r="DZ230" s="1428"/>
      <c r="EA230" s="1428"/>
      <c r="EB230" s="1428"/>
      <c r="EC230" s="1428"/>
      <c r="ED230" s="1428"/>
      <c r="EE230" s="1428"/>
      <c r="EF230" s="1428"/>
      <c r="EG230" s="1428"/>
      <c r="EH230" s="1428"/>
      <c r="EI230" s="1428"/>
      <c r="EJ230" s="1428"/>
      <c r="EK230" s="1428"/>
      <c r="EL230" s="1428"/>
      <c r="EM230" s="1428"/>
      <c r="EN230" s="1428"/>
      <c r="EO230" s="1428"/>
      <c r="EP230" s="1428"/>
      <c r="EQ230" s="1428"/>
      <c r="ER230" s="1428"/>
      <c r="ES230" s="1428"/>
      <c r="ET230" s="1428"/>
      <c r="EU230" s="1428"/>
    </row>
    <row r="231" spans="1:151" s="1440" customFormat="1">
      <c r="B231" s="1706" t="s">
        <v>1809</v>
      </c>
      <c r="C231" s="1706"/>
      <c r="D231" s="1815"/>
      <c r="E231" s="1978"/>
      <c r="J231" s="1816"/>
      <c r="N231" s="1476">
        <v>9</v>
      </c>
      <c r="O231" s="1640" t="s">
        <v>884</v>
      </c>
      <c r="P231" s="1814">
        <f>$DN$228/3*$O$243+$O$244*$DN$234/3</f>
        <v>0</v>
      </c>
      <c r="Q231" s="1803">
        <f t="shared" si="325"/>
        <v>0</v>
      </c>
      <c r="R231" s="1803">
        <f t="shared" si="326"/>
        <v>0</v>
      </c>
      <c r="S231" s="1803">
        <f t="shared" si="327"/>
        <v>0</v>
      </c>
      <c r="T231" s="1803">
        <f t="shared" si="328"/>
        <v>0</v>
      </c>
      <c r="U231" s="1803">
        <f>VLOOKUP($D$32,'Rainfall data'!$R$15:$AD$20,'Potable Water Calculator'!N230,FALSE)</f>
        <v>2.2805069124423984</v>
      </c>
      <c r="V231" s="1803">
        <f t="shared" si="329"/>
        <v>0</v>
      </c>
      <c r="W231" s="1803">
        <f t="shared" si="330"/>
        <v>0</v>
      </c>
      <c r="X231" s="1803">
        <f t="shared" si="338"/>
        <v>0</v>
      </c>
      <c r="Y231" s="1803">
        <f t="shared" si="331"/>
        <v>0</v>
      </c>
      <c r="Z231" s="1803">
        <f t="shared" si="332"/>
        <v>0</v>
      </c>
      <c r="AA231" s="1803">
        <f t="shared" si="333"/>
        <v>0</v>
      </c>
      <c r="AB231" s="1803">
        <f t="shared" si="334"/>
        <v>0</v>
      </c>
      <c r="AC231" s="1803">
        <f t="shared" si="335"/>
        <v>0</v>
      </c>
      <c r="AD231" s="1803">
        <f t="shared" si="336"/>
        <v>0</v>
      </c>
      <c r="AE231" s="1803">
        <f t="shared" si="337"/>
        <v>0</v>
      </c>
      <c r="AF231" s="1430"/>
      <c r="AG231" s="1430"/>
      <c r="AH231" s="1430"/>
      <c r="AI231" s="1430"/>
      <c r="AJ231" s="1430"/>
      <c r="AK231" s="1430"/>
      <c r="AL231" s="1430"/>
      <c r="AM231" s="1430"/>
      <c r="AN231" s="1430"/>
      <c r="AO231" s="1430"/>
      <c r="AP231" s="1430"/>
      <c r="AQ231" s="1704"/>
      <c r="AR231" s="1430"/>
      <c r="AS231" s="1430"/>
      <c r="AT231" s="1430"/>
      <c r="AU231" s="1430"/>
      <c r="AV231" s="1430"/>
      <c r="AW231" s="1430"/>
      <c r="AX231" s="1430"/>
      <c r="AY231" s="1430"/>
      <c r="AZ231" s="1430"/>
      <c r="BA231" s="1430"/>
      <c r="BB231" s="1430"/>
      <c r="BC231" s="1430"/>
      <c r="BD231" s="1422"/>
      <c r="BE231" s="1571" t="s">
        <v>1214</v>
      </c>
      <c r="BF231" s="1436">
        <v>22</v>
      </c>
      <c r="BG231" s="1436">
        <v>31</v>
      </c>
      <c r="BH231" s="1436">
        <v>6</v>
      </c>
      <c r="BI231" s="1495" t="b">
        <f t="shared" si="318"/>
        <v>0</v>
      </c>
      <c r="BJ231" s="1450" t="b">
        <f t="shared" si="253"/>
        <v>1</v>
      </c>
      <c r="BK231" s="1572">
        <f t="shared" si="254"/>
        <v>3</v>
      </c>
      <c r="BL231" s="1573">
        <f>$BP$4-SUM(BL201:BL230)</f>
        <v>3</v>
      </c>
      <c r="BM231" s="1436">
        <f t="shared" si="303"/>
        <v>0</v>
      </c>
      <c r="BN231" s="1495">
        <f t="shared" si="304"/>
        <v>0</v>
      </c>
      <c r="BO231" s="1437">
        <f t="shared" si="324"/>
        <v>0</v>
      </c>
      <c r="BP231" s="1762">
        <f t="shared" si="255"/>
        <v>0</v>
      </c>
      <c r="BQ231" s="1577">
        <f t="shared" si="256"/>
        <v>0</v>
      </c>
      <c r="BR231" s="1576">
        <f t="shared" si="305"/>
        <v>0</v>
      </c>
      <c r="BS231" s="1574">
        <f t="shared" si="257"/>
        <v>0</v>
      </c>
      <c r="BT231" s="1577">
        <f t="shared" si="258"/>
        <v>0</v>
      </c>
      <c r="BU231" s="1576">
        <f t="shared" si="306"/>
        <v>0</v>
      </c>
      <c r="BV231" s="1574">
        <f t="shared" si="259"/>
        <v>0</v>
      </c>
      <c r="BW231" s="1577">
        <f t="shared" si="260"/>
        <v>0</v>
      </c>
      <c r="BX231" s="1576">
        <f t="shared" si="307"/>
        <v>0</v>
      </c>
      <c r="BY231" s="1574">
        <f t="shared" si="261"/>
        <v>0</v>
      </c>
      <c r="BZ231" s="1577">
        <f t="shared" si="262"/>
        <v>0</v>
      </c>
      <c r="CA231" s="1576">
        <f t="shared" si="308"/>
        <v>0</v>
      </c>
      <c r="CB231" s="1495">
        <f t="shared" si="263"/>
        <v>0</v>
      </c>
      <c r="CC231" s="1577">
        <f t="shared" si="264"/>
        <v>0</v>
      </c>
      <c r="CD231" s="1576">
        <f t="shared" si="309"/>
        <v>0</v>
      </c>
      <c r="CE231" s="1495">
        <f t="shared" si="265"/>
        <v>0</v>
      </c>
      <c r="CF231" s="1577">
        <f t="shared" si="266"/>
        <v>0</v>
      </c>
      <c r="CG231" s="1576">
        <f t="shared" si="310"/>
        <v>0</v>
      </c>
      <c r="CH231" s="1495">
        <f t="shared" si="267"/>
        <v>0</v>
      </c>
      <c r="CI231" s="1577">
        <f t="shared" si="268"/>
        <v>0</v>
      </c>
      <c r="CJ231" s="1576">
        <f t="shared" si="311"/>
        <v>0</v>
      </c>
      <c r="CK231" s="1495">
        <f t="shared" si="269"/>
        <v>0</v>
      </c>
      <c r="CL231" s="1577">
        <f t="shared" si="270"/>
        <v>0</v>
      </c>
      <c r="CM231" s="1576">
        <f t="shared" si="312"/>
        <v>0</v>
      </c>
      <c r="CN231" s="1495">
        <f t="shared" si="271"/>
        <v>0</v>
      </c>
      <c r="CO231" s="1577">
        <f t="shared" si="272"/>
        <v>0</v>
      </c>
      <c r="CP231" s="1576">
        <f t="shared" si="313"/>
        <v>0</v>
      </c>
      <c r="CQ231" s="1495">
        <f t="shared" si="273"/>
        <v>0</v>
      </c>
      <c r="CR231" s="1577">
        <f t="shared" si="274"/>
        <v>0</v>
      </c>
      <c r="CS231" s="1576">
        <f t="shared" si="314"/>
        <v>0</v>
      </c>
      <c r="CT231" s="1495">
        <f t="shared" si="275"/>
        <v>0</v>
      </c>
      <c r="CU231" s="1577">
        <f t="shared" si="276"/>
        <v>0</v>
      </c>
      <c r="CV231" s="1576">
        <f t="shared" si="315"/>
        <v>0</v>
      </c>
      <c r="CW231" s="1495">
        <f t="shared" si="277"/>
        <v>0</v>
      </c>
      <c r="CX231" s="1577">
        <f t="shared" si="278"/>
        <v>0</v>
      </c>
      <c r="CY231" s="1576">
        <f t="shared" si="316"/>
        <v>0</v>
      </c>
      <c r="CZ231" s="1574">
        <f t="shared" si="317"/>
        <v>0</v>
      </c>
      <c r="DA231" s="1578">
        <f t="shared" si="319"/>
        <v>0</v>
      </c>
      <c r="DB231" s="1579">
        <f t="shared" si="320"/>
        <v>0</v>
      </c>
      <c r="DC231" s="1578">
        <f t="shared" si="321"/>
        <v>0</v>
      </c>
      <c r="DD231" s="1578">
        <f t="shared" si="321"/>
        <v>0</v>
      </c>
      <c r="DE231" s="1578">
        <f t="shared" si="321"/>
        <v>0</v>
      </c>
      <c r="DF231" s="1578">
        <f t="shared" si="322"/>
        <v>0</v>
      </c>
      <c r="DG231" s="1538"/>
      <c r="DH231" s="1538"/>
      <c r="DI231" s="1422"/>
      <c r="DJ231" s="1753" t="s">
        <v>1499</v>
      </c>
      <c r="DK231" s="1753" t="s">
        <v>1792</v>
      </c>
      <c r="DL231" s="1753" t="s">
        <v>1793</v>
      </c>
      <c r="DM231" s="1753" t="s">
        <v>1819</v>
      </c>
      <c r="DN231" s="1753" t="s">
        <v>1795</v>
      </c>
      <c r="DO231" s="1428"/>
      <c r="DP231" s="1428"/>
      <c r="DQ231" s="1422"/>
      <c r="DR231" s="1428"/>
      <c r="DS231" s="1428"/>
      <c r="DT231" s="1428"/>
      <c r="DU231" s="1428"/>
      <c r="DV231" s="1428"/>
      <c r="DW231" s="1428"/>
      <c r="DX231" s="1428"/>
      <c r="DY231" s="1428"/>
      <c r="DZ231" s="1428"/>
      <c r="EA231" s="1428"/>
      <c r="EB231" s="1428"/>
      <c r="EC231" s="1428"/>
      <c r="ED231" s="1428"/>
      <c r="EE231" s="1428"/>
      <c r="EF231" s="1428"/>
      <c r="EG231" s="1428"/>
      <c r="EH231" s="1428"/>
      <c r="EI231" s="1428"/>
      <c r="EJ231" s="1428"/>
      <c r="EK231" s="1428"/>
      <c r="EL231" s="1428"/>
      <c r="EM231" s="1428"/>
      <c r="EN231" s="1428"/>
      <c r="EO231" s="1428"/>
      <c r="EP231" s="1428"/>
      <c r="EQ231" s="1428"/>
      <c r="ER231" s="1428"/>
      <c r="ES231" s="1428"/>
      <c r="ET231" s="1428"/>
      <c r="EU231" s="1428"/>
    </row>
    <row r="232" spans="1:151" s="1440" customFormat="1">
      <c r="A232" s="1455"/>
      <c r="B232" s="1706" t="s">
        <v>1814</v>
      </c>
      <c r="C232" s="1706"/>
      <c r="D232" s="1637"/>
      <c r="E232" s="1978"/>
      <c r="J232" s="1816"/>
      <c r="K232" s="1720"/>
      <c r="L232" s="1720"/>
      <c r="M232" s="1720"/>
      <c r="N232" s="1476">
        <v>10</v>
      </c>
      <c r="O232" s="1640" t="s">
        <v>885</v>
      </c>
      <c r="P232" s="1814">
        <f>$DN$228/3*$O$243+$O$244*$DN$234/3</f>
        <v>0</v>
      </c>
      <c r="Q232" s="1803">
        <f t="shared" si="325"/>
        <v>0</v>
      </c>
      <c r="R232" s="1803">
        <f t="shared" si="326"/>
        <v>0</v>
      </c>
      <c r="S232" s="1803">
        <f t="shared" si="327"/>
        <v>0</v>
      </c>
      <c r="T232" s="1803">
        <f t="shared" si="328"/>
        <v>0</v>
      </c>
      <c r="U232" s="1803">
        <f>VLOOKUP($D$32,'Rainfall data'!$R$15:$AD$20,'Potable Water Calculator'!N231,FALSE)</f>
        <v>3.0173469387755087</v>
      </c>
      <c r="V232" s="1803">
        <f t="shared" si="329"/>
        <v>0</v>
      </c>
      <c r="W232" s="1803">
        <f t="shared" si="330"/>
        <v>0</v>
      </c>
      <c r="X232" s="1803">
        <f t="shared" si="338"/>
        <v>0</v>
      </c>
      <c r="Y232" s="1803">
        <f t="shared" si="331"/>
        <v>0</v>
      </c>
      <c r="Z232" s="1803">
        <f t="shared" si="332"/>
        <v>0</v>
      </c>
      <c r="AA232" s="1803">
        <f t="shared" si="333"/>
        <v>0</v>
      </c>
      <c r="AB232" s="1803">
        <f t="shared" si="334"/>
        <v>0</v>
      </c>
      <c r="AC232" s="1803">
        <f t="shared" si="335"/>
        <v>0</v>
      </c>
      <c r="AD232" s="1803">
        <f t="shared" si="336"/>
        <v>0</v>
      </c>
      <c r="AE232" s="1803">
        <f t="shared" si="337"/>
        <v>0</v>
      </c>
      <c r="AF232" s="1430"/>
      <c r="AG232" s="1430"/>
      <c r="AH232" s="1430"/>
      <c r="AI232" s="1430"/>
      <c r="AJ232" s="1430"/>
      <c r="AK232" s="1430"/>
      <c r="AL232" s="1430"/>
      <c r="AM232" s="1430"/>
      <c r="AN232" s="1430"/>
      <c r="AO232" s="1430"/>
      <c r="AP232" s="1430"/>
      <c r="AQ232" s="1704"/>
      <c r="AR232" s="1430"/>
      <c r="AS232" s="1430"/>
      <c r="AT232" s="1430"/>
      <c r="AU232" s="1430"/>
      <c r="AV232" s="1430"/>
      <c r="AW232" s="1430"/>
      <c r="AX232" s="1430"/>
      <c r="AY232" s="1430"/>
      <c r="AZ232" s="1430"/>
      <c r="BA232" s="1430"/>
      <c r="BB232" s="1430"/>
      <c r="BC232" s="1430"/>
      <c r="BD232" s="1422"/>
      <c r="BE232" s="1571" t="s">
        <v>1215</v>
      </c>
      <c r="BF232" s="1436">
        <v>22</v>
      </c>
      <c r="BG232" s="1436">
        <v>1</v>
      </c>
      <c r="BH232" s="1436">
        <v>7</v>
      </c>
      <c r="BI232" s="1495" t="b">
        <f t="shared" si="318"/>
        <v>0</v>
      </c>
      <c r="BJ232" s="1450" t="b">
        <f t="shared" ref="BJ232:BJ262" si="339">MOD(BG232,$BQ$7)=0</f>
        <v>0</v>
      </c>
      <c r="BK232" s="1572">
        <f t="shared" ref="BK232:BK262" si="340">IF(BJ232,BQ$8,0)</f>
        <v>0</v>
      </c>
      <c r="BL232" s="1573">
        <f>BK232</f>
        <v>0</v>
      </c>
      <c r="BM232" s="1436">
        <f t="shared" si="303"/>
        <v>0</v>
      </c>
      <c r="BN232" s="1495">
        <f t="shared" si="304"/>
        <v>0</v>
      </c>
      <c r="BO232" s="1437">
        <f t="shared" si="324"/>
        <v>0</v>
      </c>
      <c r="BP232" s="1762">
        <f t="shared" ref="BP232:BP262" si="341">$Q$341/$BF$232*BR$16*$BI232</f>
        <v>0</v>
      </c>
      <c r="BQ232" s="1577">
        <f t="shared" ref="BQ232:BQ262" si="342">AQ$376/$BF232*$BI232</f>
        <v>0</v>
      </c>
      <c r="BR232" s="1576">
        <f t="shared" si="305"/>
        <v>0</v>
      </c>
      <c r="BS232" s="1574">
        <f t="shared" ref="BS232:BS262" si="343">$R$341/$BF232*BU$16*$BI232</f>
        <v>0</v>
      </c>
      <c r="BT232" s="1577">
        <f t="shared" ref="BT232:BT262" si="344">AR$376/$BF232*$BI232</f>
        <v>0</v>
      </c>
      <c r="BU232" s="1576">
        <f t="shared" si="306"/>
        <v>0</v>
      </c>
      <c r="BV232" s="1574">
        <f t="shared" ref="BV232:BV262" si="345">$S$341/$BF232*BX$16*$BI232</f>
        <v>0</v>
      </c>
      <c r="BW232" s="1577">
        <f t="shared" ref="BW232:BW262" si="346">AS$376/$BF232*$BI232</f>
        <v>0</v>
      </c>
      <c r="BX232" s="1576">
        <f t="shared" si="307"/>
        <v>0</v>
      </c>
      <c r="BY232" s="1574">
        <f t="shared" ref="BY232:BY262" si="347">$T$341/$BF232*CA$16*$BI232</f>
        <v>0</v>
      </c>
      <c r="BZ232" s="1577">
        <f t="shared" ref="BZ232:BZ262" si="348">AT$376/$BF232*$BI232</f>
        <v>0</v>
      </c>
      <c r="CA232" s="1576">
        <f t="shared" si="308"/>
        <v>0</v>
      </c>
      <c r="CB232" s="1495">
        <f t="shared" ref="CB232:CB262" si="349">$W$341/BF232*BI232*$C$419</f>
        <v>0</v>
      </c>
      <c r="CC232" s="1577">
        <f t="shared" ref="CC232:CC262" si="350">AU$376/$BF232*$BI232</f>
        <v>0</v>
      </c>
      <c r="CD232" s="1576">
        <f t="shared" si="309"/>
        <v>0</v>
      </c>
      <c r="CE232" s="1495">
        <f t="shared" ref="CE232:CE262" si="351">$X$341/BF232*BI232*$C$420</f>
        <v>0</v>
      </c>
      <c r="CF232" s="1577">
        <f t="shared" ref="CF232:CF262" si="352">AV$376/$BF232*$BI232</f>
        <v>0</v>
      </c>
      <c r="CG232" s="1576">
        <f t="shared" si="310"/>
        <v>0</v>
      </c>
      <c r="CH232" s="1495">
        <f t="shared" ref="CH232:CH262" si="353">$Y$341/BF232*BI232*$C$421</f>
        <v>0</v>
      </c>
      <c r="CI232" s="1577">
        <f t="shared" ref="CI232:CI262" si="354">AW$376/$BF232*$BI232</f>
        <v>0</v>
      </c>
      <c r="CJ232" s="1576">
        <f t="shared" si="311"/>
        <v>0</v>
      </c>
      <c r="CK232" s="1495">
        <f t="shared" ref="CK232:CK262" si="355">$Z$341/BF232*BI232*$CM$16</f>
        <v>0</v>
      </c>
      <c r="CL232" s="1577">
        <f t="shared" ref="CL232:CL262" si="356">AX$376/$BF232*$BI232</f>
        <v>0</v>
      </c>
      <c r="CM232" s="1576">
        <f t="shared" si="312"/>
        <v>0</v>
      </c>
      <c r="CN232" s="1495">
        <f t="shared" ref="CN232:CN262" si="357">$AA$341/BF232*BI232*$CP$16</f>
        <v>0</v>
      </c>
      <c r="CO232" s="1577">
        <f t="shared" ref="CO232:CO262" si="358">$AY$376/$BF232*$BI232</f>
        <v>0</v>
      </c>
      <c r="CP232" s="1576">
        <f t="shared" si="313"/>
        <v>0</v>
      </c>
      <c r="CQ232" s="1495">
        <f t="shared" ref="CQ232:CQ262" si="359">$AB$341/BF232*BI232*$CS$16</f>
        <v>0</v>
      </c>
      <c r="CR232" s="1577">
        <f t="shared" ref="CR232:CR262" si="360">AZ$376/$BF232*$BI232</f>
        <v>0</v>
      </c>
      <c r="CS232" s="1576">
        <f t="shared" si="314"/>
        <v>0</v>
      </c>
      <c r="CT232" s="1495">
        <f t="shared" ref="CT232:CT262" si="361">$AC$341/BF232*BI232*$CV$16</f>
        <v>0</v>
      </c>
      <c r="CU232" s="1577">
        <f t="shared" ref="CU232:CU262" si="362">BA$376/$BF232*$BI232</f>
        <v>0</v>
      </c>
      <c r="CV232" s="1576">
        <f t="shared" si="315"/>
        <v>0</v>
      </c>
      <c r="CW232" s="1495">
        <f t="shared" ref="CW232:CW262" si="363">$AD$341/BF232*BI232*$CY$16</f>
        <v>0</v>
      </c>
      <c r="CX232" s="1577">
        <f t="shared" ref="CX232:CX262" si="364">BB$376/$BF232*$BI232</f>
        <v>0</v>
      </c>
      <c r="CY232" s="1576">
        <f t="shared" si="316"/>
        <v>0</v>
      </c>
      <c r="CZ232" s="1574">
        <f t="shared" si="317"/>
        <v>0</v>
      </c>
      <c r="DA232" s="1578">
        <f t="shared" si="319"/>
        <v>0</v>
      </c>
      <c r="DB232" s="1579">
        <f t="shared" si="320"/>
        <v>0</v>
      </c>
      <c r="DC232" s="1578">
        <f t="shared" si="321"/>
        <v>0</v>
      </c>
      <c r="DD232" s="1578">
        <f t="shared" si="321"/>
        <v>0</v>
      </c>
      <c r="DE232" s="1578">
        <f t="shared" si="321"/>
        <v>0</v>
      </c>
      <c r="DF232" s="1578">
        <f>IF(DA232-(DE231+CZ232)&lt;0,0,DA232-(DE231+CZ232))</f>
        <v>0</v>
      </c>
      <c r="DG232" s="1538"/>
      <c r="DH232" s="1538"/>
      <c r="DI232" s="1422"/>
      <c r="DJ232" s="1753" t="s">
        <v>1798</v>
      </c>
      <c r="DK232" s="1776">
        <v>7</v>
      </c>
      <c r="DL232" s="1776">
        <v>90</v>
      </c>
      <c r="DM232" s="1776">
        <f>DL232*DK232</f>
        <v>630</v>
      </c>
      <c r="DN232" s="1817">
        <f>DM232/70</f>
        <v>9</v>
      </c>
      <c r="DO232" s="1428"/>
      <c r="DP232" s="1428"/>
      <c r="DQ232" s="1422"/>
      <c r="DR232" s="1428"/>
      <c r="DS232" s="1428"/>
      <c r="DT232" s="1428"/>
      <c r="DU232" s="1428"/>
      <c r="DV232" s="1428"/>
      <c r="DW232" s="1428"/>
      <c r="DX232" s="1428"/>
      <c r="DY232" s="1428"/>
      <c r="DZ232" s="1428"/>
      <c r="EA232" s="1428"/>
      <c r="EB232" s="1428"/>
      <c r="EC232" s="1428"/>
      <c r="ED232" s="1428"/>
      <c r="EE232" s="1428"/>
      <c r="EF232" s="1428"/>
      <c r="EG232" s="1428"/>
      <c r="EH232" s="1428"/>
      <c r="EI232" s="1428"/>
      <c r="EJ232" s="1428"/>
      <c r="EK232" s="1428"/>
      <c r="EL232" s="1428"/>
      <c r="EM232" s="1428"/>
      <c r="EN232" s="1428"/>
      <c r="EO232" s="1428"/>
      <c r="EP232" s="1428"/>
      <c r="EQ232" s="1428"/>
      <c r="ER232" s="1428"/>
      <c r="ES232" s="1428"/>
      <c r="ET232" s="1428"/>
      <c r="EU232" s="1428"/>
    </row>
    <row r="233" spans="1:151" s="1440" customFormat="1">
      <c r="A233" s="1455"/>
      <c r="B233" s="2494" t="s">
        <v>1803</v>
      </c>
      <c r="C233" s="2495"/>
      <c r="D233" s="1637"/>
      <c r="E233" s="1978"/>
      <c r="J233" s="1816"/>
      <c r="K233" s="1720"/>
      <c r="L233" s="1720"/>
      <c r="M233" s="1720"/>
      <c r="N233" s="1476">
        <v>11</v>
      </c>
      <c r="O233" s="1640" t="s">
        <v>802</v>
      </c>
      <c r="P233" s="1806">
        <f>$DN$227/6*$O$243+$O$244*$DN$233/6</f>
        <v>0</v>
      </c>
      <c r="Q233" s="1803">
        <f t="shared" si="325"/>
        <v>0</v>
      </c>
      <c r="R233" s="1803">
        <f t="shared" si="326"/>
        <v>0</v>
      </c>
      <c r="S233" s="1803">
        <f t="shared" si="327"/>
        <v>0</v>
      </c>
      <c r="T233" s="1803">
        <f t="shared" si="328"/>
        <v>0</v>
      </c>
      <c r="U233" s="1803">
        <f>VLOOKUP($D$32,'Rainfall data'!$R$15:$AD$20,'Potable Water Calculator'!N232,FALSE)</f>
        <v>3.9972131147540995</v>
      </c>
      <c r="V233" s="1803">
        <f t="shared" si="329"/>
        <v>0</v>
      </c>
      <c r="W233" s="1803">
        <f t="shared" si="330"/>
        <v>0</v>
      </c>
      <c r="X233" s="1803">
        <f t="shared" si="338"/>
        <v>0</v>
      </c>
      <c r="Y233" s="1803">
        <f t="shared" si="331"/>
        <v>0</v>
      </c>
      <c r="Z233" s="1803">
        <f t="shared" si="332"/>
        <v>0</v>
      </c>
      <c r="AA233" s="1803">
        <f t="shared" si="333"/>
        <v>0</v>
      </c>
      <c r="AB233" s="1803">
        <f t="shared" si="334"/>
        <v>0</v>
      </c>
      <c r="AC233" s="1803">
        <f t="shared" si="335"/>
        <v>0</v>
      </c>
      <c r="AD233" s="1803">
        <f t="shared" si="336"/>
        <v>0</v>
      </c>
      <c r="AE233" s="1803">
        <f t="shared" si="337"/>
        <v>0</v>
      </c>
      <c r="AF233" s="1430"/>
      <c r="AG233" s="1430"/>
      <c r="AH233" s="1430"/>
      <c r="AI233" s="1430"/>
      <c r="AJ233" s="1430"/>
      <c r="AK233" s="1430"/>
      <c r="AL233" s="1430"/>
      <c r="AM233" s="1430"/>
      <c r="AN233" s="1430"/>
      <c r="AO233" s="1430"/>
      <c r="AP233" s="1430"/>
      <c r="AQ233" s="1704"/>
      <c r="AR233" s="1430"/>
      <c r="AS233" s="1430"/>
      <c r="AT233" s="1430"/>
      <c r="AU233" s="1430"/>
      <c r="AV233" s="1430"/>
      <c r="AW233" s="1430"/>
      <c r="AX233" s="1430"/>
      <c r="AY233" s="1430"/>
      <c r="AZ233" s="1430"/>
      <c r="BA233" s="1430"/>
      <c r="BB233" s="1430"/>
      <c r="BC233" s="1430"/>
      <c r="BD233" s="1422"/>
      <c r="BE233" s="1571" t="s">
        <v>1215</v>
      </c>
      <c r="BF233" s="1436">
        <v>22</v>
      </c>
      <c r="BG233" s="1436">
        <v>2</v>
      </c>
      <c r="BH233" s="1436">
        <v>1</v>
      </c>
      <c r="BI233" s="1495" t="b">
        <f t="shared" si="318"/>
        <v>1</v>
      </c>
      <c r="BJ233" s="1450" t="b">
        <f t="shared" si="339"/>
        <v>0</v>
      </c>
      <c r="BK233" s="1572">
        <f t="shared" si="340"/>
        <v>0</v>
      </c>
      <c r="BL233" s="1581">
        <f>IF(SUM(BL$232:BL232,BK233)&gt;$BQ$4,0,BK233)</f>
        <v>0</v>
      </c>
      <c r="BM233" s="1436">
        <f t="shared" si="303"/>
        <v>0</v>
      </c>
      <c r="BN233" s="1495">
        <f t="shared" si="304"/>
        <v>0</v>
      </c>
      <c r="BO233" s="1437">
        <f t="shared" si="324"/>
        <v>0</v>
      </c>
      <c r="BP233" s="1762">
        <f t="shared" si="341"/>
        <v>0</v>
      </c>
      <c r="BQ233" s="1577">
        <f t="shared" si="342"/>
        <v>0</v>
      </c>
      <c r="BR233" s="1576">
        <f t="shared" si="305"/>
        <v>0</v>
      </c>
      <c r="BS233" s="1574">
        <f t="shared" si="343"/>
        <v>0</v>
      </c>
      <c r="BT233" s="1577">
        <f t="shared" si="344"/>
        <v>0</v>
      </c>
      <c r="BU233" s="1576">
        <f t="shared" si="306"/>
        <v>0</v>
      </c>
      <c r="BV233" s="1574">
        <f t="shared" si="345"/>
        <v>0</v>
      </c>
      <c r="BW233" s="1577">
        <f t="shared" si="346"/>
        <v>0</v>
      </c>
      <c r="BX233" s="1576">
        <f t="shared" si="307"/>
        <v>0</v>
      </c>
      <c r="BY233" s="1574">
        <f t="shared" si="347"/>
        <v>0</v>
      </c>
      <c r="BZ233" s="1577">
        <f t="shared" si="348"/>
        <v>0</v>
      </c>
      <c r="CA233" s="1576">
        <f t="shared" si="308"/>
        <v>0</v>
      </c>
      <c r="CB233" s="1495">
        <f t="shared" si="349"/>
        <v>0</v>
      </c>
      <c r="CC233" s="1577">
        <f t="shared" si="350"/>
        <v>0</v>
      </c>
      <c r="CD233" s="1576">
        <f t="shared" si="309"/>
        <v>0</v>
      </c>
      <c r="CE233" s="1495">
        <f t="shared" si="351"/>
        <v>0</v>
      </c>
      <c r="CF233" s="1577">
        <f t="shared" si="352"/>
        <v>0</v>
      </c>
      <c r="CG233" s="1576">
        <f t="shared" si="310"/>
        <v>0</v>
      </c>
      <c r="CH233" s="1495">
        <f t="shared" si="353"/>
        <v>0</v>
      </c>
      <c r="CI233" s="1577">
        <f t="shared" si="354"/>
        <v>0</v>
      </c>
      <c r="CJ233" s="1576">
        <f t="shared" si="311"/>
        <v>0</v>
      </c>
      <c r="CK233" s="1495">
        <f t="shared" si="355"/>
        <v>0</v>
      </c>
      <c r="CL233" s="1577">
        <f t="shared" si="356"/>
        <v>0</v>
      </c>
      <c r="CM233" s="1576">
        <f t="shared" si="312"/>
        <v>0</v>
      </c>
      <c r="CN233" s="1495">
        <f t="shared" si="357"/>
        <v>0</v>
      </c>
      <c r="CO233" s="1577">
        <f t="shared" si="358"/>
        <v>0</v>
      </c>
      <c r="CP233" s="1576">
        <f t="shared" si="313"/>
        <v>0</v>
      </c>
      <c r="CQ233" s="1495">
        <f t="shared" si="359"/>
        <v>0</v>
      </c>
      <c r="CR233" s="1577">
        <f t="shared" si="360"/>
        <v>0</v>
      </c>
      <c r="CS233" s="1576">
        <f t="shared" si="314"/>
        <v>0</v>
      </c>
      <c r="CT233" s="1495">
        <f t="shared" si="361"/>
        <v>0</v>
      </c>
      <c r="CU233" s="1577">
        <f t="shared" si="362"/>
        <v>0</v>
      </c>
      <c r="CV233" s="1576">
        <f t="shared" si="315"/>
        <v>0</v>
      </c>
      <c r="CW233" s="1495">
        <f t="shared" si="363"/>
        <v>0</v>
      </c>
      <c r="CX233" s="1577">
        <f t="shared" si="364"/>
        <v>0</v>
      </c>
      <c r="CY233" s="1576">
        <f t="shared" si="316"/>
        <v>0</v>
      </c>
      <c r="CZ233" s="1574">
        <f t="shared" si="317"/>
        <v>0</v>
      </c>
      <c r="DA233" s="1578">
        <f t="shared" si="319"/>
        <v>0</v>
      </c>
      <c r="DB233" s="1579">
        <f t="shared" si="320"/>
        <v>0</v>
      </c>
      <c r="DC233" s="1578">
        <f t="shared" si="321"/>
        <v>0</v>
      </c>
      <c r="DD233" s="1578">
        <f t="shared" si="321"/>
        <v>0</v>
      </c>
      <c r="DE233" s="1578">
        <f t="shared" si="321"/>
        <v>0</v>
      </c>
      <c r="DF233" s="1578">
        <f t="shared" si="322"/>
        <v>0</v>
      </c>
      <c r="DG233" s="1538"/>
      <c r="DH233" s="1538"/>
      <c r="DI233" s="1422"/>
      <c r="DJ233" s="1753" t="s">
        <v>1807</v>
      </c>
      <c r="DK233" s="1773">
        <v>5</v>
      </c>
      <c r="DL233" s="1773">
        <v>183</v>
      </c>
      <c r="DM233" s="1773">
        <f>DL233*DK233</f>
        <v>915</v>
      </c>
      <c r="DN233" s="1808">
        <f>DM233/70</f>
        <v>13.071428571428571</v>
      </c>
      <c r="DO233" s="1428"/>
      <c r="DP233" s="1428"/>
      <c r="DQ233" s="1422"/>
      <c r="DR233" s="1428"/>
      <c r="DS233" s="1428"/>
      <c r="DT233" s="1428"/>
      <c r="DU233" s="1428"/>
      <c r="DV233" s="1428"/>
      <c r="DW233" s="1428"/>
      <c r="DX233" s="1428"/>
      <c r="DY233" s="1428"/>
      <c r="DZ233" s="1428"/>
      <c r="EA233" s="1428"/>
      <c r="EB233" s="1428"/>
      <c r="EC233" s="1428"/>
      <c r="ED233" s="1428"/>
      <c r="EE233" s="1428"/>
      <c r="EF233" s="1428"/>
      <c r="EG233" s="1428"/>
      <c r="EH233" s="1428"/>
      <c r="EI233" s="1428"/>
      <c r="EJ233" s="1428"/>
      <c r="EK233" s="1428"/>
      <c r="EL233" s="1428"/>
      <c r="EM233" s="1428"/>
      <c r="EN233" s="1428"/>
      <c r="EO233" s="1428"/>
      <c r="EP233" s="1428"/>
      <c r="EQ233" s="1428"/>
      <c r="ER233" s="1428"/>
      <c r="ES233" s="1428"/>
      <c r="ET233" s="1428"/>
      <c r="EU233" s="1428"/>
    </row>
    <row r="234" spans="1:151" s="1440" customFormat="1">
      <c r="A234" s="1455"/>
      <c r="B234" s="1809" t="s">
        <v>1931</v>
      </c>
      <c r="C234" s="1774"/>
      <c r="D234" s="1818"/>
      <c r="J234" s="1816"/>
      <c r="K234" s="1720"/>
      <c r="L234" s="1720"/>
      <c r="M234" s="1720"/>
      <c r="N234" s="1476">
        <v>12</v>
      </c>
      <c r="O234" s="1640" t="s">
        <v>803</v>
      </c>
      <c r="P234" s="1806">
        <f>$DN$227/6*$O$243+$O$244*$DN$233/6</f>
        <v>0</v>
      </c>
      <c r="Q234" s="1803">
        <f t="shared" si="325"/>
        <v>0</v>
      </c>
      <c r="R234" s="1803">
        <f t="shared" si="326"/>
        <v>0</v>
      </c>
      <c r="S234" s="1803">
        <f t="shared" si="327"/>
        <v>0</v>
      </c>
      <c r="T234" s="1803">
        <f t="shared" si="328"/>
        <v>0</v>
      </c>
      <c r="U234" s="1803">
        <f>VLOOKUP($D$32,'Rainfall data'!$R$15:$AD$20,'Potable Water Calculator'!N233,FALSE)</f>
        <v>4.2165040650406516</v>
      </c>
      <c r="V234" s="1803">
        <f t="shared" si="329"/>
        <v>0</v>
      </c>
      <c r="W234" s="1803">
        <f t="shared" si="330"/>
        <v>0</v>
      </c>
      <c r="X234" s="1803">
        <f t="shared" si="338"/>
        <v>0</v>
      </c>
      <c r="Y234" s="1803">
        <f t="shared" si="331"/>
        <v>0</v>
      </c>
      <c r="Z234" s="1803">
        <f t="shared" si="332"/>
        <v>0</v>
      </c>
      <c r="AA234" s="1803">
        <f t="shared" si="333"/>
        <v>0</v>
      </c>
      <c r="AB234" s="1803">
        <f t="shared" si="334"/>
        <v>0</v>
      </c>
      <c r="AC234" s="1803">
        <f t="shared" si="335"/>
        <v>0</v>
      </c>
      <c r="AD234" s="1803">
        <f t="shared" si="336"/>
        <v>0</v>
      </c>
      <c r="AE234" s="1803">
        <f t="shared" si="337"/>
        <v>0</v>
      </c>
      <c r="AF234" s="1430"/>
      <c r="AG234" s="1430"/>
      <c r="AH234" s="1430"/>
      <c r="AI234" s="1430"/>
      <c r="AJ234" s="1430"/>
      <c r="AK234" s="1430"/>
      <c r="AL234" s="1430"/>
      <c r="AM234" s="1430"/>
      <c r="AN234" s="1430"/>
      <c r="AO234" s="1430"/>
      <c r="AP234" s="1430"/>
      <c r="AQ234" s="1704"/>
      <c r="AR234" s="1430"/>
      <c r="AS234" s="1430"/>
      <c r="AT234" s="1430"/>
      <c r="AU234" s="1430"/>
      <c r="AV234" s="1430"/>
      <c r="AW234" s="1430"/>
      <c r="AX234" s="1430"/>
      <c r="AY234" s="1430"/>
      <c r="AZ234" s="1430"/>
      <c r="BA234" s="1430"/>
      <c r="BB234" s="1430"/>
      <c r="BC234" s="1430"/>
      <c r="BD234" s="1422"/>
      <c r="BE234" s="1571" t="s">
        <v>1215</v>
      </c>
      <c r="BF234" s="1436">
        <v>22</v>
      </c>
      <c r="BG234" s="1436">
        <v>3</v>
      </c>
      <c r="BH234" s="1436">
        <v>2</v>
      </c>
      <c r="BI234" s="1495" t="b">
        <f t="shared" si="318"/>
        <v>1</v>
      </c>
      <c r="BJ234" s="1450" t="b">
        <f t="shared" si="339"/>
        <v>0</v>
      </c>
      <c r="BK234" s="1572">
        <f t="shared" si="340"/>
        <v>0</v>
      </c>
      <c r="BL234" s="1581">
        <f>IF(SUM(BL$232:BL233,BK234)&gt;$BQ$4,0,BK234)</f>
        <v>0</v>
      </c>
      <c r="BM234" s="1436">
        <f t="shared" si="303"/>
        <v>0</v>
      </c>
      <c r="BN234" s="1495">
        <f t="shared" si="304"/>
        <v>0</v>
      </c>
      <c r="BO234" s="1437">
        <f t="shared" si="324"/>
        <v>0</v>
      </c>
      <c r="BP234" s="1762">
        <f t="shared" si="341"/>
        <v>0</v>
      </c>
      <c r="BQ234" s="1577">
        <f t="shared" si="342"/>
        <v>0</v>
      </c>
      <c r="BR234" s="1576">
        <f t="shared" si="305"/>
        <v>0</v>
      </c>
      <c r="BS234" s="1574">
        <f t="shared" si="343"/>
        <v>0</v>
      </c>
      <c r="BT234" s="1577">
        <f t="shared" si="344"/>
        <v>0</v>
      </c>
      <c r="BU234" s="1576">
        <f t="shared" si="306"/>
        <v>0</v>
      </c>
      <c r="BV234" s="1574">
        <f t="shared" si="345"/>
        <v>0</v>
      </c>
      <c r="BW234" s="1577">
        <f t="shared" si="346"/>
        <v>0</v>
      </c>
      <c r="BX234" s="1576">
        <f t="shared" si="307"/>
        <v>0</v>
      </c>
      <c r="BY234" s="1574">
        <f t="shared" si="347"/>
        <v>0</v>
      </c>
      <c r="BZ234" s="1577">
        <f t="shared" si="348"/>
        <v>0</v>
      </c>
      <c r="CA234" s="1576">
        <f t="shared" si="308"/>
        <v>0</v>
      </c>
      <c r="CB234" s="1495">
        <f t="shared" si="349"/>
        <v>0</v>
      </c>
      <c r="CC234" s="1577">
        <f t="shared" si="350"/>
        <v>0</v>
      </c>
      <c r="CD234" s="1576">
        <f t="shared" si="309"/>
        <v>0</v>
      </c>
      <c r="CE234" s="1495">
        <f t="shared" si="351"/>
        <v>0</v>
      </c>
      <c r="CF234" s="1577">
        <f t="shared" si="352"/>
        <v>0</v>
      </c>
      <c r="CG234" s="1576">
        <f t="shared" si="310"/>
        <v>0</v>
      </c>
      <c r="CH234" s="1495">
        <f t="shared" si="353"/>
        <v>0</v>
      </c>
      <c r="CI234" s="1577">
        <f t="shared" si="354"/>
        <v>0</v>
      </c>
      <c r="CJ234" s="1576">
        <f t="shared" si="311"/>
        <v>0</v>
      </c>
      <c r="CK234" s="1495">
        <f t="shared" si="355"/>
        <v>0</v>
      </c>
      <c r="CL234" s="1577">
        <f t="shared" si="356"/>
        <v>0</v>
      </c>
      <c r="CM234" s="1576">
        <f t="shared" si="312"/>
        <v>0</v>
      </c>
      <c r="CN234" s="1495">
        <f t="shared" si="357"/>
        <v>0</v>
      </c>
      <c r="CO234" s="1577">
        <f t="shared" si="358"/>
        <v>0</v>
      </c>
      <c r="CP234" s="1576">
        <f t="shared" si="313"/>
        <v>0</v>
      </c>
      <c r="CQ234" s="1495">
        <f t="shared" si="359"/>
        <v>0</v>
      </c>
      <c r="CR234" s="1577">
        <f t="shared" si="360"/>
        <v>0</v>
      </c>
      <c r="CS234" s="1576">
        <f t="shared" si="314"/>
        <v>0</v>
      </c>
      <c r="CT234" s="1495">
        <f t="shared" si="361"/>
        <v>0</v>
      </c>
      <c r="CU234" s="1577">
        <f t="shared" si="362"/>
        <v>0</v>
      </c>
      <c r="CV234" s="1576">
        <f t="shared" si="315"/>
        <v>0</v>
      </c>
      <c r="CW234" s="1495">
        <f t="shared" si="363"/>
        <v>0</v>
      </c>
      <c r="CX234" s="1577">
        <f t="shared" si="364"/>
        <v>0</v>
      </c>
      <c r="CY234" s="1576">
        <f t="shared" si="316"/>
        <v>0</v>
      </c>
      <c r="CZ234" s="1574">
        <f t="shared" si="317"/>
        <v>0</v>
      </c>
      <c r="DA234" s="1578">
        <f t="shared" si="319"/>
        <v>0</v>
      </c>
      <c r="DB234" s="1579">
        <f t="shared" si="320"/>
        <v>0</v>
      </c>
      <c r="DC234" s="1578">
        <f t="shared" si="321"/>
        <v>0</v>
      </c>
      <c r="DD234" s="1578">
        <f t="shared" si="321"/>
        <v>0</v>
      </c>
      <c r="DE234" s="1578">
        <f t="shared" si="321"/>
        <v>0</v>
      </c>
      <c r="DF234" s="1578">
        <f t="shared" si="322"/>
        <v>0</v>
      </c>
      <c r="DG234" s="1538"/>
      <c r="DH234" s="1538"/>
      <c r="DI234" s="1422"/>
      <c r="DJ234" s="1753" t="s">
        <v>1812</v>
      </c>
      <c r="DK234" s="1773">
        <v>2.5</v>
      </c>
      <c r="DL234" s="1773">
        <v>92</v>
      </c>
      <c r="DM234" s="1773">
        <f>DL234*DK234</f>
        <v>230</v>
      </c>
      <c r="DN234" s="1808">
        <f>DM234/70</f>
        <v>3.2857142857142856</v>
      </c>
      <c r="DO234" s="1428"/>
      <c r="DP234" s="1428"/>
      <c r="DQ234" s="1422"/>
      <c r="DR234" s="1428"/>
      <c r="DS234" s="1428"/>
      <c r="DT234" s="1428"/>
      <c r="DU234" s="1428"/>
      <c r="DV234" s="1428"/>
      <c r="DW234" s="1428"/>
      <c r="DX234" s="1428"/>
      <c r="DY234" s="1428"/>
      <c r="DZ234" s="1428"/>
      <c r="EA234" s="1428"/>
      <c r="EB234" s="1428"/>
      <c r="EC234" s="1428"/>
      <c r="ED234" s="1428"/>
      <c r="EE234" s="1428"/>
      <c r="EF234" s="1428"/>
      <c r="EG234" s="1428"/>
      <c r="EH234" s="1428"/>
      <c r="EI234" s="1428"/>
      <c r="EJ234" s="1428"/>
      <c r="EK234" s="1428"/>
      <c r="EL234" s="1428"/>
      <c r="EM234" s="1428"/>
      <c r="EN234" s="1428"/>
      <c r="EO234" s="1428"/>
      <c r="EP234" s="1428"/>
      <c r="EQ234" s="1428"/>
      <c r="ER234" s="1428"/>
      <c r="ES234" s="1428"/>
      <c r="ET234" s="1428"/>
      <c r="EU234" s="1428"/>
    </row>
    <row r="235" spans="1:151" s="1440" customFormat="1">
      <c r="A235" s="1455"/>
      <c r="B235" s="2494" t="s">
        <v>1806</v>
      </c>
      <c r="C235" s="2495"/>
      <c r="D235" s="1637"/>
      <c r="J235" s="1816"/>
      <c r="K235" s="1720"/>
      <c r="L235" s="1720"/>
      <c r="M235" s="1720"/>
      <c r="N235" s="1476">
        <v>13</v>
      </c>
      <c r="O235" s="1640" t="s">
        <v>804</v>
      </c>
      <c r="P235" s="1806">
        <f>$DN$227/6*$O$243+$O$244*$DN$233/6</f>
        <v>0</v>
      </c>
      <c r="Q235" s="1803">
        <f t="shared" si="325"/>
        <v>0</v>
      </c>
      <c r="R235" s="1803">
        <f t="shared" si="326"/>
        <v>0</v>
      </c>
      <c r="S235" s="1803">
        <f t="shared" si="327"/>
        <v>0</v>
      </c>
      <c r="T235" s="1803">
        <f t="shared" si="328"/>
        <v>0</v>
      </c>
      <c r="U235" s="1803">
        <f>VLOOKUP($D$32,'Rainfall data'!$R$15:$AD$20,'Potable Water Calculator'!N234,FALSE)</f>
        <v>4.2215481171548142</v>
      </c>
      <c r="V235" s="1803">
        <f t="shared" si="329"/>
        <v>0</v>
      </c>
      <c r="W235" s="1803">
        <f t="shared" si="330"/>
        <v>0</v>
      </c>
      <c r="X235" s="1803">
        <f t="shared" si="338"/>
        <v>0</v>
      </c>
      <c r="Y235" s="1803">
        <f t="shared" si="331"/>
        <v>0</v>
      </c>
      <c r="Z235" s="1803">
        <f t="shared" si="332"/>
        <v>0</v>
      </c>
      <c r="AA235" s="1803">
        <f t="shared" si="333"/>
        <v>0</v>
      </c>
      <c r="AB235" s="1803">
        <f t="shared" si="334"/>
        <v>0</v>
      </c>
      <c r="AC235" s="1803">
        <f t="shared" si="335"/>
        <v>0</v>
      </c>
      <c r="AD235" s="1803">
        <f t="shared" si="336"/>
        <v>0</v>
      </c>
      <c r="AE235" s="1803">
        <f t="shared" si="337"/>
        <v>0</v>
      </c>
      <c r="AF235" s="1430"/>
      <c r="AG235" s="1430"/>
      <c r="AH235" s="1430"/>
      <c r="AI235" s="1430"/>
      <c r="AJ235" s="1430"/>
      <c r="AK235" s="1430"/>
      <c r="AL235" s="1430"/>
      <c r="AM235" s="1430"/>
      <c r="AN235" s="1430"/>
      <c r="AO235" s="1430"/>
      <c r="AP235" s="1430"/>
      <c r="AQ235" s="1704"/>
      <c r="AR235" s="1430"/>
      <c r="AS235" s="1430"/>
      <c r="AT235" s="1430"/>
      <c r="AU235" s="1430"/>
      <c r="AV235" s="1430"/>
      <c r="AW235" s="1430"/>
      <c r="AX235" s="1430"/>
      <c r="AY235" s="1430"/>
      <c r="AZ235" s="1430"/>
      <c r="BA235" s="1430"/>
      <c r="BB235" s="1430"/>
      <c r="BC235" s="1430"/>
      <c r="BD235" s="1422"/>
      <c r="BE235" s="1571" t="s">
        <v>1215</v>
      </c>
      <c r="BF235" s="1436">
        <v>22</v>
      </c>
      <c r="BG235" s="1436">
        <v>4</v>
      </c>
      <c r="BH235" s="1436">
        <v>3</v>
      </c>
      <c r="BI235" s="1495" t="b">
        <f t="shared" si="318"/>
        <v>1</v>
      </c>
      <c r="BJ235" s="1450" t="b">
        <f t="shared" si="339"/>
        <v>0</v>
      </c>
      <c r="BK235" s="1572">
        <f t="shared" si="340"/>
        <v>0</v>
      </c>
      <c r="BL235" s="1581">
        <f>IF(SUM(BL$232:BL234,BK235)&gt;$BQ$4,0,BK235)</f>
        <v>0</v>
      </c>
      <c r="BM235" s="1436">
        <f t="shared" si="303"/>
        <v>0</v>
      </c>
      <c r="BN235" s="1495">
        <f t="shared" si="304"/>
        <v>0</v>
      </c>
      <c r="BO235" s="1437">
        <f t="shared" si="324"/>
        <v>0</v>
      </c>
      <c r="BP235" s="1762">
        <f t="shared" si="341"/>
        <v>0</v>
      </c>
      <c r="BQ235" s="1577">
        <f t="shared" si="342"/>
        <v>0</v>
      </c>
      <c r="BR235" s="1576">
        <f t="shared" si="305"/>
        <v>0</v>
      </c>
      <c r="BS235" s="1574">
        <f t="shared" si="343"/>
        <v>0</v>
      </c>
      <c r="BT235" s="1577">
        <f t="shared" si="344"/>
        <v>0</v>
      </c>
      <c r="BU235" s="1576">
        <f t="shared" si="306"/>
        <v>0</v>
      </c>
      <c r="BV235" s="1574">
        <f t="shared" si="345"/>
        <v>0</v>
      </c>
      <c r="BW235" s="1577">
        <f t="shared" si="346"/>
        <v>0</v>
      </c>
      <c r="BX235" s="1576">
        <f t="shared" si="307"/>
        <v>0</v>
      </c>
      <c r="BY235" s="1574">
        <f t="shared" si="347"/>
        <v>0</v>
      </c>
      <c r="BZ235" s="1577">
        <f t="shared" si="348"/>
        <v>0</v>
      </c>
      <c r="CA235" s="1576">
        <f t="shared" si="308"/>
        <v>0</v>
      </c>
      <c r="CB235" s="1495">
        <f t="shared" si="349"/>
        <v>0</v>
      </c>
      <c r="CC235" s="1577">
        <f t="shared" si="350"/>
        <v>0</v>
      </c>
      <c r="CD235" s="1576">
        <f t="shared" si="309"/>
        <v>0</v>
      </c>
      <c r="CE235" s="1495">
        <f t="shared" si="351"/>
        <v>0</v>
      </c>
      <c r="CF235" s="1577">
        <f t="shared" si="352"/>
        <v>0</v>
      </c>
      <c r="CG235" s="1576">
        <f t="shared" si="310"/>
        <v>0</v>
      </c>
      <c r="CH235" s="1495">
        <f t="shared" si="353"/>
        <v>0</v>
      </c>
      <c r="CI235" s="1577">
        <f t="shared" si="354"/>
        <v>0</v>
      </c>
      <c r="CJ235" s="1576">
        <f t="shared" si="311"/>
        <v>0</v>
      </c>
      <c r="CK235" s="1495">
        <f t="shared" si="355"/>
        <v>0</v>
      </c>
      <c r="CL235" s="1577">
        <f t="shared" si="356"/>
        <v>0</v>
      </c>
      <c r="CM235" s="1576">
        <f t="shared" si="312"/>
        <v>0</v>
      </c>
      <c r="CN235" s="1495">
        <f t="shared" si="357"/>
        <v>0</v>
      </c>
      <c r="CO235" s="1577">
        <f t="shared" si="358"/>
        <v>0</v>
      </c>
      <c r="CP235" s="1576">
        <f t="shared" si="313"/>
        <v>0</v>
      </c>
      <c r="CQ235" s="1495">
        <f t="shared" si="359"/>
        <v>0</v>
      </c>
      <c r="CR235" s="1577">
        <f t="shared" si="360"/>
        <v>0</v>
      </c>
      <c r="CS235" s="1576">
        <f t="shared" si="314"/>
        <v>0</v>
      </c>
      <c r="CT235" s="1495">
        <f t="shared" si="361"/>
        <v>0</v>
      </c>
      <c r="CU235" s="1577">
        <f t="shared" si="362"/>
        <v>0</v>
      </c>
      <c r="CV235" s="1576">
        <f t="shared" si="315"/>
        <v>0</v>
      </c>
      <c r="CW235" s="1495">
        <f t="shared" si="363"/>
        <v>0</v>
      </c>
      <c r="CX235" s="1577">
        <f t="shared" si="364"/>
        <v>0</v>
      </c>
      <c r="CY235" s="1576">
        <f t="shared" si="316"/>
        <v>0</v>
      </c>
      <c r="CZ235" s="1574">
        <f t="shared" si="317"/>
        <v>0</v>
      </c>
      <c r="DA235" s="1578">
        <f t="shared" si="319"/>
        <v>0</v>
      </c>
      <c r="DB235" s="1579">
        <f t="shared" si="320"/>
        <v>0</v>
      </c>
      <c r="DC235" s="1578">
        <f t="shared" si="321"/>
        <v>0</v>
      </c>
      <c r="DD235" s="1578">
        <f t="shared" si="321"/>
        <v>0</v>
      </c>
      <c r="DE235" s="1578">
        <f t="shared" si="321"/>
        <v>0</v>
      </c>
      <c r="DF235" s="1578">
        <f t="shared" si="322"/>
        <v>0</v>
      </c>
      <c r="DG235" s="1420"/>
      <c r="DH235" s="1420"/>
      <c r="DI235" s="1422"/>
      <c r="DJ235" s="1753" t="s">
        <v>1086</v>
      </c>
      <c r="DK235" s="1812"/>
      <c r="DL235" s="1813">
        <f>SUM(DL232:DL234)</f>
        <v>365</v>
      </c>
      <c r="DM235" s="1813">
        <f>SUM(DM232:DM234)</f>
        <v>1775</v>
      </c>
      <c r="DN235" s="1812">
        <f>SUM(DN232:DN234)</f>
        <v>25.357142857142854</v>
      </c>
      <c r="DO235" s="1428"/>
      <c r="DP235" s="1428"/>
      <c r="DQ235" s="1422"/>
      <c r="DR235" s="1428"/>
      <c r="DS235" s="1428"/>
      <c r="DT235" s="1428"/>
      <c r="DU235" s="1428"/>
      <c r="DV235" s="1428"/>
      <c r="DW235" s="1428"/>
      <c r="DX235" s="1428"/>
      <c r="DY235" s="1428"/>
      <c r="DZ235" s="1428"/>
      <c r="EA235" s="1428"/>
      <c r="EB235" s="1428"/>
      <c r="EC235" s="1428"/>
      <c r="ED235" s="1428"/>
      <c r="EE235" s="1428"/>
      <c r="EF235" s="1428"/>
      <c r="EG235" s="1428"/>
      <c r="EH235" s="1428"/>
      <c r="EI235" s="1428"/>
      <c r="EJ235" s="1428"/>
      <c r="EK235" s="1428"/>
      <c r="EL235" s="1428"/>
      <c r="EM235" s="1428"/>
      <c r="EN235" s="1428"/>
      <c r="EO235" s="1428"/>
      <c r="EP235" s="1428"/>
      <c r="EQ235" s="1428"/>
      <c r="ER235" s="1428"/>
      <c r="ES235" s="1428"/>
      <c r="ET235" s="1428"/>
      <c r="EU235" s="1428"/>
    </row>
    <row r="236" spans="1:151">
      <c r="B236" s="2494" t="s">
        <v>1804</v>
      </c>
      <c r="C236" s="2495"/>
      <c r="D236" s="1637"/>
      <c r="E236" s="1440"/>
      <c r="F236" s="1440"/>
      <c r="G236" s="1440"/>
      <c r="H236" s="1440"/>
      <c r="J236" s="1816"/>
      <c r="K236" s="1720"/>
      <c r="L236" s="1720"/>
      <c r="M236" s="1720"/>
      <c r="N236" s="1476"/>
      <c r="O236" s="1640" t="s">
        <v>1603</v>
      </c>
      <c r="P236" s="1802">
        <f>$DN$226/3*$O$243+$O$244*$DN$232/3</f>
        <v>0</v>
      </c>
      <c r="Q236" s="1803">
        <f t="shared" si="325"/>
        <v>0</v>
      </c>
      <c r="R236" s="1803">
        <f t="shared" si="326"/>
        <v>0</v>
      </c>
      <c r="S236" s="1803">
        <f t="shared" si="327"/>
        <v>0</v>
      </c>
      <c r="T236" s="1803">
        <f t="shared" si="328"/>
        <v>0</v>
      </c>
      <c r="U236" s="1803">
        <f>VLOOKUP($D$32,'Rainfall data'!$R$15:$AD$20,'Potable Water Calculator'!N235,FALSE)</f>
        <v>4.392608695652175</v>
      </c>
      <c r="V236" s="1803">
        <f t="shared" si="329"/>
        <v>0</v>
      </c>
      <c r="W236" s="1803">
        <f t="shared" si="330"/>
        <v>0</v>
      </c>
      <c r="X236" s="1803">
        <f t="shared" si="338"/>
        <v>0</v>
      </c>
      <c r="Y236" s="1803">
        <f t="shared" si="331"/>
        <v>0</v>
      </c>
      <c r="Z236" s="1803">
        <f t="shared" si="332"/>
        <v>0</v>
      </c>
      <c r="AA236" s="1803">
        <f t="shared" si="333"/>
        <v>0</v>
      </c>
      <c r="AB236" s="1803">
        <f t="shared" si="334"/>
        <v>0</v>
      </c>
      <c r="AC236" s="1803">
        <f t="shared" si="335"/>
        <v>0</v>
      </c>
      <c r="AD236" s="1803">
        <f t="shared" si="336"/>
        <v>0</v>
      </c>
      <c r="AE236" s="1803">
        <f t="shared" si="337"/>
        <v>0</v>
      </c>
      <c r="AQ236" s="1704"/>
      <c r="BD236" s="1687"/>
      <c r="BE236" s="1571" t="s">
        <v>1215</v>
      </c>
      <c r="BF236" s="1436">
        <v>22</v>
      </c>
      <c r="BG236" s="1436">
        <v>5</v>
      </c>
      <c r="BH236" s="1436">
        <v>4</v>
      </c>
      <c r="BI236" s="1495" t="b">
        <f t="shared" si="318"/>
        <v>1</v>
      </c>
      <c r="BJ236" s="1450" t="b">
        <f t="shared" si="339"/>
        <v>0</v>
      </c>
      <c r="BK236" s="1572">
        <f t="shared" si="340"/>
        <v>0</v>
      </c>
      <c r="BL236" s="1581">
        <f>IF(SUM(BL$232:BL235,BK236)&gt;$BQ$4,0,BK236)</f>
        <v>0</v>
      </c>
      <c r="BM236" s="1436">
        <f t="shared" si="303"/>
        <v>0</v>
      </c>
      <c r="BN236" s="1495">
        <f t="shared" si="304"/>
        <v>0</v>
      </c>
      <c r="BO236" s="1437">
        <f t="shared" si="324"/>
        <v>0</v>
      </c>
      <c r="BP236" s="1762">
        <f t="shared" si="341"/>
        <v>0</v>
      </c>
      <c r="BQ236" s="1577">
        <f t="shared" si="342"/>
        <v>0</v>
      </c>
      <c r="BR236" s="1576">
        <f t="shared" si="305"/>
        <v>0</v>
      </c>
      <c r="BS236" s="1574">
        <f t="shared" si="343"/>
        <v>0</v>
      </c>
      <c r="BT236" s="1577">
        <f t="shared" si="344"/>
        <v>0</v>
      </c>
      <c r="BU236" s="1576">
        <f t="shared" si="306"/>
        <v>0</v>
      </c>
      <c r="BV236" s="1574">
        <f t="shared" si="345"/>
        <v>0</v>
      </c>
      <c r="BW236" s="1577">
        <f t="shared" si="346"/>
        <v>0</v>
      </c>
      <c r="BX236" s="1576">
        <f t="shared" si="307"/>
        <v>0</v>
      </c>
      <c r="BY236" s="1574">
        <f t="shared" si="347"/>
        <v>0</v>
      </c>
      <c r="BZ236" s="1577">
        <f t="shared" si="348"/>
        <v>0</v>
      </c>
      <c r="CA236" s="1576">
        <f t="shared" si="308"/>
        <v>0</v>
      </c>
      <c r="CB236" s="1495">
        <f t="shared" si="349"/>
        <v>0</v>
      </c>
      <c r="CC236" s="1577">
        <f t="shared" si="350"/>
        <v>0</v>
      </c>
      <c r="CD236" s="1576">
        <f t="shared" si="309"/>
        <v>0</v>
      </c>
      <c r="CE236" s="1495">
        <f t="shared" si="351"/>
        <v>0</v>
      </c>
      <c r="CF236" s="1577">
        <f t="shared" si="352"/>
        <v>0</v>
      </c>
      <c r="CG236" s="1576">
        <f t="shared" si="310"/>
        <v>0</v>
      </c>
      <c r="CH236" s="1495">
        <f t="shared" si="353"/>
        <v>0</v>
      </c>
      <c r="CI236" s="1577">
        <f t="shared" si="354"/>
        <v>0</v>
      </c>
      <c r="CJ236" s="1576">
        <f t="shared" si="311"/>
        <v>0</v>
      </c>
      <c r="CK236" s="1495">
        <f t="shared" si="355"/>
        <v>0</v>
      </c>
      <c r="CL236" s="1577">
        <f t="shared" si="356"/>
        <v>0</v>
      </c>
      <c r="CM236" s="1576">
        <f t="shared" si="312"/>
        <v>0</v>
      </c>
      <c r="CN236" s="1495">
        <f t="shared" si="357"/>
        <v>0</v>
      </c>
      <c r="CO236" s="1577">
        <f t="shared" si="358"/>
        <v>0</v>
      </c>
      <c r="CP236" s="1576">
        <f t="shared" si="313"/>
        <v>0</v>
      </c>
      <c r="CQ236" s="1495">
        <f t="shared" si="359"/>
        <v>0</v>
      </c>
      <c r="CR236" s="1577">
        <f t="shared" si="360"/>
        <v>0</v>
      </c>
      <c r="CS236" s="1576">
        <f t="shared" si="314"/>
        <v>0</v>
      </c>
      <c r="CT236" s="1495">
        <f t="shared" si="361"/>
        <v>0</v>
      </c>
      <c r="CU236" s="1577">
        <f t="shared" si="362"/>
        <v>0</v>
      </c>
      <c r="CV236" s="1576">
        <f t="shared" si="315"/>
        <v>0</v>
      </c>
      <c r="CW236" s="1495">
        <f t="shared" si="363"/>
        <v>0</v>
      </c>
      <c r="CX236" s="1577">
        <f t="shared" si="364"/>
        <v>0</v>
      </c>
      <c r="CY236" s="1576">
        <f t="shared" si="316"/>
        <v>0</v>
      </c>
      <c r="CZ236" s="1574">
        <f t="shared" si="317"/>
        <v>0</v>
      </c>
      <c r="DA236" s="1578">
        <f t="shared" si="319"/>
        <v>0</v>
      </c>
      <c r="DB236" s="1579">
        <f t="shared" si="320"/>
        <v>0</v>
      </c>
      <c r="DC236" s="1578">
        <f t="shared" si="321"/>
        <v>0</v>
      </c>
      <c r="DD236" s="1578">
        <f t="shared" si="321"/>
        <v>0</v>
      </c>
      <c r="DE236" s="1578">
        <f t="shared" si="321"/>
        <v>0</v>
      </c>
      <c r="DF236" s="1578">
        <f t="shared" si="322"/>
        <v>0</v>
      </c>
      <c r="DG236" s="1420"/>
      <c r="DH236" s="1420"/>
    </row>
    <row r="237" spans="1:151" s="1440" customFormat="1" ht="15.75" thickBot="1">
      <c r="A237" s="1455"/>
      <c r="B237" s="1809" t="s">
        <v>1797</v>
      </c>
      <c r="C237" s="1810"/>
      <c r="D237" s="1816"/>
      <c r="J237" s="1816"/>
      <c r="K237" s="1720"/>
      <c r="L237" s="1720"/>
      <c r="M237" s="1720"/>
      <c r="N237" s="1476"/>
      <c r="O237" s="1430"/>
      <c r="P237" s="1819" t="s">
        <v>261</v>
      </c>
      <c r="Q237" s="1820"/>
      <c r="R237" s="1821">
        <f t="shared" ref="R237:AA237" si="365">SUM(R225:R236)*$O$239</f>
        <v>0</v>
      </c>
      <c r="S237" s="1821">
        <f t="shared" si="365"/>
        <v>0</v>
      </c>
      <c r="T237" s="1821">
        <f t="shared" si="365"/>
        <v>0</v>
      </c>
      <c r="U237" s="1822">
        <f t="shared" si="365"/>
        <v>0</v>
      </c>
      <c r="V237" s="1822">
        <f t="shared" si="365"/>
        <v>0</v>
      </c>
      <c r="W237" s="1822">
        <f t="shared" si="365"/>
        <v>0</v>
      </c>
      <c r="X237" s="1822">
        <f t="shared" si="365"/>
        <v>0</v>
      </c>
      <c r="Y237" s="1822">
        <f t="shared" si="365"/>
        <v>0</v>
      </c>
      <c r="Z237" s="1822">
        <f t="shared" si="365"/>
        <v>0</v>
      </c>
      <c r="AA237" s="1822">
        <f t="shared" si="365"/>
        <v>0</v>
      </c>
      <c r="AB237" s="1823">
        <f>SUM(AB225:AB236)</f>
        <v>0</v>
      </c>
      <c r="AC237" s="1824">
        <f>SUM(AC225:AC236)*$O$239</f>
        <v>0</v>
      </c>
      <c r="AD237" s="1824">
        <f>SUM(AD225:AD236)*$O$239</f>
        <v>0</v>
      </c>
      <c r="AE237" s="1825">
        <f>SUM(AE225:AE236)*O239</f>
        <v>0</v>
      </c>
      <c r="AF237" s="1430"/>
      <c r="AG237" s="1430"/>
      <c r="AH237" s="1430"/>
      <c r="AI237" s="1430"/>
      <c r="AJ237" s="1430"/>
      <c r="AK237" s="1430"/>
      <c r="AL237" s="1430"/>
      <c r="AM237" s="1430"/>
      <c r="AN237" s="1430"/>
      <c r="AO237" s="1430"/>
      <c r="AP237" s="1430"/>
      <c r="AQ237" s="1704"/>
      <c r="AR237" s="1430"/>
      <c r="AS237" s="1430"/>
      <c r="AT237" s="1430"/>
      <c r="AU237" s="1430"/>
      <c r="AV237" s="1430"/>
      <c r="AW237" s="1430"/>
      <c r="AX237" s="1430"/>
      <c r="AY237" s="1430"/>
      <c r="AZ237" s="1430"/>
      <c r="BA237" s="1430"/>
      <c r="BB237" s="1430"/>
      <c r="BC237" s="1430"/>
      <c r="BD237" s="1422"/>
      <c r="BE237" s="1571" t="s">
        <v>1215</v>
      </c>
      <c r="BF237" s="1436">
        <v>22</v>
      </c>
      <c r="BG237" s="1436">
        <v>6</v>
      </c>
      <c r="BH237" s="1436">
        <v>5</v>
      </c>
      <c r="BI237" s="1495" t="b">
        <f t="shared" si="318"/>
        <v>1</v>
      </c>
      <c r="BJ237" s="1450" t="b">
        <f t="shared" si="339"/>
        <v>0</v>
      </c>
      <c r="BK237" s="1572">
        <f t="shared" si="340"/>
        <v>0</v>
      </c>
      <c r="BL237" s="1581">
        <f>IF(SUM(BL$232:BL236,BK237)&gt;$BQ$4,0,BK237)</f>
        <v>0</v>
      </c>
      <c r="BM237" s="1436">
        <f t="shared" si="303"/>
        <v>0</v>
      </c>
      <c r="BN237" s="1495">
        <f t="shared" si="304"/>
        <v>0</v>
      </c>
      <c r="BO237" s="1437">
        <f t="shared" si="324"/>
        <v>0</v>
      </c>
      <c r="BP237" s="1762">
        <f t="shared" si="341"/>
        <v>0</v>
      </c>
      <c r="BQ237" s="1577">
        <f t="shared" si="342"/>
        <v>0</v>
      </c>
      <c r="BR237" s="1576">
        <f t="shared" si="305"/>
        <v>0</v>
      </c>
      <c r="BS237" s="1574">
        <f t="shared" si="343"/>
        <v>0</v>
      </c>
      <c r="BT237" s="1577">
        <f t="shared" si="344"/>
        <v>0</v>
      </c>
      <c r="BU237" s="1576">
        <f t="shared" si="306"/>
        <v>0</v>
      </c>
      <c r="BV237" s="1574">
        <f t="shared" si="345"/>
        <v>0</v>
      </c>
      <c r="BW237" s="1577">
        <f t="shared" si="346"/>
        <v>0</v>
      </c>
      <c r="BX237" s="1576">
        <f t="shared" si="307"/>
        <v>0</v>
      </c>
      <c r="BY237" s="1574">
        <f t="shared" si="347"/>
        <v>0</v>
      </c>
      <c r="BZ237" s="1577">
        <f t="shared" si="348"/>
        <v>0</v>
      </c>
      <c r="CA237" s="1576">
        <f t="shared" si="308"/>
        <v>0</v>
      </c>
      <c r="CB237" s="1495">
        <f t="shared" si="349"/>
        <v>0</v>
      </c>
      <c r="CC237" s="1577">
        <f t="shared" si="350"/>
        <v>0</v>
      </c>
      <c r="CD237" s="1576">
        <f t="shared" si="309"/>
        <v>0</v>
      </c>
      <c r="CE237" s="1495">
        <f t="shared" si="351"/>
        <v>0</v>
      </c>
      <c r="CF237" s="1577">
        <f t="shared" si="352"/>
        <v>0</v>
      </c>
      <c r="CG237" s="1576">
        <f t="shared" si="310"/>
        <v>0</v>
      </c>
      <c r="CH237" s="1495">
        <f t="shared" si="353"/>
        <v>0</v>
      </c>
      <c r="CI237" s="1577">
        <f t="shared" si="354"/>
        <v>0</v>
      </c>
      <c r="CJ237" s="1576">
        <f t="shared" si="311"/>
        <v>0</v>
      </c>
      <c r="CK237" s="1495">
        <f t="shared" si="355"/>
        <v>0</v>
      </c>
      <c r="CL237" s="1577">
        <f t="shared" si="356"/>
        <v>0</v>
      </c>
      <c r="CM237" s="1576">
        <f t="shared" si="312"/>
        <v>0</v>
      </c>
      <c r="CN237" s="1495">
        <f t="shared" si="357"/>
        <v>0</v>
      </c>
      <c r="CO237" s="1577">
        <f t="shared" si="358"/>
        <v>0</v>
      </c>
      <c r="CP237" s="1576">
        <f t="shared" si="313"/>
        <v>0</v>
      </c>
      <c r="CQ237" s="1495">
        <f t="shared" si="359"/>
        <v>0</v>
      </c>
      <c r="CR237" s="1577">
        <f t="shared" si="360"/>
        <v>0</v>
      </c>
      <c r="CS237" s="1576">
        <f t="shared" si="314"/>
        <v>0</v>
      </c>
      <c r="CT237" s="1495">
        <f t="shared" si="361"/>
        <v>0</v>
      </c>
      <c r="CU237" s="1577">
        <f t="shared" si="362"/>
        <v>0</v>
      </c>
      <c r="CV237" s="1576">
        <f t="shared" si="315"/>
        <v>0</v>
      </c>
      <c r="CW237" s="1495">
        <f t="shared" si="363"/>
        <v>0</v>
      </c>
      <c r="CX237" s="1577">
        <f t="shared" si="364"/>
        <v>0</v>
      </c>
      <c r="CY237" s="1576">
        <f t="shared" si="316"/>
        <v>0</v>
      </c>
      <c r="CZ237" s="1574">
        <f t="shared" si="317"/>
        <v>0</v>
      </c>
      <c r="DA237" s="1578">
        <f t="shared" si="319"/>
        <v>0</v>
      </c>
      <c r="DB237" s="1579">
        <f t="shared" si="320"/>
        <v>0</v>
      </c>
      <c r="DC237" s="1578">
        <f t="shared" si="321"/>
        <v>0</v>
      </c>
      <c r="DD237" s="1578">
        <f t="shared" si="321"/>
        <v>0</v>
      </c>
      <c r="DE237" s="1578">
        <f t="shared" si="321"/>
        <v>0</v>
      </c>
      <c r="DF237" s="1578">
        <f t="shared" si="322"/>
        <v>0</v>
      </c>
      <c r="DG237" s="1538"/>
      <c r="DH237" s="1538"/>
      <c r="DI237" s="1422"/>
      <c r="DJ237" s="1795" t="s">
        <v>1830</v>
      </c>
      <c r="DK237" s="1826" t="s">
        <v>1831</v>
      </c>
      <c r="DL237" s="1428"/>
      <c r="DM237" s="1428"/>
      <c r="DN237" s="1795" t="s">
        <v>2223</v>
      </c>
      <c r="DO237" s="1827"/>
      <c r="DP237" s="1428"/>
      <c r="DQ237" s="1422"/>
      <c r="DR237" s="1428"/>
      <c r="DS237" s="1428"/>
      <c r="DT237" s="1428"/>
      <c r="DU237" s="1428"/>
      <c r="DV237" s="1428"/>
      <c r="DW237" s="1428"/>
      <c r="DX237" s="1428"/>
      <c r="DY237" s="1428"/>
      <c r="DZ237" s="1428"/>
      <c r="EA237" s="1428"/>
      <c r="EB237" s="1428"/>
      <c r="EC237" s="1428"/>
      <c r="ED237" s="1428"/>
      <c r="EE237" s="1428"/>
      <c r="EF237" s="1428"/>
      <c r="EG237" s="1428"/>
      <c r="EH237" s="1428"/>
      <c r="EI237" s="1428"/>
      <c r="EJ237" s="1428"/>
      <c r="EK237" s="1428"/>
      <c r="EL237" s="1428"/>
      <c r="EM237" s="1428"/>
      <c r="EN237" s="1428"/>
      <c r="EO237" s="1428"/>
      <c r="EP237" s="1428"/>
      <c r="EQ237" s="1428"/>
      <c r="ER237" s="1428"/>
      <c r="ES237" s="1428"/>
      <c r="ET237" s="1428"/>
      <c r="EU237" s="1428"/>
    </row>
    <row r="238" spans="1:151" s="1440" customFormat="1">
      <c r="A238" s="1455"/>
      <c r="B238" s="2494" t="s">
        <v>1804</v>
      </c>
      <c r="C238" s="2495"/>
      <c r="D238" s="1637"/>
      <c r="J238" s="1816"/>
      <c r="K238" s="1720"/>
      <c r="L238" s="1720"/>
      <c r="M238" s="1720"/>
      <c r="N238" s="1430"/>
      <c r="O238" s="1430"/>
      <c r="P238" s="1430"/>
      <c r="Q238" s="1430"/>
      <c r="R238" s="1430"/>
      <c r="S238" s="1430"/>
      <c r="T238" s="1430"/>
      <c r="U238" s="1430"/>
      <c r="V238" s="1430"/>
      <c r="W238" s="1430" t="s">
        <v>1832</v>
      </c>
      <c r="X238" s="1430"/>
      <c r="Y238" s="1430" t="s">
        <v>1833</v>
      </c>
      <c r="Z238" s="1430"/>
      <c r="AA238" s="1430"/>
      <c r="AB238" s="1430"/>
      <c r="AC238" s="1430"/>
      <c r="AD238" s="1430"/>
      <c r="AE238" s="1430"/>
      <c r="AF238" s="1430"/>
      <c r="AG238" s="1430"/>
      <c r="AH238" s="1430"/>
      <c r="AI238" s="1430"/>
      <c r="AJ238" s="1430"/>
      <c r="AK238" s="1430"/>
      <c r="AL238" s="1430"/>
      <c r="AM238" s="1430"/>
      <c r="AN238" s="1430"/>
      <c r="AO238" s="1430"/>
      <c r="AP238" s="1430"/>
      <c r="AQ238" s="1704"/>
      <c r="AR238" s="1430"/>
      <c r="AS238" s="1430"/>
      <c r="AT238" s="1430"/>
      <c r="AU238" s="1430"/>
      <c r="AV238" s="1430"/>
      <c r="AW238" s="1430"/>
      <c r="AX238" s="1430"/>
      <c r="AY238" s="1430"/>
      <c r="AZ238" s="1430"/>
      <c r="BA238" s="1430"/>
      <c r="BB238" s="1430"/>
      <c r="BC238" s="1430"/>
      <c r="BD238" s="1422"/>
      <c r="BE238" s="1571" t="s">
        <v>1215</v>
      </c>
      <c r="BF238" s="1436">
        <v>22</v>
      </c>
      <c r="BG238" s="1436">
        <v>7</v>
      </c>
      <c r="BH238" s="1436">
        <v>6</v>
      </c>
      <c r="BI238" s="1495" t="b">
        <f t="shared" si="318"/>
        <v>0</v>
      </c>
      <c r="BJ238" s="1450" t="b">
        <f t="shared" si="339"/>
        <v>0</v>
      </c>
      <c r="BK238" s="1572">
        <f t="shared" si="340"/>
        <v>0</v>
      </c>
      <c r="BL238" s="1581">
        <f>IF(SUM(BL$232:BL237,BK238)&gt;$BQ$4,0,BK238)</f>
        <v>0</v>
      </c>
      <c r="BM238" s="1436">
        <f t="shared" si="303"/>
        <v>0</v>
      </c>
      <c r="BN238" s="1495">
        <f t="shared" si="304"/>
        <v>0</v>
      </c>
      <c r="BO238" s="1437">
        <f t="shared" si="324"/>
        <v>0</v>
      </c>
      <c r="BP238" s="1762">
        <f t="shared" si="341"/>
        <v>0</v>
      </c>
      <c r="BQ238" s="1577">
        <f t="shared" si="342"/>
        <v>0</v>
      </c>
      <c r="BR238" s="1576">
        <f t="shared" si="305"/>
        <v>0</v>
      </c>
      <c r="BS238" s="1574">
        <f t="shared" si="343"/>
        <v>0</v>
      </c>
      <c r="BT238" s="1577">
        <f t="shared" si="344"/>
        <v>0</v>
      </c>
      <c r="BU238" s="1576">
        <f t="shared" si="306"/>
        <v>0</v>
      </c>
      <c r="BV238" s="1574">
        <f t="shared" si="345"/>
        <v>0</v>
      </c>
      <c r="BW238" s="1577">
        <f t="shared" si="346"/>
        <v>0</v>
      </c>
      <c r="BX238" s="1576">
        <f t="shared" si="307"/>
        <v>0</v>
      </c>
      <c r="BY238" s="1574">
        <f t="shared" si="347"/>
        <v>0</v>
      </c>
      <c r="BZ238" s="1577">
        <f t="shared" si="348"/>
        <v>0</v>
      </c>
      <c r="CA238" s="1576">
        <f t="shared" si="308"/>
        <v>0</v>
      </c>
      <c r="CB238" s="1495">
        <f t="shared" si="349"/>
        <v>0</v>
      </c>
      <c r="CC238" s="1577">
        <f t="shared" si="350"/>
        <v>0</v>
      </c>
      <c r="CD238" s="1576">
        <f t="shared" si="309"/>
        <v>0</v>
      </c>
      <c r="CE238" s="1495">
        <f t="shared" si="351"/>
        <v>0</v>
      </c>
      <c r="CF238" s="1577">
        <f t="shared" si="352"/>
        <v>0</v>
      </c>
      <c r="CG238" s="1576">
        <f t="shared" si="310"/>
        <v>0</v>
      </c>
      <c r="CH238" s="1495">
        <f t="shared" si="353"/>
        <v>0</v>
      </c>
      <c r="CI238" s="1577">
        <f t="shared" si="354"/>
        <v>0</v>
      </c>
      <c r="CJ238" s="1576">
        <f t="shared" si="311"/>
        <v>0</v>
      </c>
      <c r="CK238" s="1495">
        <f t="shared" si="355"/>
        <v>0</v>
      </c>
      <c r="CL238" s="1577">
        <f t="shared" si="356"/>
        <v>0</v>
      </c>
      <c r="CM238" s="1576">
        <f t="shared" si="312"/>
        <v>0</v>
      </c>
      <c r="CN238" s="1495">
        <f t="shared" si="357"/>
        <v>0</v>
      </c>
      <c r="CO238" s="1577">
        <f t="shared" si="358"/>
        <v>0</v>
      </c>
      <c r="CP238" s="1576">
        <f t="shared" si="313"/>
        <v>0</v>
      </c>
      <c r="CQ238" s="1495">
        <f t="shared" si="359"/>
        <v>0</v>
      </c>
      <c r="CR238" s="1577">
        <f t="shared" si="360"/>
        <v>0</v>
      </c>
      <c r="CS238" s="1576">
        <f t="shared" si="314"/>
        <v>0</v>
      </c>
      <c r="CT238" s="1495">
        <f t="shared" si="361"/>
        <v>0</v>
      </c>
      <c r="CU238" s="1577">
        <f t="shared" si="362"/>
        <v>0</v>
      </c>
      <c r="CV238" s="1576">
        <f t="shared" si="315"/>
        <v>0</v>
      </c>
      <c r="CW238" s="1495">
        <f t="shared" si="363"/>
        <v>0</v>
      </c>
      <c r="CX238" s="1577">
        <f t="shared" si="364"/>
        <v>0</v>
      </c>
      <c r="CY238" s="1576">
        <f t="shared" si="316"/>
        <v>0</v>
      </c>
      <c r="CZ238" s="1574">
        <f t="shared" si="317"/>
        <v>0</v>
      </c>
      <c r="DA238" s="1578">
        <f t="shared" si="319"/>
        <v>0</v>
      </c>
      <c r="DB238" s="1579">
        <f t="shared" si="320"/>
        <v>0</v>
      </c>
      <c r="DC238" s="1578">
        <f t="shared" si="321"/>
        <v>0</v>
      </c>
      <c r="DD238" s="1578">
        <f t="shared" si="321"/>
        <v>0</v>
      </c>
      <c r="DE238" s="1578">
        <f t="shared" si="321"/>
        <v>0</v>
      </c>
      <c r="DF238" s="1578">
        <f t="shared" si="322"/>
        <v>0</v>
      </c>
      <c r="DG238" s="1538"/>
      <c r="DH238" s="1538"/>
      <c r="DI238" s="1422"/>
      <c r="DJ238" s="1753" t="s">
        <v>1834</v>
      </c>
      <c r="DK238" s="1828">
        <v>2.5</v>
      </c>
      <c r="DL238" s="1428"/>
      <c r="DM238" s="1428"/>
      <c r="DN238" s="1753" t="s">
        <v>1790</v>
      </c>
      <c r="DO238" s="1828" t="s">
        <v>1791</v>
      </c>
      <c r="DP238" s="1428"/>
      <c r="DQ238" s="1422"/>
      <c r="DR238" s="1428"/>
      <c r="DS238" s="1428"/>
      <c r="DT238" s="1428"/>
      <c r="DU238" s="1428"/>
      <c r="DV238" s="1428"/>
      <c r="DW238" s="1428"/>
      <c r="DX238" s="1428"/>
      <c r="DY238" s="1428"/>
      <c r="DZ238" s="1428"/>
      <c r="EA238" s="1428"/>
      <c r="EB238" s="1428"/>
      <c r="EC238" s="1428"/>
      <c r="ED238" s="1428"/>
      <c r="EE238" s="1428"/>
      <c r="EF238" s="1428"/>
      <c r="EG238" s="1428"/>
      <c r="EH238" s="1428"/>
      <c r="EI238" s="1428"/>
      <c r="EJ238" s="1428"/>
      <c r="EK238" s="1428"/>
      <c r="EL238" s="1428"/>
      <c r="EM238" s="1428"/>
      <c r="EN238" s="1428"/>
      <c r="EO238" s="1428"/>
      <c r="EP238" s="1428"/>
      <c r="EQ238" s="1428"/>
      <c r="ER238" s="1428"/>
      <c r="ES238" s="1428"/>
      <c r="ET238" s="1428"/>
      <c r="EU238" s="1428"/>
    </row>
    <row r="239" spans="1:151" s="1440" customFormat="1" ht="30" customHeight="1">
      <c r="A239" s="1455"/>
      <c r="B239" s="2494" t="s">
        <v>1810</v>
      </c>
      <c r="C239" s="2495"/>
      <c r="D239" s="1815"/>
      <c r="J239" s="1816"/>
      <c r="K239" s="1720"/>
      <c r="L239" s="1720"/>
      <c r="M239" s="1720"/>
      <c r="N239" s="1430" t="s">
        <v>1838</v>
      </c>
      <c r="O239" s="1430" t="b">
        <f>D224="Yes"</f>
        <v>0</v>
      </c>
      <c r="P239" s="1430"/>
      <c r="Q239" s="1430"/>
      <c r="R239" s="1430"/>
      <c r="S239" s="1430"/>
      <c r="T239" s="1430"/>
      <c r="U239" s="1430"/>
      <c r="V239" s="1430"/>
      <c r="W239" s="1430" t="s">
        <v>1820</v>
      </c>
      <c r="X239" s="1476" t="b">
        <f>$D$238=W239</f>
        <v>0</v>
      </c>
      <c r="Y239" s="1430" t="s">
        <v>1820</v>
      </c>
      <c r="Z239" s="1476" t="b">
        <f>$D$236=Y239</f>
        <v>0</v>
      </c>
      <c r="AA239" s="1430"/>
      <c r="AB239" s="1430"/>
      <c r="AC239" s="1430"/>
      <c r="AD239" s="1430"/>
      <c r="AE239" s="1430"/>
      <c r="AF239" s="1430"/>
      <c r="AG239" s="1430"/>
      <c r="AH239" s="1430"/>
      <c r="AI239" s="1430"/>
      <c r="AJ239" s="1430"/>
      <c r="AK239" s="1430"/>
      <c r="AL239" s="1430"/>
      <c r="AM239" s="1430"/>
      <c r="AN239" s="1430"/>
      <c r="AO239" s="1430"/>
      <c r="AP239" s="1430"/>
      <c r="AQ239" s="1704"/>
      <c r="AR239" s="1430"/>
      <c r="AS239" s="1430"/>
      <c r="AT239" s="1430"/>
      <c r="AU239" s="1430"/>
      <c r="AV239" s="1430"/>
      <c r="AW239" s="1430"/>
      <c r="AX239" s="1430"/>
      <c r="AY239" s="1430"/>
      <c r="AZ239" s="1430"/>
      <c r="BA239" s="1430"/>
      <c r="BB239" s="1430"/>
      <c r="BC239" s="1430"/>
      <c r="BD239" s="1422"/>
      <c r="BE239" s="1571" t="s">
        <v>1215</v>
      </c>
      <c r="BF239" s="1436">
        <v>22</v>
      </c>
      <c r="BG239" s="1436">
        <v>8</v>
      </c>
      <c r="BH239" s="1436">
        <v>7</v>
      </c>
      <c r="BI239" s="1495" t="b">
        <f t="shared" si="318"/>
        <v>0</v>
      </c>
      <c r="BJ239" s="1450" t="b">
        <f t="shared" si="339"/>
        <v>0</v>
      </c>
      <c r="BK239" s="1572">
        <f t="shared" si="340"/>
        <v>0</v>
      </c>
      <c r="BL239" s="1581">
        <f>IF(SUM(BL$232:BL238,BK239)&gt;$BQ$4,0,BK239)</f>
        <v>0</v>
      </c>
      <c r="BM239" s="1436">
        <f t="shared" si="303"/>
        <v>0</v>
      </c>
      <c r="BN239" s="1495">
        <f t="shared" si="304"/>
        <v>0</v>
      </c>
      <c r="BO239" s="1437">
        <f t="shared" si="324"/>
        <v>0</v>
      </c>
      <c r="BP239" s="1762">
        <f t="shared" si="341"/>
        <v>0</v>
      </c>
      <c r="BQ239" s="1577">
        <f t="shared" si="342"/>
        <v>0</v>
      </c>
      <c r="BR239" s="1576">
        <f t="shared" si="305"/>
        <v>0</v>
      </c>
      <c r="BS239" s="1574">
        <f t="shared" si="343"/>
        <v>0</v>
      </c>
      <c r="BT239" s="1577">
        <f t="shared" si="344"/>
        <v>0</v>
      </c>
      <c r="BU239" s="1576">
        <f t="shared" si="306"/>
        <v>0</v>
      </c>
      <c r="BV239" s="1574">
        <f t="shared" si="345"/>
        <v>0</v>
      </c>
      <c r="BW239" s="1577">
        <f t="shared" si="346"/>
        <v>0</v>
      </c>
      <c r="BX239" s="1576">
        <f t="shared" si="307"/>
        <v>0</v>
      </c>
      <c r="BY239" s="1574">
        <f t="shared" si="347"/>
        <v>0</v>
      </c>
      <c r="BZ239" s="1577">
        <f t="shared" si="348"/>
        <v>0</v>
      </c>
      <c r="CA239" s="1576">
        <f t="shared" si="308"/>
        <v>0</v>
      </c>
      <c r="CB239" s="1495">
        <f t="shared" si="349"/>
        <v>0</v>
      </c>
      <c r="CC239" s="1577">
        <f t="shared" si="350"/>
        <v>0</v>
      </c>
      <c r="CD239" s="1576">
        <f t="shared" si="309"/>
        <v>0</v>
      </c>
      <c r="CE239" s="1495">
        <f t="shared" si="351"/>
        <v>0</v>
      </c>
      <c r="CF239" s="1577">
        <f t="shared" si="352"/>
        <v>0</v>
      </c>
      <c r="CG239" s="1576">
        <f t="shared" si="310"/>
        <v>0</v>
      </c>
      <c r="CH239" s="1495">
        <f t="shared" si="353"/>
        <v>0</v>
      </c>
      <c r="CI239" s="1577">
        <f t="shared" si="354"/>
        <v>0</v>
      </c>
      <c r="CJ239" s="1576">
        <f t="shared" si="311"/>
        <v>0</v>
      </c>
      <c r="CK239" s="1495">
        <f t="shared" si="355"/>
        <v>0</v>
      </c>
      <c r="CL239" s="1577">
        <f t="shared" si="356"/>
        <v>0</v>
      </c>
      <c r="CM239" s="1576">
        <f t="shared" si="312"/>
        <v>0</v>
      </c>
      <c r="CN239" s="1495">
        <f t="shared" si="357"/>
        <v>0</v>
      </c>
      <c r="CO239" s="1577">
        <f t="shared" si="358"/>
        <v>0</v>
      </c>
      <c r="CP239" s="1576">
        <f t="shared" si="313"/>
        <v>0</v>
      </c>
      <c r="CQ239" s="1495">
        <f t="shared" si="359"/>
        <v>0</v>
      </c>
      <c r="CR239" s="1577">
        <f t="shared" si="360"/>
        <v>0</v>
      </c>
      <c r="CS239" s="1576">
        <f t="shared" si="314"/>
        <v>0</v>
      </c>
      <c r="CT239" s="1495">
        <f t="shared" si="361"/>
        <v>0</v>
      </c>
      <c r="CU239" s="1577">
        <f t="shared" si="362"/>
        <v>0</v>
      </c>
      <c r="CV239" s="1576">
        <f t="shared" si="315"/>
        <v>0</v>
      </c>
      <c r="CW239" s="1495">
        <f t="shared" si="363"/>
        <v>0</v>
      </c>
      <c r="CX239" s="1577">
        <f t="shared" si="364"/>
        <v>0</v>
      </c>
      <c r="CY239" s="1576">
        <f t="shared" si="316"/>
        <v>0</v>
      </c>
      <c r="CZ239" s="1574">
        <f t="shared" si="317"/>
        <v>0</v>
      </c>
      <c r="DA239" s="1578">
        <f t="shared" si="319"/>
        <v>0</v>
      </c>
      <c r="DB239" s="1579">
        <f t="shared" si="320"/>
        <v>0</v>
      </c>
      <c r="DC239" s="1578">
        <f t="shared" si="321"/>
        <v>0</v>
      </c>
      <c r="DD239" s="1578">
        <f t="shared" si="321"/>
        <v>0</v>
      </c>
      <c r="DE239" s="1578">
        <f t="shared" si="321"/>
        <v>0</v>
      </c>
      <c r="DF239" s="1578">
        <f t="shared" si="322"/>
        <v>0</v>
      </c>
      <c r="DG239" s="1538"/>
      <c r="DH239" s="1538"/>
      <c r="DI239" s="1422"/>
      <c r="DJ239" s="1753" t="s">
        <v>1835</v>
      </c>
      <c r="DK239" s="1773">
        <v>1.5</v>
      </c>
      <c r="DL239" s="1428"/>
      <c r="DM239" s="1428"/>
      <c r="DN239" s="1753" t="s">
        <v>1653</v>
      </c>
      <c r="DO239" s="1776" t="s">
        <v>1789</v>
      </c>
      <c r="DP239" s="1428"/>
      <c r="DQ239" s="1422"/>
      <c r="DR239" s="1428"/>
      <c r="DS239" s="1428"/>
      <c r="DT239" s="1428"/>
      <c r="DU239" s="1428"/>
      <c r="DV239" s="1428"/>
      <c r="DW239" s="1428"/>
      <c r="DX239" s="1428"/>
      <c r="DY239" s="1428"/>
      <c r="DZ239" s="1428"/>
      <c r="EA239" s="1428"/>
      <c r="EB239" s="1428"/>
      <c r="EC239" s="1428"/>
      <c r="ED239" s="1428"/>
      <c r="EE239" s="1428"/>
      <c r="EF239" s="1428"/>
      <c r="EG239" s="1428"/>
      <c r="EH239" s="1428"/>
      <c r="EI239" s="1428"/>
      <c r="EJ239" s="1428"/>
      <c r="EK239" s="1428"/>
      <c r="EL239" s="1428"/>
      <c r="EM239" s="1428"/>
      <c r="EN239" s="1428"/>
      <c r="EO239" s="1428"/>
      <c r="EP239" s="1428"/>
      <c r="EQ239" s="1428"/>
      <c r="ER239" s="1428"/>
      <c r="ES239" s="1428"/>
      <c r="ET239" s="1428"/>
      <c r="EU239" s="1428"/>
    </row>
    <row r="240" spans="1:151" s="1440" customFormat="1" ht="15" customHeight="1">
      <c r="A240" s="1455"/>
      <c r="B240" s="2494" t="s">
        <v>1816</v>
      </c>
      <c r="C240" s="2495"/>
      <c r="D240" s="1637"/>
      <c r="J240" s="1816"/>
      <c r="K240" s="1720"/>
      <c r="L240" s="1720"/>
      <c r="M240" s="1720"/>
      <c r="N240" s="1430" t="s">
        <v>1802</v>
      </c>
      <c r="O240" s="1430" t="b">
        <f>$D$230=N240</f>
        <v>0</v>
      </c>
      <c r="P240" s="1430"/>
      <c r="Q240" s="1430"/>
      <c r="R240" s="1430"/>
      <c r="S240" s="1430"/>
      <c r="T240" s="1430"/>
      <c r="U240" s="1430"/>
      <c r="V240" s="1430"/>
      <c r="W240" s="1430" t="s">
        <v>1805</v>
      </c>
      <c r="X240" s="1476" t="b">
        <f>$D$238=W240</f>
        <v>0</v>
      </c>
      <c r="Y240" s="1430" t="s">
        <v>1805</v>
      </c>
      <c r="Z240" s="1476" t="b">
        <f>$D$236=Y240</f>
        <v>0</v>
      </c>
      <c r="AA240" s="1430"/>
      <c r="AB240" s="1430"/>
      <c r="AC240" s="1430"/>
      <c r="AD240" s="1430"/>
      <c r="AE240" s="1430"/>
      <c r="AF240" s="1430"/>
      <c r="AG240" s="1430"/>
      <c r="AH240" s="1430"/>
      <c r="AI240" s="1430"/>
      <c r="AJ240" s="1430"/>
      <c r="AK240" s="1430"/>
      <c r="AL240" s="1430"/>
      <c r="AM240" s="1430"/>
      <c r="AN240" s="1430"/>
      <c r="AO240" s="1430"/>
      <c r="AP240" s="1430"/>
      <c r="AQ240" s="1704"/>
      <c r="AR240" s="1430"/>
      <c r="AS240" s="1430"/>
      <c r="AT240" s="1430"/>
      <c r="AU240" s="1430"/>
      <c r="AV240" s="1430"/>
      <c r="AW240" s="1430"/>
      <c r="AX240" s="1430"/>
      <c r="AY240" s="1430"/>
      <c r="AZ240" s="1430"/>
      <c r="BA240" s="1430"/>
      <c r="BB240" s="1430"/>
      <c r="BC240" s="1430"/>
      <c r="BD240" s="1422"/>
      <c r="BE240" s="1571" t="s">
        <v>1215</v>
      </c>
      <c r="BF240" s="1436">
        <v>22</v>
      </c>
      <c r="BG240" s="1436">
        <v>9</v>
      </c>
      <c r="BH240" s="1436">
        <v>1</v>
      </c>
      <c r="BI240" s="1495" t="b">
        <f t="shared" si="318"/>
        <v>1</v>
      </c>
      <c r="BJ240" s="1450" t="b">
        <f t="shared" si="339"/>
        <v>0</v>
      </c>
      <c r="BK240" s="1572">
        <f t="shared" si="340"/>
        <v>0</v>
      </c>
      <c r="BL240" s="1581">
        <f>IF(SUM(BL$232:BL239,BK240)&gt;$BQ$4,0,BK240)</f>
        <v>0</v>
      </c>
      <c r="BM240" s="1436">
        <f t="shared" si="303"/>
        <v>0</v>
      </c>
      <c r="BN240" s="1495">
        <f t="shared" si="304"/>
        <v>0</v>
      </c>
      <c r="BO240" s="1437">
        <f t="shared" si="324"/>
        <v>0</v>
      </c>
      <c r="BP240" s="1762">
        <f t="shared" si="341"/>
        <v>0</v>
      </c>
      <c r="BQ240" s="1577">
        <f t="shared" si="342"/>
        <v>0</v>
      </c>
      <c r="BR240" s="1576">
        <f t="shared" si="305"/>
        <v>0</v>
      </c>
      <c r="BS240" s="1574">
        <f t="shared" si="343"/>
        <v>0</v>
      </c>
      <c r="BT240" s="1577">
        <f t="shared" si="344"/>
        <v>0</v>
      </c>
      <c r="BU240" s="1576">
        <f t="shared" si="306"/>
        <v>0</v>
      </c>
      <c r="BV240" s="1574">
        <f t="shared" si="345"/>
        <v>0</v>
      </c>
      <c r="BW240" s="1577">
        <f t="shared" si="346"/>
        <v>0</v>
      </c>
      <c r="BX240" s="1576">
        <f t="shared" si="307"/>
        <v>0</v>
      </c>
      <c r="BY240" s="1574">
        <f t="shared" si="347"/>
        <v>0</v>
      </c>
      <c r="BZ240" s="1577">
        <f t="shared" si="348"/>
        <v>0</v>
      </c>
      <c r="CA240" s="1576">
        <f t="shared" si="308"/>
        <v>0</v>
      </c>
      <c r="CB240" s="1495">
        <f t="shared" si="349"/>
        <v>0</v>
      </c>
      <c r="CC240" s="1577">
        <f t="shared" si="350"/>
        <v>0</v>
      </c>
      <c r="CD240" s="1576">
        <f t="shared" si="309"/>
        <v>0</v>
      </c>
      <c r="CE240" s="1495">
        <f t="shared" si="351"/>
        <v>0</v>
      </c>
      <c r="CF240" s="1577">
        <f t="shared" si="352"/>
        <v>0</v>
      </c>
      <c r="CG240" s="1576">
        <f t="shared" si="310"/>
        <v>0</v>
      </c>
      <c r="CH240" s="1495">
        <f t="shared" si="353"/>
        <v>0</v>
      </c>
      <c r="CI240" s="1577">
        <f t="shared" si="354"/>
        <v>0</v>
      </c>
      <c r="CJ240" s="1576">
        <f t="shared" si="311"/>
        <v>0</v>
      </c>
      <c r="CK240" s="1495">
        <f t="shared" si="355"/>
        <v>0</v>
      </c>
      <c r="CL240" s="1577">
        <f t="shared" si="356"/>
        <v>0</v>
      </c>
      <c r="CM240" s="1576">
        <f t="shared" si="312"/>
        <v>0</v>
      </c>
      <c r="CN240" s="1495">
        <f t="shared" si="357"/>
        <v>0</v>
      </c>
      <c r="CO240" s="1577">
        <f t="shared" si="358"/>
        <v>0</v>
      </c>
      <c r="CP240" s="1576">
        <f t="shared" si="313"/>
        <v>0</v>
      </c>
      <c r="CQ240" s="1495">
        <f t="shared" si="359"/>
        <v>0</v>
      </c>
      <c r="CR240" s="1577">
        <f t="shared" si="360"/>
        <v>0</v>
      </c>
      <c r="CS240" s="1576">
        <f t="shared" si="314"/>
        <v>0</v>
      </c>
      <c r="CT240" s="1495">
        <f t="shared" si="361"/>
        <v>0</v>
      </c>
      <c r="CU240" s="1577">
        <f t="shared" si="362"/>
        <v>0</v>
      </c>
      <c r="CV240" s="1576">
        <f t="shared" si="315"/>
        <v>0</v>
      </c>
      <c r="CW240" s="1495">
        <f t="shared" si="363"/>
        <v>0</v>
      </c>
      <c r="CX240" s="1577">
        <f t="shared" si="364"/>
        <v>0</v>
      </c>
      <c r="CY240" s="1576">
        <f t="shared" si="316"/>
        <v>0</v>
      </c>
      <c r="CZ240" s="1574">
        <f t="shared" si="317"/>
        <v>0</v>
      </c>
      <c r="DA240" s="1578">
        <f t="shared" si="319"/>
        <v>0</v>
      </c>
      <c r="DB240" s="1579">
        <f t="shared" si="320"/>
        <v>0</v>
      </c>
      <c r="DC240" s="1578">
        <f t="shared" si="321"/>
        <v>0</v>
      </c>
      <c r="DD240" s="1578">
        <f t="shared" si="321"/>
        <v>0</v>
      </c>
      <c r="DE240" s="1578">
        <f t="shared" si="321"/>
        <v>0</v>
      </c>
      <c r="DF240" s="1578">
        <f t="shared" si="322"/>
        <v>0</v>
      </c>
      <c r="DG240" s="1538"/>
      <c r="DH240" s="1538"/>
      <c r="DI240" s="1422"/>
      <c r="DJ240" s="1705"/>
      <c r="DK240" s="1705"/>
      <c r="DL240" s="1428"/>
      <c r="DM240" s="1428"/>
      <c r="DN240" s="1753" t="s">
        <v>1799</v>
      </c>
      <c r="DO240" s="1817">
        <f>D226/5/60*1000</f>
        <v>0</v>
      </c>
      <c r="DP240" s="1428" t="s">
        <v>1800</v>
      </c>
      <c r="DQ240" s="1422"/>
      <c r="DR240" s="1428"/>
      <c r="DS240" s="1428"/>
      <c r="DT240" s="1428"/>
      <c r="DU240" s="1428"/>
      <c r="DV240" s="1428"/>
      <c r="DW240" s="1428"/>
      <c r="DX240" s="1428"/>
      <c r="DY240" s="1428"/>
      <c r="DZ240" s="1428"/>
      <c r="EA240" s="1428"/>
      <c r="EB240" s="1428"/>
      <c r="EC240" s="1428"/>
      <c r="ED240" s="1428"/>
      <c r="EE240" s="1428"/>
      <c r="EF240" s="1428"/>
      <c r="EG240" s="1428"/>
      <c r="EH240" s="1428"/>
      <c r="EI240" s="1428"/>
      <c r="EJ240" s="1428"/>
      <c r="EK240" s="1428"/>
      <c r="EL240" s="1428"/>
      <c r="EM240" s="1428"/>
      <c r="EN240" s="1428"/>
      <c r="EO240" s="1428"/>
      <c r="EP240" s="1428"/>
      <c r="EQ240" s="1428"/>
      <c r="ER240" s="1428"/>
      <c r="ES240" s="1428"/>
      <c r="ET240" s="1428"/>
      <c r="EU240" s="1428"/>
    </row>
    <row r="241" spans="1:151" s="1440" customFormat="1" ht="15" customHeight="1">
      <c r="A241" s="1455"/>
      <c r="B241" s="1829"/>
      <c r="C241" s="1799"/>
      <c r="D241" s="1422"/>
      <c r="J241" s="1816"/>
      <c r="K241" s="1720"/>
      <c r="L241" s="1720"/>
      <c r="M241" s="1720"/>
      <c r="N241" s="1430" t="s">
        <v>1841</v>
      </c>
      <c r="O241" s="1430" t="b">
        <f>$D$230=N241</f>
        <v>0</v>
      </c>
      <c r="P241" s="1430"/>
      <c r="Q241" s="1430"/>
      <c r="R241" s="1430"/>
      <c r="S241" s="1430"/>
      <c r="T241" s="1430"/>
      <c r="U241" s="1430"/>
      <c r="V241" s="1430"/>
      <c r="W241" s="1430" t="s">
        <v>1811</v>
      </c>
      <c r="X241" s="1476" t="b">
        <f>$D$239=W241</f>
        <v>0</v>
      </c>
      <c r="Y241" s="1430"/>
      <c r="Z241" s="1430"/>
      <c r="AA241" s="1430"/>
      <c r="AB241" s="1430"/>
      <c r="AC241" s="1430"/>
      <c r="AD241" s="1430"/>
      <c r="AE241" s="1430"/>
      <c r="AF241" s="1430"/>
      <c r="AG241" s="1430"/>
      <c r="AH241" s="1430"/>
      <c r="AI241" s="1430"/>
      <c r="AJ241" s="1430"/>
      <c r="AK241" s="1430"/>
      <c r="AL241" s="1430"/>
      <c r="AM241" s="1430"/>
      <c r="AN241" s="1430"/>
      <c r="AO241" s="1430"/>
      <c r="AP241" s="1430"/>
      <c r="AQ241" s="1704"/>
      <c r="AR241" s="1430"/>
      <c r="AS241" s="1430"/>
      <c r="AT241" s="1430"/>
      <c r="AU241" s="1430"/>
      <c r="AV241" s="1430"/>
      <c r="AW241" s="1430"/>
      <c r="AX241" s="1430"/>
      <c r="AY241" s="1430"/>
      <c r="AZ241" s="1430"/>
      <c r="BA241" s="1430"/>
      <c r="BB241" s="1430"/>
      <c r="BC241" s="1430"/>
      <c r="BD241" s="1422"/>
      <c r="BE241" s="1571" t="s">
        <v>1215</v>
      </c>
      <c r="BF241" s="1436">
        <v>22</v>
      </c>
      <c r="BG241" s="1436">
        <v>10</v>
      </c>
      <c r="BH241" s="1436">
        <v>2</v>
      </c>
      <c r="BI241" s="1495" t="b">
        <f t="shared" si="318"/>
        <v>1</v>
      </c>
      <c r="BJ241" s="1450" t="b">
        <f t="shared" si="339"/>
        <v>0</v>
      </c>
      <c r="BK241" s="1572">
        <f t="shared" si="340"/>
        <v>0</v>
      </c>
      <c r="BL241" s="1581">
        <f>IF(SUM(BL$232:BL240,BK241)&gt;$BQ$4,0,BK241)</f>
        <v>0</v>
      </c>
      <c r="BM241" s="1436">
        <f t="shared" si="303"/>
        <v>0</v>
      </c>
      <c r="BN241" s="1495">
        <f t="shared" si="304"/>
        <v>0</v>
      </c>
      <c r="BO241" s="1437">
        <f t="shared" si="324"/>
        <v>0</v>
      </c>
      <c r="BP241" s="1762">
        <f t="shared" si="341"/>
        <v>0</v>
      </c>
      <c r="BQ241" s="1577">
        <f t="shared" si="342"/>
        <v>0</v>
      </c>
      <c r="BR241" s="1576">
        <f t="shared" si="305"/>
        <v>0</v>
      </c>
      <c r="BS241" s="1574">
        <f t="shared" si="343"/>
        <v>0</v>
      </c>
      <c r="BT241" s="1577">
        <f t="shared" si="344"/>
        <v>0</v>
      </c>
      <c r="BU241" s="1576">
        <f t="shared" si="306"/>
        <v>0</v>
      </c>
      <c r="BV241" s="1574">
        <f t="shared" si="345"/>
        <v>0</v>
      </c>
      <c r="BW241" s="1577">
        <f t="shared" si="346"/>
        <v>0</v>
      </c>
      <c r="BX241" s="1576">
        <f t="shared" si="307"/>
        <v>0</v>
      </c>
      <c r="BY241" s="1574">
        <f t="shared" si="347"/>
        <v>0</v>
      </c>
      <c r="BZ241" s="1577">
        <f t="shared" si="348"/>
        <v>0</v>
      </c>
      <c r="CA241" s="1576">
        <f t="shared" si="308"/>
        <v>0</v>
      </c>
      <c r="CB241" s="1495">
        <f t="shared" si="349"/>
        <v>0</v>
      </c>
      <c r="CC241" s="1577">
        <f t="shared" si="350"/>
        <v>0</v>
      </c>
      <c r="CD241" s="1576">
        <f t="shared" si="309"/>
        <v>0</v>
      </c>
      <c r="CE241" s="1495">
        <f t="shared" si="351"/>
        <v>0</v>
      </c>
      <c r="CF241" s="1577">
        <f t="shared" si="352"/>
        <v>0</v>
      </c>
      <c r="CG241" s="1576">
        <f t="shared" si="310"/>
        <v>0</v>
      </c>
      <c r="CH241" s="1495">
        <f t="shared" si="353"/>
        <v>0</v>
      </c>
      <c r="CI241" s="1577">
        <f t="shared" si="354"/>
        <v>0</v>
      </c>
      <c r="CJ241" s="1576">
        <f t="shared" si="311"/>
        <v>0</v>
      </c>
      <c r="CK241" s="1495">
        <f t="shared" si="355"/>
        <v>0</v>
      </c>
      <c r="CL241" s="1577">
        <f t="shared" si="356"/>
        <v>0</v>
      </c>
      <c r="CM241" s="1576">
        <f t="shared" si="312"/>
        <v>0</v>
      </c>
      <c r="CN241" s="1495">
        <f t="shared" si="357"/>
        <v>0</v>
      </c>
      <c r="CO241" s="1577">
        <f t="shared" si="358"/>
        <v>0</v>
      </c>
      <c r="CP241" s="1576">
        <f t="shared" si="313"/>
        <v>0</v>
      </c>
      <c r="CQ241" s="1495">
        <f t="shared" si="359"/>
        <v>0</v>
      </c>
      <c r="CR241" s="1577">
        <f t="shared" si="360"/>
        <v>0</v>
      </c>
      <c r="CS241" s="1576">
        <f t="shared" si="314"/>
        <v>0</v>
      </c>
      <c r="CT241" s="1495">
        <f t="shared" si="361"/>
        <v>0</v>
      </c>
      <c r="CU241" s="1577">
        <f t="shared" si="362"/>
        <v>0</v>
      </c>
      <c r="CV241" s="1576">
        <f t="shared" si="315"/>
        <v>0</v>
      </c>
      <c r="CW241" s="1495">
        <f t="shared" si="363"/>
        <v>0</v>
      </c>
      <c r="CX241" s="1577">
        <f t="shared" si="364"/>
        <v>0</v>
      </c>
      <c r="CY241" s="1576">
        <f t="shared" si="316"/>
        <v>0</v>
      </c>
      <c r="CZ241" s="1574">
        <f t="shared" si="317"/>
        <v>0</v>
      </c>
      <c r="DA241" s="1578">
        <f t="shared" si="319"/>
        <v>0</v>
      </c>
      <c r="DB241" s="1579">
        <f t="shared" si="320"/>
        <v>0</v>
      </c>
      <c r="DC241" s="1578">
        <f t="shared" si="321"/>
        <v>0</v>
      </c>
      <c r="DD241" s="1578">
        <f t="shared" si="321"/>
        <v>0</v>
      </c>
      <c r="DE241" s="1578">
        <f t="shared" si="321"/>
        <v>0</v>
      </c>
      <c r="DF241" s="1578">
        <f t="shared" si="322"/>
        <v>0</v>
      </c>
      <c r="DG241" s="1538"/>
      <c r="DH241" s="1538"/>
      <c r="DI241" s="1422"/>
      <c r="DJ241" s="2486" t="s">
        <v>1836</v>
      </c>
      <c r="DK241" s="2487"/>
      <c r="DL241" s="1826" t="s">
        <v>1837</v>
      </c>
      <c r="DM241" s="1428"/>
      <c r="DN241" s="1753" t="s">
        <v>1808</v>
      </c>
      <c r="DO241" s="1776">
        <v>2.5</v>
      </c>
      <c r="DP241" s="1428"/>
      <c r="DQ241" s="1422"/>
      <c r="DR241" s="1428"/>
      <c r="DS241" s="1428"/>
      <c r="DT241" s="1428"/>
      <c r="DU241" s="1428"/>
      <c r="DV241" s="1428"/>
      <c r="DW241" s="1428"/>
      <c r="DX241" s="1428"/>
      <c r="DY241" s="1428"/>
      <c r="DZ241" s="1428"/>
      <c r="EA241" s="1428"/>
      <c r="EB241" s="1428"/>
      <c r="EC241" s="1428"/>
      <c r="ED241" s="1428"/>
      <c r="EE241" s="1428"/>
      <c r="EF241" s="1428"/>
      <c r="EG241" s="1428"/>
      <c r="EH241" s="1428"/>
      <c r="EI241" s="1428"/>
      <c r="EJ241" s="1428"/>
      <c r="EK241" s="1428"/>
      <c r="EL241" s="1428"/>
      <c r="EM241" s="1428"/>
      <c r="EN241" s="1428"/>
      <c r="EO241" s="1428"/>
      <c r="EP241" s="1428"/>
      <c r="EQ241" s="1428"/>
      <c r="ER241" s="1428"/>
      <c r="ES241" s="1428"/>
      <c r="ET241" s="1428"/>
      <c r="EU241" s="1428"/>
    </row>
    <row r="242" spans="1:151" s="1440" customFormat="1" ht="15" customHeight="1">
      <c r="A242" s="1455"/>
      <c r="B242" s="1829"/>
      <c r="D242" s="1700" t="s">
        <v>1822</v>
      </c>
      <c r="E242" s="1736" t="s">
        <v>1823</v>
      </c>
      <c r="J242" s="1816"/>
      <c r="K242" s="1720"/>
      <c r="L242" s="1720"/>
      <c r="M242" s="1720"/>
      <c r="N242" s="1430" t="s">
        <v>1842</v>
      </c>
      <c r="O242" s="1430" t="b">
        <f>$D$230=N242</f>
        <v>0</v>
      </c>
      <c r="P242" s="1430"/>
      <c r="Q242" s="1430"/>
      <c r="R242" s="1430"/>
      <c r="S242" s="1430"/>
      <c r="T242" s="1430"/>
      <c r="U242" s="1430"/>
      <c r="V242" s="1430"/>
      <c r="W242" s="1430" t="s">
        <v>1826</v>
      </c>
      <c r="X242" s="1476" t="b">
        <f>$D$239=W242</f>
        <v>0</v>
      </c>
      <c r="Y242" s="1430"/>
      <c r="Z242" s="1430"/>
      <c r="AA242" s="1430"/>
      <c r="AB242" s="1430"/>
      <c r="AC242" s="1430"/>
      <c r="AD242" s="1430"/>
      <c r="AE242" s="1430"/>
      <c r="AF242" s="1430"/>
      <c r="AG242" s="1430"/>
      <c r="AH242" s="1430"/>
      <c r="AI242" s="1430"/>
      <c r="AJ242" s="1430"/>
      <c r="AK242" s="1430"/>
      <c r="AL242" s="1430"/>
      <c r="AM242" s="1430"/>
      <c r="AN242" s="1430"/>
      <c r="AO242" s="1430"/>
      <c r="AP242" s="1430"/>
      <c r="AQ242" s="1704"/>
      <c r="AR242" s="1430"/>
      <c r="AS242" s="1430"/>
      <c r="AT242" s="1430"/>
      <c r="AU242" s="1430"/>
      <c r="AV242" s="1430"/>
      <c r="AW242" s="1430"/>
      <c r="AX242" s="1430"/>
      <c r="AY242" s="1430"/>
      <c r="AZ242" s="1430"/>
      <c r="BA242" s="1430"/>
      <c r="BB242" s="1430"/>
      <c r="BC242" s="1430"/>
      <c r="BD242" s="1422"/>
      <c r="BE242" s="1571" t="s">
        <v>1215</v>
      </c>
      <c r="BF242" s="1436">
        <v>22</v>
      </c>
      <c r="BG242" s="1436">
        <v>11</v>
      </c>
      <c r="BH242" s="1436">
        <v>3</v>
      </c>
      <c r="BI242" s="1495" t="b">
        <f t="shared" si="318"/>
        <v>1</v>
      </c>
      <c r="BJ242" s="1450" t="b">
        <f t="shared" si="339"/>
        <v>0</v>
      </c>
      <c r="BK242" s="1572">
        <f t="shared" si="340"/>
        <v>0</v>
      </c>
      <c r="BL242" s="1581">
        <f>IF(SUM(BL$232:BL241,BK242)&gt;$BQ$4,0,BK242)</f>
        <v>0</v>
      </c>
      <c r="BM242" s="1436">
        <f t="shared" si="303"/>
        <v>0</v>
      </c>
      <c r="BN242" s="1495">
        <f t="shared" si="304"/>
        <v>0</v>
      </c>
      <c r="BO242" s="1437">
        <f t="shared" si="324"/>
        <v>0</v>
      </c>
      <c r="BP242" s="1762">
        <f t="shared" si="341"/>
        <v>0</v>
      </c>
      <c r="BQ242" s="1577">
        <f t="shared" si="342"/>
        <v>0</v>
      </c>
      <c r="BR242" s="1576">
        <f t="shared" si="305"/>
        <v>0</v>
      </c>
      <c r="BS242" s="1574">
        <f t="shared" si="343"/>
        <v>0</v>
      </c>
      <c r="BT242" s="1577">
        <f t="shared" si="344"/>
        <v>0</v>
      </c>
      <c r="BU242" s="1576">
        <f t="shared" si="306"/>
        <v>0</v>
      </c>
      <c r="BV242" s="1574">
        <f t="shared" si="345"/>
        <v>0</v>
      </c>
      <c r="BW242" s="1577">
        <f t="shared" si="346"/>
        <v>0</v>
      </c>
      <c r="BX242" s="1576">
        <f t="shared" si="307"/>
        <v>0</v>
      </c>
      <c r="BY242" s="1574">
        <f t="shared" si="347"/>
        <v>0</v>
      </c>
      <c r="BZ242" s="1577">
        <f t="shared" si="348"/>
        <v>0</v>
      </c>
      <c r="CA242" s="1576">
        <f t="shared" si="308"/>
        <v>0</v>
      </c>
      <c r="CB242" s="1495">
        <f t="shared" si="349"/>
        <v>0</v>
      </c>
      <c r="CC242" s="1577">
        <f t="shared" si="350"/>
        <v>0</v>
      </c>
      <c r="CD242" s="1576">
        <f t="shared" si="309"/>
        <v>0</v>
      </c>
      <c r="CE242" s="1495">
        <f t="shared" si="351"/>
        <v>0</v>
      </c>
      <c r="CF242" s="1577">
        <f t="shared" si="352"/>
        <v>0</v>
      </c>
      <c r="CG242" s="1576">
        <f t="shared" si="310"/>
        <v>0</v>
      </c>
      <c r="CH242" s="1495">
        <f t="shared" si="353"/>
        <v>0</v>
      </c>
      <c r="CI242" s="1577">
        <f t="shared" si="354"/>
        <v>0</v>
      </c>
      <c r="CJ242" s="1576">
        <f t="shared" si="311"/>
        <v>0</v>
      </c>
      <c r="CK242" s="1495">
        <f t="shared" si="355"/>
        <v>0</v>
      </c>
      <c r="CL242" s="1577">
        <f t="shared" si="356"/>
        <v>0</v>
      </c>
      <c r="CM242" s="1576">
        <f t="shared" si="312"/>
        <v>0</v>
      </c>
      <c r="CN242" s="1495">
        <f t="shared" si="357"/>
        <v>0</v>
      </c>
      <c r="CO242" s="1577">
        <f t="shared" si="358"/>
        <v>0</v>
      </c>
      <c r="CP242" s="1576">
        <f t="shared" si="313"/>
        <v>0</v>
      </c>
      <c r="CQ242" s="1495">
        <f t="shared" si="359"/>
        <v>0</v>
      </c>
      <c r="CR242" s="1577">
        <f t="shared" si="360"/>
        <v>0</v>
      </c>
      <c r="CS242" s="1576">
        <f t="shared" si="314"/>
        <v>0</v>
      </c>
      <c r="CT242" s="1495">
        <f t="shared" si="361"/>
        <v>0</v>
      </c>
      <c r="CU242" s="1577">
        <f t="shared" si="362"/>
        <v>0</v>
      </c>
      <c r="CV242" s="1576">
        <f t="shared" si="315"/>
        <v>0</v>
      </c>
      <c r="CW242" s="1495">
        <f t="shared" si="363"/>
        <v>0</v>
      </c>
      <c r="CX242" s="1577">
        <f t="shared" si="364"/>
        <v>0</v>
      </c>
      <c r="CY242" s="1576">
        <f t="shared" si="316"/>
        <v>0</v>
      </c>
      <c r="CZ242" s="1574">
        <f t="shared" si="317"/>
        <v>0</v>
      </c>
      <c r="DA242" s="1578">
        <f t="shared" si="319"/>
        <v>0</v>
      </c>
      <c r="DB242" s="1579">
        <f t="shared" si="320"/>
        <v>0</v>
      </c>
      <c r="DC242" s="1578">
        <f t="shared" si="321"/>
        <v>0</v>
      </c>
      <c r="DD242" s="1578">
        <f t="shared" si="321"/>
        <v>0</v>
      </c>
      <c r="DE242" s="1578">
        <f t="shared" si="321"/>
        <v>0</v>
      </c>
      <c r="DF242" s="1578">
        <f>IF(DA242-(DE241+CZ242)&lt;0,0,DA242-(DE241+CZ242))</f>
        <v>0</v>
      </c>
      <c r="DG242" s="1538"/>
      <c r="DH242" s="1538"/>
      <c r="DI242" s="1422"/>
      <c r="DJ242" s="2488" t="s">
        <v>1839</v>
      </c>
      <c r="DK242" s="2489"/>
      <c r="DL242" s="1830">
        <v>100</v>
      </c>
      <c r="DM242" s="1428"/>
      <c r="DN242" s="1753" t="s">
        <v>1813</v>
      </c>
      <c r="DO242" s="1817">
        <f>DN229</f>
        <v>36.5</v>
      </c>
      <c r="DP242" s="1428"/>
      <c r="DQ242" s="1422"/>
      <c r="DR242" s="1428"/>
      <c r="DS242" s="1428"/>
      <c r="DT242" s="1428"/>
      <c r="DU242" s="1428"/>
      <c r="DV242" s="1428"/>
      <c r="DW242" s="1428"/>
      <c r="DX242" s="1428"/>
      <c r="DY242" s="1428"/>
      <c r="DZ242" s="1428"/>
      <c r="EA242" s="1428"/>
      <c r="EB242" s="1428"/>
      <c r="EC242" s="1428"/>
      <c r="ED242" s="1428"/>
      <c r="EE242" s="1428"/>
      <c r="EF242" s="1428"/>
      <c r="EG242" s="1428"/>
      <c r="EH242" s="1428"/>
      <c r="EI242" s="1428"/>
      <c r="EJ242" s="1428"/>
      <c r="EK242" s="1428"/>
      <c r="EL242" s="1428"/>
      <c r="EM242" s="1428"/>
      <c r="EN242" s="1428"/>
      <c r="EO242" s="1428"/>
      <c r="EP242" s="1428"/>
      <c r="EQ242" s="1428"/>
      <c r="ER242" s="1428"/>
      <c r="ES242" s="1428"/>
      <c r="ET242" s="1428"/>
      <c r="EU242" s="1428"/>
    </row>
    <row r="243" spans="1:151" s="1440" customFormat="1" ht="15" customHeight="1">
      <c r="A243" s="1455"/>
      <c r="B243" s="2490" t="s">
        <v>1824</v>
      </c>
      <c r="C243" s="2491"/>
      <c r="D243" s="1601">
        <f>T237</f>
        <v>0</v>
      </c>
      <c r="E243" s="1601">
        <f>DO240*DO241*DO242/1000*O239</f>
        <v>0</v>
      </c>
      <c r="J243" s="1816"/>
      <c r="K243" s="1720"/>
      <c r="L243" s="1720"/>
      <c r="M243" s="1720"/>
      <c r="N243" s="1430" t="s">
        <v>1843</v>
      </c>
      <c r="O243" s="1430" t="b">
        <f>N243=$D$232</f>
        <v>0</v>
      </c>
      <c r="P243" s="1430"/>
      <c r="Q243" s="1430"/>
      <c r="R243" s="1430"/>
      <c r="S243" s="1430"/>
      <c r="T243" s="1430"/>
      <c r="U243" s="1430"/>
      <c r="V243" s="1430"/>
      <c r="W243" s="1430" t="s">
        <v>1840</v>
      </c>
      <c r="X243" s="1476" t="b">
        <f>D240="Yes"</f>
        <v>0</v>
      </c>
      <c r="Y243" s="1430"/>
      <c r="Z243" s="1430"/>
      <c r="AA243" s="1430"/>
      <c r="AB243" s="1430"/>
      <c r="AC243" s="1430"/>
      <c r="AD243" s="1430"/>
      <c r="AE243" s="1430"/>
      <c r="AF243" s="1430"/>
      <c r="AG243" s="1430"/>
      <c r="AH243" s="1430"/>
      <c r="AI243" s="1430"/>
      <c r="AJ243" s="1430"/>
      <c r="AK243" s="1430"/>
      <c r="AL243" s="1430"/>
      <c r="AM243" s="1430"/>
      <c r="AN243" s="1430"/>
      <c r="AO243" s="1430"/>
      <c r="AP243" s="1430"/>
      <c r="AQ243" s="1704"/>
      <c r="AR243" s="1430"/>
      <c r="AS243" s="1430"/>
      <c r="AT243" s="1430"/>
      <c r="AU243" s="1430"/>
      <c r="AV243" s="1430"/>
      <c r="AW243" s="1430"/>
      <c r="AX243" s="1430"/>
      <c r="AY243" s="1430"/>
      <c r="AZ243" s="1430"/>
      <c r="BA243" s="1430"/>
      <c r="BB243" s="1430"/>
      <c r="BC243" s="1430"/>
      <c r="BD243" s="1422"/>
      <c r="BE243" s="1571" t="s">
        <v>1215</v>
      </c>
      <c r="BF243" s="1436">
        <v>22</v>
      </c>
      <c r="BG243" s="1436">
        <v>12</v>
      </c>
      <c r="BH243" s="1436">
        <v>4</v>
      </c>
      <c r="BI243" s="1495" t="b">
        <f t="shared" si="318"/>
        <v>1</v>
      </c>
      <c r="BJ243" s="1450" t="b">
        <f t="shared" si="339"/>
        <v>0</v>
      </c>
      <c r="BK243" s="1572">
        <f t="shared" si="340"/>
        <v>0</v>
      </c>
      <c r="BL243" s="1581">
        <f>IF(SUM(BL$232:BL242,BK243)&gt;$BQ$4,0,BK243)</f>
        <v>0</v>
      </c>
      <c r="BM243" s="1436">
        <f t="shared" si="303"/>
        <v>0</v>
      </c>
      <c r="BN243" s="1495">
        <f t="shared" si="304"/>
        <v>0</v>
      </c>
      <c r="BO243" s="1437">
        <f t="shared" si="324"/>
        <v>0</v>
      </c>
      <c r="BP243" s="1762">
        <f t="shared" si="341"/>
        <v>0</v>
      </c>
      <c r="BQ243" s="1577">
        <f t="shared" si="342"/>
        <v>0</v>
      </c>
      <c r="BR243" s="1576">
        <f t="shared" si="305"/>
        <v>0</v>
      </c>
      <c r="BS243" s="1574">
        <f t="shared" si="343"/>
        <v>0</v>
      </c>
      <c r="BT243" s="1577">
        <f t="shared" si="344"/>
        <v>0</v>
      </c>
      <c r="BU243" s="1576">
        <f t="shared" si="306"/>
        <v>0</v>
      </c>
      <c r="BV243" s="1574">
        <f t="shared" si="345"/>
        <v>0</v>
      </c>
      <c r="BW243" s="1577">
        <f t="shared" si="346"/>
        <v>0</v>
      </c>
      <c r="BX243" s="1576">
        <f t="shared" si="307"/>
        <v>0</v>
      </c>
      <c r="BY243" s="1574">
        <f t="shared" si="347"/>
        <v>0</v>
      </c>
      <c r="BZ243" s="1577">
        <f t="shared" si="348"/>
        <v>0</v>
      </c>
      <c r="CA243" s="1576">
        <f t="shared" si="308"/>
        <v>0</v>
      </c>
      <c r="CB243" s="1495">
        <f t="shared" si="349"/>
        <v>0</v>
      </c>
      <c r="CC243" s="1577">
        <f t="shared" si="350"/>
        <v>0</v>
      </c>
      <c r="CD243" s="1576">
        <f t="shared" si="309"/>
        <v>0</v>
      </c>
      <c r="CE243" s="1495">
        <f t="shared" si="351"/>
        <v>0</v>
      </c>
      <c r="CF243" s="1577">
        <f t="shared" si="352"/>
        <v>0</v>
      </c>
      <c r="CG243" s="1576">
        <f t="shared" si="310"/>
        <v>0</v>
      </c>
      <c r="CH243" s="1495">
        <f t="shared" si="353"/>
        <v>0</v>
      </c>
      <c r="CI243" s="1577">
        <f t="shared" si="354"/>
        <v>0</v>
      </c>
      <c r="CJ243" s="1576">
        <f t="shared" si="311"/>
        <v>0</v>
      </c>
      <c r="CK243" s="1495">
        <f t="shared" si="355"/>
        <v>0</v>
      </c>
      <c r="CL243" s="1577">
        <f t="shared" si="356"/>
        <v>0</v>
      </c>
      <c r="CM243" s="1576">
        <f t="shared" si="312"/>
        <v>0</v>
      </c>
      <c r="CN243" s="1495">
        <f t="shared" si="357"/>
        <v>0</v>
      </c>
      <c r="CO243" s="1577">
        <f t="shared" si="358"/>
        <v>0</v>
      </c>
      <c r="CP243" s="1576">
        <f t="shared" si="313"/>
        <v>0</v>
      </c>
      <c r="CQ243" s="1495">
        <f t="shared" si="359"/>
        <v>0</v>
      </c>
      <c r="CR243" s="1577">
        <f t="shared" si="360"/>
        <v>0</v>
      </c>
      <c r="CS243" s="1576">
        <f t="shared" si="314"/>
        <v>0</v>
      </c>
      <c r="CT243" s="1495">
        <f t="shared" si="361"/>
        <v>0</v>
      </c>
      <c r="CU243" s="1577">
        <f t="shared" si="362"/>
        <v>0</v>
      </c>
      <c r="CV243" s="1576">
        <f t="shared" si="315"/>
        <v>0</v>
      </c>
      <c r="CW243" s="1495">
        <f t="shared" si="363"/>
        <v>0</v>
      </c>
      <c r="CX243" s="1577">
        <f t="shared" si="364"/>
        <v>0</v>
      </c>
      <c r="CY243" s="1576">
        <f t="shared" si="316"/>
        <v>0</v>
      </c>
      <c r="CZ243" s="1574">
        <f t="shared" si="317"/>
        <v>0</v>
      </c>
      <c r="DA243" s="1578">
        <f t="shared" si="319"/>
        <v>0</v>
      </c>
      <c r="DB243" s="1579">
        <f t="shared" si="320"/>
        <v>0</v>
      </c>
      <c r="DC243" s="1578">
        <f t="shared" si="321"/>
        <v>0</v>
      </c>
      <c r="DD243" s="1578">
        <f t="shared" si="321"/>
        <v>0</v>
      </c>
      <c r="DE243" s="1578">
        <f t="shared" si="321"/>
        <v>0</v>
      </c>
      <c r="DF243" s="1578">
        <f t="shared" si="322"/>
        <v>0</v>
      </c>
      <c r="DG243" s="1538"/>
      <c r="DH243" s="1538"/>
      <c r="DI243" s="1422"/>
      <c r="DJ243" s="1428"/>
      <c r="DK243" s="1428"/>
      <c r="DL243" s="1428"/>
      <c r="DM243" s="1428"/>
      <c r="DN243" s="1428"/>
      <c r="DO243" s="1428"/>
      <c r="DP243" s="1428"/>
      <c r="DQ243" s="1422"/>
      <c r="DR243" s="1428"/>
      <c r="DS243" s="1428"/>
      <c r="DT243" s="1428"/>
      <c r="DU243" s="1428"/>
      <c r="DV243" s="1428"/>
      <c r="DW243" s="1428"/>
      <c r="DX243" s="1428"/>
      <c r="DY243" s="1428"/>
      <c r="DZ243" s="1428"/>
      <c r="EA243" s="1428"/>
      <c r="EB243" s="1428"/>
      <c r="EC243" s="1428"/>
      <c r="ED243" s="1428"/>
      <c r="EE243" s="1428"/>
      <c r="EF243" s="1428"/>
      <c r="EG243" s="1428"/>
      <c r="EH243" s="1428"/>
      <c r="EI243" s="1428"/>
      <c r="EJ243" s="1428"/>
      <c r="EK243" s="1428"/>
      <c r="EL243" s="1428"/>
      <c r="EM243" s="1428"/>
      <c r="EN243" s="1428"/>
      <c r="EO243" s="1428"/>
      <c r="EP243" s="1428"/>
      <c r="EQ243" s="1428"/>
      <c r="ER243" s="1428"/>
      <c r="ES243" s="1428"/>
      <c r="ET243" s="1428"/>
      <c r="EU243" s="1428"/>
    </row>
    <row r="244" spans="1:151" s="1440" customFormat="1" ht="15" customHeight="1">
      <c r="A244" s="1627"/>
      <c r="B244" s="2490" t="s">
        <v>1825</v>
      </c>
      <c r="C244" s="2491"/>
      <c r="D244" s="1601">
        <f>AB237</f>
        <v>0</v>
      </c>
      <c r="E244" s="1601">
        <f>AE237*O239</f>
        <v>0</v>
      </c>
      <c r="J244" s="1816"/>
      <c r="K244" s="1720"/>
      <c r="L244" s="1720"/>
      <c r="M244" s="1720"/>
      <c r="N244" s="1430" t="s">
        <v>1815</v>
      </c>
      <c r="O244" s="1430" t="b">
        <f>N244=$D$232</f>
        <v>0</v>
      </c>
      <c r="P244" s="1430"/>
      <c r="Q244" s="1430"/>
      <c r="R244" s="1430"/>
      <c r="S244" s="1430"/>
      <c r="T244" s="1430"/>
      <c r="U244" s="1430"/>
      <c r="V244" s="1430"/>
      <c r="W244" s="1430"/>
      <c r="X244" s="1430"/>
      <c r="Y244" s="1430"/>
      <c r="Z244" s="1430"/>
      <c r="AA244" s="1430"/>
      <c r="AB244" s="1430"/>
      <c r="AC244" s="1430"/>
      <c r="AD244" s="1430"/>
      <c r="AE244" s="1430"/>
      <c r="AF244" s="1430"/>
      <c r="AG244" s="1430"/>
      <c r="AH244" s="1430"/>
      <c r="AI244" s="1430"/>
      <c r="AJ244" s="1430"/>
      <c r="AK244" s="1430"/>
      <c r="AL244" s="1430"/>
      <c r="AM244" s="1430"/>
      <c r="AN244" s="1430"/>
      <c r="AO244" s="1430"/>
      <c r="AP244" s="1430"/>
      <c r="AQ244" s="1704"/>
      <c r="AR244" s="1430"/>
      <c r="AS244" s="1430"/>
      <c r="AT244" s="1430"/>
      <c r="AU244" s="1430"/>
      <c r="AV244" s="1430"/>
      <c r="AW244" s="1430"/>
      <c r="AX244" s="1430"/>
      <c r="AY244" s="1430"/>
      <c r="AZ244" s="1430"/>
      <c r="BA244" s="1430"/>
      <c r="BB244" s="1430"/>
      <c r="BC244" s="1430"/>
      <c r="BD244" s="1475"/>
      <c r="BE244" s="1571" t="s">
        <v>1215</v>
      </c>
      <c r="BF244" s="1436">
        <v>22</v>
      </c>
      <c r="BG244" s="1436">
        <v>13</v>
      </c>
      <c r="BH244" s="1436">
        <v>5</v>
      </c>
      <c r="BI244" s="1495" t="b">
        <f t="shared" si="318"/>
        <v>1</v>
      </c>
      <c r="BJ244" s="1450" t="b">
        <f t="shared" si="339"/>
        <v>0</v>
      </c>
      <c r="BK244" s="1572">
        <f t="shared" si="340"/>
        <v>0</v>
      </c>
      <c r="BL244" s="1581">
        <f>IF(SUM(BL$232:BL243,BK244)&gt;$BQ$4,0,BK244)</f>
        <v>0</v>
      </c>
      <c r="BM244" s="1436">
        <f t="shared" si="303"/>
        <v>0</v>
      </c>
      <c r="BN244" s="1495">
        <f t="shared" si="304"/>
        <v>0</v>
      </c>
      <c r="BO244" s="1437">
        <f t="shared" si="324"/>
        <v>0</v>
      </c>
      <c r="BP244" s="1762">
        <f t="shared" si="341"/>
        <v>0</v>
      </c>
      <c r="BQ244" s="1577">
        <f t="shared" si="342"/>
        <v>0</v>
      </c>
      <c r="BR244" s="1576">
        <f t="shared" si="305"/>
        <v>0</v>
      </c>
      <c r="BS244" s="1574">
        <f t="shared" si="343"/>
        <v>0</v>
      </c>
      <c r="BT244" s="1577">
        <f t="shared" si="344"/>
        <v>0</v>
      </c>
      <c r="BU244" s="1576">
        <f t="shared" si="306"/>
        <v>0</v>
      </c>
      <c r="BV244" s="1574">
        <f t="shared" si="345"/>
        <v>0</v>
      </c>
      <c r="BW244" s="1577">
        <f t="shared" si="346"/>
        <v>0</v>
      </c>
      <c r="BX244" s="1576">
        <f t="shared" si="307"/>
        <v>0</v>
      </c>
      <c r="BY244" s="1574">
        <f t="shared" si="347"/>
        <v>0</v>
      </c>
      <c r="BZ244" s="1577">
        <f t="shared" si="348"/>
        <v>0</v>
      </c>
      <c r="CA244" s="1576">
        <f t="shared" si="308"/>
        <v>0</v>
      </c>
      <c r="CB244" s="1495">
        <f t="shared" si="349"/>
        <v>0</v>
      </c>
      <c r="CC244" s="1577">
        <f t="shared" si="350"/>
        <v>0</v>
      </c>
      <c r="CD244" s="1576">
        <f t="shared" si="309"/>
        <v>0</v>
      </c>
      <c r="CE244" s="1495">
        <f t="shared" si="351"/>
        <v>0</v>
      </c>
      <c r="CF244" s="1577">
        <f t="shared" si="352"/>
        <v>0</v>
      </c>
      <c r="CG244" s="1576">
        <f t="shared" si="310"/>
        <v>0</v>
      </c>
      <c r="CH244" s="1495">
        <f t="shared" si="353"/>
        <v>0</v>
      </c>
      <c r="CI244" s="1577">
        <f t="shared" si="354"/>
        <v>0</v>
      </c>
      <c r="CJ244" s="1576">
        <f t="shared" si="311"/>
        <v>0</v>
      </c>
      <c r="CK244" s="1495">
        <f t="shared" si="355"/>
        <v>0</v>
      </c>
      <c r="CL244" s="1577">
        <f t="shared" si="356"/>
        <v>0</v>
      </c>
      <c r="CM244" s="1576">
        <f t="shared" si="312"/>
        <v>0</v>
      </c>
      <c r="CN244" s="1495">
        <f t="shared" si="357"/>
        <v>0</v>
      </c>
      <c r="CO244" s="1577">
        <f t="shared" si="358"/>
        <v>0</v>
      </c>
      <c r="CP244" s="1576">
        <f t="shared" si="313"/>
        <v>0</v>
      </c>
      <c r="CQ244" s="1495">
        <f t="shared" si="359"/>
        <v>0</v>
      </c>
      <c r="CR244" s="1577">
        <f t="shared" si="360"/>
        <v>0</v>
      </c>
      <c r="CS244" s="1576">
        <f t="shared" si="314"/>
        <v>0</v>
      </c>
      <c r="CT244" s="1495">
        <f t="shared" si="361"/>
        <v>0</v>
      </c>
      <c r="CU244" s="1577">
        <f t="shared" si="362"/>
        <v>0</v>
      </c>
      <c r="CV244" s="1576">
        <f t="shared" si="315"/>
        <v>0</v>
      </c>
      <c r="CW244" s="1495">
        <f t="shared" si="363"/>
        <v>0</v>
      </c>
      <c r="CX244" s="1577">
        <f t="shared" si="364"/>
        <v>0</v>
      </c>
      <c r="CY244" s="1576">
        <f t="shared" si="316"/>
        <v>0</v>
      </c>
      <c r="CZ244" s="1574">
        <f t="shared" si="317"/>
        <v>0</v>
      </c>
      <c r="DA244" s="1578">
        <f t="shared" si="319"/>
        <v>0</v>
      </c>
      <c r="DB244" s="1579">
        <f t="shared" si="320"/>
        <v>0</v>
      </c>
      <c r="DC244" s="1578">
        <f t="shared" si="321"/>
        <v>0</v>
      </c>
      <c r="DD244" s="1578">
        <f t="shared" si="321"/>
        <v>0</v>
      </c>
      <c r="DE244" s="1578">
        <f t="shared" si="321"/>
        <v>0</v>
      </c>
      <c r="DF244" s="1578">
        <f t="shared" si="322"/>
        <v>0</v>
      </c>
      <c r="DG244" s="1538"/>
      <c r="DH244" s="1538"/>
      <c r="DI244" s="1422"/>
      <c r="DJ244" s="1795" t="s">
        <v>1817</v>
      </c>
      <c r="DK244" s="1827"/>
      <c r="DL244" s="1795" t="s">
        <v>1818</v>
      </c>
      <c r="DM244" s="1796"/>
      <c r="DN244" s="1827"/>
      <c r="DO244" s="1428"/>
      <c r="DP244" s="1428"/>
      <c r="DQ244" s="1422"/>
      <c r="DR244" s="1428"/>
      <c r="DS244" s="1428"/>
      <c r="DT244" s="1428"/>
      <c r="DU244" s="1428"/>
      <c r="DV244" s="1428"/>
      <c r="DW244" s="1428"/>
      <c r="DX244" s="1428"/>
      <c r="DY244" s="1428"/>
      <c r="DZ244" s="1428"/>
      <c r="EA244" s="1428"/>
      <c r="EB244" s="1428"/>
      <c r="EC244" s="1428"/>
      <c r="ED244" s="1428"/>
      <c r="EE244" s="1428"/>
      <c r="EF244" s="1428"/>
      <c r="EG244" s="1428"/>
      <c r="EH244" s="1428"/>
      <c r="EI244" s="1428"/>
      <c r="EJ244" s="1428"/>
      <c r="EK244" s="1428"/>
      <c r="EL244" s="1428"/>
      <c r="EM244" s="1428"/>
      <c r="EN244" s="1428"/>
      <c r="EO244" s="1428"/>
      <c r="EP244" s="1428"/>
      <c r="EQ244" s="1428"/>
      <c r="ER244" s="1428"/>
      <c r="ES244" s="1428"/>
      <c r="ET244" s="1428"/>
      <c r="EU244" s="1428"/>
    </row>
    <row r="245" spans="1:151" s="1440" customFormat="1" ht="17.25" customHeight="1">
      <c r="A245" s="1455"/>
      <c r="B245" s="2490" t="s">
        <v>1827</v>
      </c>
      <c r="C245" s="2490"/>
      <c r="D245" s="1684">
        <f>D243+D244</f>
        <v>0</v>
      </c>
      <c r="E245" s="1682">
        <f>E243+E244</f>
        <v>0</v>
      </c>
      <c r="J245" s="1816"/>
      <c r="K245" s="1720"/>
      <c r="L245" s="1720"/>
      <c r="M245" s="1720"/>
      <c r="N245" s="1430"/>
      <c r="O245" s="1430"/>
      <c r="P245" s="1430"/>
      <c r="Q245" s="1430"/>
      <c r="R245" s="1430"/>
      <c r="S245" s="1430"/>
      <c r="T245" s="1430"/>
      <c r="U245" s="1430"/>
      <c r="V245" s="1430"/>
      <c r="W245" s="1430"/>
      <c r="X245" s="1430"/>
      <c r="Y245" s="1430"/>
      <c r="Z245" s="1430"/>
      <c r="AA245" s="1430"/>
      <c r="AB245" s="1430"/>
      <c r="AC245" s="1430"/>
      <c r="AD245" s="1430"/>
      <c r="AE245" s="1430"/>
      <c r="AF245" s="1430"/>
      <c r="AG245" s="1430"/>
      <c r="AH245" s="1430"/>
      <c r="AI245" s="1430"/>
      <c r="AJ245" s="1430"/>
      <c r="AK245" s="1430"/>
      <c r="AL245" s="1430"/>
      <c r="AM245" s="1430"/>
      <c r="AN245" s="1430"/>
      <c r="AO245" s="1430"/>
      <c r="AP245" s="1430"/>
      <c r="AQ245" s="1704"/>
      <c r="AR245" s="1430"/>
      <c r="AS245" s="1430"/>
      <c r="AT245" s="1430"/>
      <c r="AU245" s="1430"/>
      <c r="AV245" s="1430"/>
      <c r="AW245" s="1430"/>
      <c r="AX245" s="1430"/>
      <c r="AY245" s="1430"/>
      <c r="AZ245" s="1430"/>
      <c r="BA245" s="1430"/>
      <c r="BB245" s="1430"/>
      <c r="BC245" s="1430"/>
      <c r="BD245" s="1475"/>
      <c r="BE245" s="1571" t="s">
        <v>1215</v>
      </c>
      <c r="BF245" s="1436">
        <v>22</v>
      </c>
      <c r="BG245" s="1436">
        <v>14</v>
      </c>
      <c r="BH245" s="1436">
        <v>6</v>
      </c>
      <c r="BI245" s="1495" t="b">
        <f t="shared" si="318"/>
        <v>0</v>
      </c>
      <c r="BJ245" s="1450" t="b">
        <f t="shared" si="339"/>
        <v>0</v>
      </c>
      <c r="BK245" s="1572">
        <f t="shared" si="340"/>
        <v>0</v>
      </c>
      <c r="BL245" s="1581">
        <f>IF(SUM(BL$232:BL244,BK245)&gt;$BQ$4,0,BK245)</f>
        <v>0</v>
      </c>
      <c r="BM245" s="1436">
        <f t="shared" si="303"/>
        <v>0</v>
      </c>
      <c r="BN245" s="1495">
        <f t="shared" si="304"/>
        <v>0</v>
      </c>
      <c r="BO245" s="1437">
        <f t="shared" si="324"/>
        <v>0</v>
      </c>
      <c r="BP245" s="1762">
        <f t="shared" si="341"/>
        <v>0</v>
      </c>
      <c r="BQ245" s="1577">
        <f t="shared" si="342"/>
        <v>0</v>
      </c>
      <c r="BR245" s="1576">
        <f t="shared" si="305"/>
        <v>0</v>
      </c>
      <c r="BS245" s="1574">
        <f t="shared" si="343"/>
        <v>0</v>
      </c>
      <c r="BT245" s="1577">
        <f t="shared" si="344"/>
        <v>0</v>
      </c>
      <c r="BU245" s="1576">
        <f t="shared" si="306"/>
        <v>0</v>
      </c>
      <c r="BV245" s="1574">
        <f t="shared" si="345"/>
        <v>0</v>
      </c>
      <c r="BW245" s="1577">
        <f t="shared" si="346"/>
        <v>0</v>
      </c>
      <c r="BX245" s="1576">
        <f t="shared" si="307"/>
        <v>0</v>
      </c>
      <c r="BY245" s="1574">
        <f t="shared" si="347"/>
        <v>0</v>
      </c>
      <c r="BZ245" s="1577">
        <f t="shared" si="348"/>
        <v>0</v>
      </c>
      <c r="CA245" s="1576">
        <f t="shared" si="308"/>
        <v>0</v>
      </c>
      <c r="CB245" s="1495">
        <f t="shared" si="349"/>
        <v>0</v>
      </c>
      <c r="CC245" s="1577">
        <f t="shared" si="350"/>
        <v>0</v>
      </c>
      <c r="CD245" s="1576">
        <f t="shared" si="309"/>
        <v>0</v>
      </c>
      <c r="CE245" s="1495">
        <f t="shared" si="351"/>
        <v>0</v>
      </c>
      <c r="CF245" s="1577">
        <f t="shared" si="352"/>
        <v>0</v>
      </c>
      <c r="CG245" s="1576">
        <f t="shared" si="310"/>
        <v>0</v>
      </c>
      <c r="CH245" s="1495">
        <f t="shared" si="353"/>
        <v>0</v>
      </c>
      <c r="CI245" s="1577">
        <f t="shared" si="354"/>
        <v>0</v>
      </c>
      <c r="CJ245" s="1576">
        <f t="shared" si="311"/>
        <v>0</v>
      </c>
      <c r="CK245" s="1495">
        <f t="shared" si="355"/>
        <v>0</v>
      </c>
      <c r="CL245" s="1577">
        <f t="shared" si="356"/>
        <v>0</v>
      </c>
      <c r="CM245" s="1576">
        <f t="shared" si="312"/>
        <v>0</v>
      </c>
      <c r="CN245" s="1495">
        <f t="shared" si="357"/>
        <v>0</v>
      </c>
      <c r="CO245" s="1577">
        <f t="shared" si="358"/>
        <v>0</v>
      </c>
      <c r="CP245" s="1576">
        <f t="shared" si="313"/>
        <v>0</v>
      </c>
      <c r="CQ245" s="1495">
        <f t="shared" si="359"/>
        <v>0</v>
      </c>
      <c r="CR245" s="1577">
        <f t="shared" si="360"/>
        <v>0</v>
      </c>
      <c r="CS245" s="1576">
        <f t="shared" si="314"/>
        <v>0</v>
      </c>
      <c r="CT245" s="1495">
        <f t="shared" si="361"/>
        <v>0</v>
      </c>
      <c r="CU245" s="1577">
        <f t="shared" si="362"/>
        <v>0</v>
      </c>
      <c r="CV245" s="1576">
        <f t="shared" si="315"/>
        <v>0</v>
      </c>
      <c r="CW245" s="1495">
        <f t="shared" si="363"/>
        <v>0</v>
      </c>
      <c r="CX245" s="1577">
        <f t="shared" si="364"/>
        <v>0</v>
      </c>
      <c r="CY245" s="1576">
        <f t="shared" si="316"/>
        <v>0</v>
      </c>
      <c r="CZ245" s="1574">
        <f t="shared" si="317"/>
        <v>0</v>
      </c>
      <c r="DA245" s="1578">
        <f t="shared" si="319"/>
        <v>0</v>
      </c>
      <c r="DB245" s="1579">
        <f t="shared" si="320"/>
        <v>0</v>
      </c>
      <c r="DC245" s="1578">
        <f t="shared" si="321"/>
        <v>0</v>
      </c>
      <c r="DD245" s="1578">
        <f t="shared" si="321"/>
        <v>0</v>
      </c>
      <c r="DE245" s="1578">
        <f t="shared" si="321"/>
        <v>0</v>
      </c>
      <c r="DF245" s="1578">
        <f t="shared" si="322"/>
        <v>0</v>
      </c>
      <c r="DG245" s="1538"/>
      <c r="DH245" s="1538"/>
      <c r="DI245" s="1422"/>
      <c r="DJ245" s="1753" t="s">
        <v>1820</v>
      </c>
      <c r="DK245" s="1828">
        <v>0.4</v>
      </c>
      <c r="DL245" s="1831" t="s">
        <v>1821</v>
      </c>
      <c r="DM245" s="1832"/>
      <c r="DN245" s="1833"/>
      <c r="DO245" s="1428"/>
      <c r="DP245" s="1428"/>
      <c r="DQ245" s="1422"/>
      <c r="DR245" s="1428"/>
      <c r="DS245" s="1428"/>
      <c r="DT245" s="1428"/>
      <c r="DU245" s="1428"/>
      <c r="DV245" s="1428"/>
      <c r="DW245" s="1428"/>
      <c r="DX245" s="1428"/>
      <c r="DY245" s="1428"/>
      <c r="DZ245" s="1428"/>
      <c r="EA245" s="1428"/>
      <c r="EB245" s="1428"/>
      <c r="EC245" s="1428"/>
      <c r="ED245" s="1428"/>
      <c r="EE245" s="1428"/>
      <c r="EF245" s="1428"/>
      <c r="EG245" s="1428"/>
      <c r="EH245" s="1428"/>
      <c r="EI245" s="1428"/>
      <c r="EJ245" s="1428"/>
      <c r="EK245" s="1428"/>
      <c r="EL245" s="1428"/>
      <c r="EM245" s="1428"/>
      <c r="EN245" s="1428"/>
      <c r="EO245" s="1428"/>
      <c r="EP245" s="1428"/>
      <c r="EQ245" s="1428"/>
      <c r="ER245" s="1428"/>
      <c r="ES245" s="1428"/>
      <c r="ET245" s="1428"/>
      <c r="EU245" s="1428"/>
    </row>
    <row r="246" spans="1:151" s="1440" customFormat="1" ht="15" customHeight="1">
      <c r="A246" s="1834"/>
      <c r="J246" s="1816"/>
      <c r="K246" s="1720"/>
      <c r="L246" s="1720"/>
      <c r="M246" s="1720"/>
      <c r="N246" s="1628" t="str">
        <f>B248</f>
        <v>Building Specific Major Water Uses - Laundry Facility Water Demand</v>
      </c>
      <c r="O246" s="1624"/>
      <c r="P246" s="1624"/>
      <c r="Q246" s="1624"/>
      <c r="R246" s="1624"/>
      <c r="S246" s="1624"/>
      <c r="T246" s="1624"/>
      <c r="U246" s="1624"/>
      <c r="V246" s="1624"/>
      <c r="W246" s="1624"/>
      <c r="X246" s="1624"/>
      <c r="Y246" s="1624"/>
      <c r="Z246" s="1624"/>
      <c r="AA246" s="1624"/>
      <c r="AB246" s="1624"/>
      <c r="AC246" s="1624"/>
      <c r="AD246" s="1624"/>
      <c r="AE246" s="1624"/>
      <c r="AF246" s="1624"/>
      <c r="AG246" s="1624"/>
      <c r="AH246" s="1624"/>
      <c r="AI246" s="1624"/>
      <c r="AJ246" s="1624"/>
      <c r="AK246" s="1624"/>
      <c r="AL246" s="1624"/>
      <c r="AM246" s="1624"/>
      <c r="AN246" s="1624"/>
      <c r="AO246" s="1624"/>
      <c r="AP246" s="1624"/>
      <c r="AQ246" s="1624"/>
      <c r="AR246" s="1624"/>
      <c r="AS246" s="1624"/>
      <c r="AT246" s="1624"/>
      <c r="AU246" s="1624"/>
      <c r="AV246" s="1624"/>
      <c r="AW246" s="1624"/>
      <c r="AX246" s="1624"/>
      <c r="AY246" s="1624"/>
      <c r="AZ246" s="1624"/>
      <c r="BA246" s="1624"/>
      <c r="BB246" s="1624"/>
      <c r="BC246" s="1624"/>
      <c r="BD246" s="1475"/>
      <c r="BE246" s="1571" t="s">
        <v>1215</v>
      </c>
      <c r="BF246" s="1436">
        <v>22</v>
      </c>
      <c r="BG246" s="1436">
        <v>15</v>
      </c>
      <c r="BH246" s="1436">
        <v>7</v>
      </c>
      <c r="BI246" s="1495" t="b">
        <f t="shared" si="318"/>
        <v>0</v>
      </c>
      <c r="BJ246" s="1450" t="b">
        <f t="shared" si="339"/>
        <v>0</v>
      </c>
      <c r="BK246" s="1572">
        <f t="shared" si="340"/>
        <v>0</v>
      </c>
      <c r="BL246" s="1581">
        <f>IF(SUM(BL$232:BL245,BK246)&gt;$BQ$4,0,BK246)</f>
        <v>0</v>
      </c>
      <c r="BM246" s="1436">
        <f t="shared" si="303"/>
        <v>0</v>
      </c>
      <c r="BN246" s="1495">
        <f t="shared" si="304"/>
        <v>0</v>
      </c>
      <c r="BO246" s="1437">
        <f t="shared" si="324"/>
        <v>0</v>
      </c>
      <c r="BP246" s="1762">
        <f t="shared" si="341"/>
        <v>0</v>
      </c>
      <c r="BQ246" s="1577">
        <f t="shared" si="342"/>
        <v>0</v>
      </c>
      <c r="BR246" s="1576">
        <f t="shared" si="305"/>
        <v>0</v>
      </c>
      <c r="BS246" s="1574">
        <f t="shared" si="343"/>
        <v>0</v>
      </c>
      <c r="BT246" s="1577">
        <f t="shared" si="344"/>
        <v>0</v>
      </c>
      <c r="BU246" s="1576">
        <f t="shared" si="306"/>
        <v>0</v>
      </c>
      <c r="BV246" s="1574">
        <f t="shared" si="345"/>
        <v>0</v>
      </c>
      <c r="BW246" s="1577">
        <f t="shared" si="346"/>
        <v>0</v>
      </c>
      <c r="BX246" s="1576">
        <f t="shared" si="307"/>
        <v>0</v>
      </c>
      <c r="BY246" s="1574">
        <f t="shared" si="347"/>
        <v>0</v>
      </c>
      <c r="BZ246" s="1577">
        <f t="shared" si="348"/>
        <v>0</v>
      </c>
      <c r="CA246" s="1576">
        <f t="shared" si="308"/>
        <v>0</v>
      </c>
      <c r="CB246" s="1495">
        <f t="shared" si="349"/>
        <v>0</v>
      </c>
      <c r="CC246" s="1577">
        <f t="shared" si="350"/>
        <v>0</v>
      </c>
      <c r="CD246" s="1576">
        <f t="shared" si="309"/>
        <v>0</v>
      </c>
      <c r="CE246" s="1495">
        <f t="shared" si="351"/>
        <v>0</v>
      </c>
      <c r="CF246" s="1577">
        <f t="shared" si="352"/>
        <v>0</v>
      </c>
      <c r="CG246" s="1576">
        <f t="shared" si="310"/>
        <v>0</v>
      </c>
      <c r="CH246" s="1495">
        <f t="shared" si="353"/>
        <v>0</v>
      </c>
      <c r="CI246" s="1577">
        <f t="shared" si="354"/>
        <v>0</v>
      </c>
      <c r="CJ246" s="1576">
        <f t="shared" si="311"/>
        <v>0</v>
      </c>
      <c r="CK246" s="1495">
        <f t="shared" si="355"/>
        <v>0</v>
      </c>
      <c r="CL246" s="1577">
        <f t="shared" si="356"/>
        <v>0</v>
      </c>
      <c r="CM246" s="1576">
        <f t="shared" si="312"/>
        <v>0</v>
      </c>
      <c r="CN246" s="1495">
        <f t="shared" si="357"/>
        <v>0</v>
      </c>
      <c r="CO246" s="1577">
        <f t="shared" si="358"/>
        <v>0</v>
      </c>
      <c r="CP246" s="1576">
        <f t="shared" si="313"/>
        <v>0</v>
      </c>
      <c r="CQ246" s="1495">
        <f t="shared" si="359"/>
        <v>0</v>
      </c>
      <c r="CR246" s="1577">
        <f t="shared" si="360"/>
        <v>0</v>
      </c>
      <c r="CS246" s="1576">
        <f t="shared" si="314"/>
        <v>0</v>
      </c>
      <c r="CT246" s="1495">
        <f t="shared" si="361"/>
        <v>0</v>
      </c>
      <c r="CU246" s="1577">
        <f t="shared" si="362"/>
        <v>0</v>
      </c>
      <c r="CV246" s="1576">
        <f t="shared" si="315"/>
        <v>0</v>
      </c>
      <c r="CW246" s="1495">
        <f t="shared" si="363"/>
        <v>0</v>
      </c>
      <c r="CX246" s="1577">
        <f t="shared" si="364"/>
        <v>0</v>
      </c>
      <c r="CY246" s="1576">
        <f t="shared" si="316"/>
        <v>0</v>
      </c>
      <c r="CZ246" s="1574">
        <f t="shared" si="317"/>
        <v>0</v>
      </c>
      <c r="DA246" s="1578">
        <f t="shared" si="319"/>
        <v>0</v>
      </c>
      <c r="DB246" s="1579">
        <f t="shared" si="320"/>
        <v>0</v>
      </c>
      <c r="DC246" s="1578">
        <f t="shared" si="321"/>
        <v>0</v>
      </c>
      <c r="DD246" s="1578">
        <f t="shared" si="321"/>
        <v>0</v>
      </c>
      <c r="DE246" s="1578">
        <f t="shared" si="321"/>
        <v>0</v>
      </c>
      <c r="DF246" s="1578">
        <f>IF(DA246-(DE245+CZ246)&lt;0,0,DA246-(DE245+CZ246))</f>
        <v>0</v>
      </c>
      <c r="DG246" s="1538"/>
      <c r="DH246" s="1538"/>
      <c r="DI246" s="1422"/>
      <c r="DJ246" s="1753" t="s">
        <v>1805</v>
      </c>
      <c r="DK246" s="1776">
        <v>1</v>
      </c>
      <c r="DL246" s="1835" t="s">
        <v>1620</v>
      </c>
      <c r="DM246" s="1836"/>
      <c r="DN246" s="1837"/>
      <c r="DO246" s="1428"/>
      <c r="DP246" s="1428"/>
      <c r="DQ246" s="1422"/>
      <c r="DR246" s="1428"/>
      <c r="DS246" s="1428"/>
      <c r="DT246" s="1428"/>
      <c r="DU246" s="1428"/>
      <c r="DV246" s="1428"/>
      <c r="DW246" s="1428"/>
      <c r="DX246" s="1428"/>
      <c r="DY246" s="1428"/>
      <c r="DZ246" s="1428"/>
      <c r="EA246" s="1428"/>
      <c r="EB246" s="1428"/>
      <c r="EC246" s="1428"/>
      <c r="ED246" s="1428"/>
      <c r="EE246" s="1428"/>
      <c r="EF246" s="1428"/>
      <c r="EG246" s="1428"/>
      <c r="EH246" s="1428"/>
      <c r="EI246" s="1428"/>
      <c r="EJ246" s="1428"/>
      <c r="EK246" s="1428"/>
      <c r="EL246" s="1428"/>
      <c r="EM246" s="1428"/>
      <c r="EN246" s="1428"/>
      <c r="EO246" s="1428"/>
      <c r="EP246" s="1428"/>
      <c r="EQ246" s="1428"/>
      <c r="ER246" s="1428"/>
      <c r="ES246" s="1428"/>
      <c r="ET246" s="1428"/>
      <c r="EU246" s="1428"/>
    </row>
    <row r="247" spans="1:151" s="1440" customFormat="1" ht="15" customHeight="1">
      <c r="A247" s="1834"/>
      <c r="J247" s="1816"/>
      <c r="K247" s="1720"/>
      <c r="L247" s="1720"/>
      <c r="M247" s="1720"/>
      <c r="N247" s="1430"/>
      <c r="O247" s="1430"/>
      <c r="P247" s="1430"/>
      <c r="Q247" s="1430"/>
      <c r="R247" s="1430"/>
      <c r="S247" s="1430"/>
      <c r="T247" s="1430"/>
      <c r="U247" s="1430"/>
      <c r="V247" s="1430"/>
      <c r="W247" s="1430"/>
      <c r="X247" s="1430"/>
      <c r="Y247" s="1430"/>
      <c r="Z247" s="1430"/>
      <c r="AA247" s="1430"/>
      <c r="AB247" s="1430"/>
      <c r="AC247" s="1430"/>
      <c r="AD247" s="1430"/>
      <c r="AE247" s="1430"/>
      <c r="AF247" s="1430"/>
      <c r="AG247" s="1430"/>
      <c r="AH247" s="1430"/>
      <c r="AI247" s="1430"/>
      <c r="AJ247" s="1430"/>
      <c r="AK247" s="1430"/>
      <c r="AL247" s="1430"/>
      <c r="AM247" s="1430"/>
      <c r="AN247" s="1430"/>
      <c r="AO247" s="1430"/>
      <c r="AP247" s="1430"/>
      <c r="AQ247" s="1430"/>
      <c r="AR247" s="1430"/>
      <c r="AS247" s="1430"/>
      <c r="AT247" s="1430"/>
      <c r="AU247" s="1430"/>
      <c r="AV247" s="1704"/>
      <c r="AW247" s="1430"/>
      <c r="AX247" s="1430"/>
      <c r="AY247" s="1430"/>
      <c r="AZ247" s="1430"/>
      <c r="BA247" s="1430"/>
      <c r="BB247" s="1430"/>
      <c r="BC247" s="1430"/>
      <c r="BD247" s="1475"/>
      <c r="BE247" s="1571" t="s">
        <v>1215</v>
      </c>
      <c r="BF247" s="1436">
        <v>22</v>
      </c>
      <c r="BG247" s="1436">
        <v>16</v>
      </c>
      <c r="BH247" s="1436">
        <v>1</v>
      </c>
      <c r="BI247" s="1495" t="b">
        <f t="shared" si="318"/>
        <v>1</v>
      </c>
      <c r="BJ247" s="1450" t="b">
        <f t="shared" si="339"/>
        <v>0</v>
      </c>
      <c r="BK247" s="1572">
        <f t="shared" si="340"/>
        <v>0</v>
      </c>
      <c r="BL247" s="1581">
        <f>IF(SUM(BL$232:BL246,BK247)&gt;$BQ$4,0,BK247)</f>
        <v>0</v>
      </c>
      <c r="BM247" s="1436">
        <f t="shared" si="303"/>
        <v>0</v>
      </c>
      <c r="BN247" s="1495">
        <f t="shared" si="304"/>
        <v>0</v>
      </c>
      <c r="BO247" s="1437">
        <f t="shared" si="324"/>
        <v>0</v>
      </c>
      <c r="BP247" s="1762">
        <f t="shared" si="341"/>
        <v>0</v>
      </c>
      <c r="BQ247" s="1577">
        <f t="shared" si="342"/>
        <v>0</v>
      </c>
      <c r="BR247" s="1576">
        <f t="shared" si="305"/>
        <v>0</v>
      </c>
      <c r="BS247" s="1574">
        <f t="shared" si="343"/>
        <v>0</v>
      </c>
      <c r="BT247" s="1577">
        <f t="shared" si="344"/>
        <v>0</v>
      </c>
      <c r="BU247" s="1576">
        <f t="shared" si="306"/>
        <v>0</v>
      </c>
      <c r="BV247" s="1574">
        <f t="shared" si="345"/>
        <v>0</v>
      </c>
      <c r="BW247" s="1577">
        <f t="shared" si="346"/>
        <v>0</v>
      </c>
      <c r="BX247" s="1576">
        <f t="shared" si="307"/>
        <v>0</v>
      </c>
      <c r="BY247" s="1574">
        <f t="shared" si="347"/>
        <v>0</v>
      </c>
      <c r="BZ247" s="1577">
        <f t="shared" si="348"/>
        <v>0</v>
      </c>
      <c r="CA247" s="1576">
        <f t="shared" si="308"/>
        <v>0</v>
      </c>
      <c r="CB247" s="1495">
        <f t="shared" si="349"/>
        <v>0</v>
      </c>
      <c r="CC247" s="1577">
        <f t="shared" si="350"/>
        <v>0</v>
      </c>
      <c r="CD247" s="1576">
        <f t="shared" si="309"/>
        <v>0</v>
      </c>
      <c r="CE247" s="1495">
        <f t="shared" si="351"/>
        <v>0</v>
      </c>
      <c r="CF247" s="1577">
        <f t="shared" si="352"/>
        <v>0</v>
      </c>
      <c r="CG247" s="1576">
        <f t="shared" si="310"/>
        <v>0</v>
      </c>
      <c r="CH247" s="1495">
        <f t="shared" si="353"/>
        <v>0</v>
      </c>
      <c r="CI247" s="1577">
        <f t="shared" si="354"/>
        <v>0</v>
      </c>
      <c r="CJ247" s="1576">
        <f t="shared" si="311"/>
        <v>0</v>
      </c>
      <c r="CK247" s="1495">
        <f t="shared" si="355"/>
        <v>0</v>
      </c>
      <c r="CL247" s="1577">
        <f t="shared" si="356"/>
        <v>0</v>
      </c>
      <c r="CM247" s="1576">
        <f t="shared" si="312"/>
        <v>0</v>
      </c>
      <c r="CN247" s="1495">
        <f t="shared" si="357"/>
        <v>0</v>
      </c>
      <c r="CO247" s="1577">
        <f t="shared" si="358"/>
        <v>0</v>
      </c>
      <c r="CP247" s="1576">
        <f t="shared" si="313"/>
        <v>0</v>
      </c>
      <c r="CQ247" s="1495">
        <f t="shared" si="359"/>
        <v>0</v>
      </c>
      <c r="CR247" s="1577">
        <f t="shared" si="360"/>
        <v>0</v>
      </c>
      <c r="CS247" s="1576">
        <f t="shared" si="314"/>
        <v>0</v>
      </c>
      <c r="CT247" s="1495">
        <f t="shared" si="361"/>
        <v>0</v>
      </c>
      <c r="CU247" s="1577">
        <f t="shared" si="362"/>
        <v>0</v>
      </c>
      <c r="CV247" s="1576">
        <f t="shared" si="315"/>
        <v>0</v>
      </c>
      <c r="CW247" s="1495">
        <f t="shared" si="363"/>
        <v>0</v>
      </c>
      <c r="CX247" s="1577">
        <f t="shared" si="364"/>
        <v>0</v>
      </c>
      <c r="CY247" s="1576">
        <f t="shared" si="316"/>
        <v>0</v>
      </c>
      <c r="CZ247" s="1574">
        <f t="shared" si="317"/>
        <v>0</v>
      </c>
      <c r="DA247" s="1578">
        <f t="shared" si="319"/>
        <v>0</v>
      </c>
      <c r="DB247" s="1579">
        <f t="shared" si="320"/>
        <v>0</v>
      </c>
      <c r="DC247" s="1578">
        <f t="shared" si="321"/>
        <v>0</v>
      </c>
      <c r="DD247" s="1578">
        <f t="shared" si="321"/>
        <v>0</v>
      </c>
      <c r="DE247" s="1578">
        <f t="shared" si="321"/>
        <v>0</v>
      </c>
      <c r="DF247" s="1578">
        <f t="shared" si="322"/>
        <v>0</v>
      </c>
      <c r="DG247" s="1538"/>
      <c r="DH247" s="1538"/>
      <c r="DI247" s="1422"/>
      <c r="DJ247" s="1753" t="s">
        <v>1811</v>
      </c>
      <c r="DK247" s="1776">
        <v>1</v>
      </c>
      <c r="DL247" s="1835" t="s">
        <v>1620</v>
      </c>
      <c r="DM247" s="1836"/>
      <c r="DN247" s="1837"/>
      <c r="DO247" s="1428"/>
      <c r="DP247" s="1428"/>
      <c r="DQ247" s="1422"/>
      <c r="DR247" s="1428"/>
      <c r="DS247" s="1428"/>
      <c r="DT247" s="1428"/>
      <c r="DU247" s="1428"/>
      <c r="DV247" s="1428"/>
      <c r="DW247" s="1428"/>
      <c r="DX247" s="1428"/>
      <c r="DY247" s="1428"/>
      <c r="DZ247" s="1428"/>
      <c r="EA247" s="1428"/>
      <c r="EB247" s="1428"/>
      <c r="EC247" s="1428"/>
      <c r="ED247" s="1428"/>
      <c r="EE247" s="1428"/>
      <c r="EF247" s="1428"/>
      <c r="EG247" s="1428"/>
      <c r="EH247" s="1428"/>
      <c r="EI247" s="1428"/>
      <c r="EJ247" s="1428"/>
      <c r="EK247" s="1428"/>
      <c r="EL247" s="1428"/>
      <c r="EM247" s="1428"/>
      <c r="EN247" s="1428"/>
      <c r="EO247" s="1428"/>
      <c r="EP247" s="1428"/>
      <c r="EQ247" s="1428"/>
      <c r="ER247" s="1428"/>
      <c r="ES247" s="1428"/>
      <c r="ET247" s="1428"/>
      <c r="EU247" s="1428"/>
    </row>
    <row r="248" spans="1:151" s="1440" customFormat="1" ht="15" customHeight="1">
      <c r="A248" s="1834"/>
      <c r="B248" s="1623" t="s">
        <v>2224</v>
      </c>
      <c r="C248" s="1624"/>
      <c r="D248" s="1624"/>
      <c r="E248" s="1624"/>
      <c r="F248" s="1624"/>
      <c r="G248" s="1624"/>
      <c r="H248" s="1624"/>
      <c r="I248" s="1624"/>
      <c r="J248" s="1624"/>
      <c r="K248" s="1624"/>
      <c r="L248" s="1624"/>
      <c r="M248" s="1624"/>
      <c r="N248" s="1430"/>
      <c r="O248" s="1430"/>
      <c r="P248" s="1430"/>
      <c r="Q248" s="1430"/>
      <c r="R248" s="1430"/>
      <c r="S248" s="1430"/>
      <c r="T248" s="1430"/>
      <c r="U248" s="1430"/>
      <c r="V248" s="1430"/>
      <c r="W248" s="1430"/>
      <c r="X248" s="1430"/>
      <c r="Y248" s="1430"/>
      <c r="Z248" s="1430"/>
      <c r="AA248" s="1430"/>
      <c r="AB248" s="1430"/>
      <c r="AC248" s="1430"/>
      <c r="AD248" s="1430"/>
      <c r="AE248" s="1430"/>
      <c r="AF248" s="1430"/>
      <c r="AG248" s="1430"/>
      <c r="AH248" s="1430"/>
      <c r="AI248" s="1430"/>
      <c r="AJ248" s="1430"/>
      <c r="AK248" s="1430"/>
      <c r="AL248" s="1430"/>
      <c r="AM248" s="1430"/>
      <c r="AN248" s="1430"/>
      <c r="AO248" s="1430"/>
      <c r="AP248" s="1430"/>
      <c r="AQ248" s="1430"/>
      <c r="AR248" s="1430"/>
      <c r="AS248" s="1430"/>
      <c r="AT248" s="1430"/>
      <c r="AU248" s="1430"/>
      <c r="AV248" s="1704"/>
      <c r="AW248" s="1430"/>
      <c r="AX248" s="1430"/>
      <c r="AY248" s="1430"/>
      <c r="AZ248" s="1430"/>
      <c r="BA248" s="1430"/>
      <c r="BB248" s="1430"/>
      <c r="BC248" s="1430"/>
      <c r="BD248" s="1475"/>
      <c r="BE248" s="1571" t="s">
        <v>1215</v>
      </c>
      <c r="BF248" s="1436">
        <v>22</v>
      </c>
      <c r="BG248" s="1436">
        <v>17</v>
      </c>
      <c r="BH248" s="1436">
        <v>2</v>
      </c>
      <c r="BI248" s="1495" t="b">
        <f t="shared" si="318"/>
        <v>1</v>
      </c>
      <c r="BJ248" s="1450" t="b">
        <f t="shared" si="339"/>
        <v>0</v>
      </c>
      <c r="BK248" s="1572">
        <f t="shared" si="340"/>
        <v>0</v>
      </c>
      <c r="BL248" s="1581">
        <f>IF(SUM(BL$232:BL247,BK248)&gt;$BQ$4,0,BK248)</f>
        <v>0</v>
      </c>
      <c r="BM248" s="1436">
        <f t="shared" si="303"/>
        <v>0</v>
      </c>
      <c r="BN248" s="1495">
        <f t="shared" si="304"/>
        <v>0</v>
      </c>
      <c r="BO248" s="1437">
        <f t="shared" si="324"/>
        <v>0</v>
      </c>
      <c r="BP248" s="1762">
        <f t="shared" si="341"/>
        <v>0</v>
      </c>
      <c r="BQ248" s="1577">
        <f t="shared" si="342"/>
        <v>0</v>
      </c>
      <c r="BR248" s="1576">
        <f t="shared" si="305"/>
        <v>0</v>
      </c>
      <c r="BS248" s="1574">
        <f t="shared" si="343"/>
        <v>0</v>
      </c>
      <c r="BT248" s="1577">
        <f t="shared" si="344"/>
        <v>0</v>
      </c>
      <c r="BU248" s="1576">
        <f t="shared" si="306"/>
        <v>0</v>
      </c>
      <c r="BV248" s="1574">
        <f t="shared" si="345"/>
        <v>0</v>
      </c>
      <c r="BW248" s="1577">
        <f t="shared" si="346"/>
        <v>0</v>
      </c>
      <c r="BX248" s="1576">
        <f t="shared" si="307"/>
        <v>0</v>
      </c>
      <c r="BY248" s="1574">
        <f t="shared" si="347"/>
        <v>0</v>
      </c>
      <c r="BZ248" s="1577">
        <f t="shared" si="348"/>
        <v>0</v>
      </c>
      <c r="CA248" s="1576">
        <f t="shared" si="308"/>
        <v>0</v>
      </c>
      <c r="CB248" s="1495">
        <f t="shared" si="349"/>
        <v>0</v>
      </c>
      <c r="CC248" s="1577">
        <f t="shared" si="350"/>
        <v>0</v>
      </c>
      <c r="CD248" s="1576">
        <f t="shared" si="309"/>
        <v>0</v>
      </c>
      <c r="CE248" s="1495">
        <f t="shared" si="351"/>
        <v>0</v>
      </c>
      <c r="CF248" s="1577">
        <f t="shared" si="352"/>
        <v>0</v>
      </c>
      <c r="CG248" s="1576">
        <f t="shared" si="310"/>
        <v>0</v>
      </c>
      <c r="CH248" s="1495">
        <f t="shared" si="353"/>
        <v>0</v>
      </c>
      <c r="CI248" s="1577">
        <f t="shared" si="354"/>
        <v>0</v>
      </c>
      <c r="CJ248" s="1576">
        <f t="shared" si="311"/>
        <v>0</v>
      </c>
      <c r="CK248" s="1495">
        <f t="shared" si="355"/>
        <v>0</v>
      </c>
      <c r="CL248" s="1577">
        <f t="shared" si="356"/>
        <v>0</v>
      </c>
      <c r="CM248" s="1576">
        <f t="shared" si="312"/>
        <v>0</v>
      </c>
      <c r="CN248" s="1495">
        <f t="shared" si="357"/>
        <v>0</v>
      </c>
      <c r="CO248" s="1577">
        <f t="shared" si="358"/>
        <v>0</v>
      </c>
      <c r="CP248" s="1576">
        <f t="shared" si="313"/>
        <v>0</v>
      </c>
      <c r="CQ248" s="1495">
        <f t="shared" si="359"/>
        <v>0</v>
      </c>
      <c r="CR248" s="1577">
        <f t="shared" si="360"/>
        <v>0</v>
      </c>
      <c r="CS248" s="1576">
        <f t="shared" si="314"/>
        <v>0</v>
      </c>
      <c r="CT248" s="1495">
        <f t="shared" si="361"/>
        <v>0</v>
      </c>
      <c r="CU248" s="1577">
        <f t="shared" si="362"/>
        <v>0</v>
      </c>
      <c r="CV248" s="1576">
        <f t="shared" si="315"/>
        <v>0</v>
      </c>
      <c r="CW248" s="1495">
        <f t="shared" si="363"/>
        <v>0</v>
      </c>
      <c r="CX248" s="1577">
        <f t="shared" si="364"/>
        <v>0</v>
      </c>
      <c r="CY248" s="1576">
        <f t="shared" si="316"/>
        <v>0</v>
      </c>
      <c r="CZ248" s="1574">
        <f t="shared" si="317"/>
        <v>0</v>
      </c>
      <c r="DA248" s="1578">
        <f t="shared" si="319"/>
        <v>0</v>
      </c>
      <c r="DB248" s="1579">
        <f t="shared" si="320"/>
        <v>0</v>
      </c>
      <c r="DC248" s="1578">
        <f t="shared" si="321"/>
        <v>0</v>
      </c>
      <c r="DD248" s="1578">
        <f t="shared" si="321"/>
        <v>0</v>
      </c>
      <c r="DE248" s="1578">
        <f t="shared" si="321"/>
        <v>0</v>
      </c>
      <c r="DF248" s="1578">
        <f t="shared" si="322"/>
        <v>0</v>
      </c>
      <c r="DG248" s="1538"/>
      <c r="DH248" s="1538"/>
      <c r="DI248" s="1422"/>
      <c r="DJ248" s="1753" t="s">
        <v>1826</v>
      </c>
      <c r="DK248" s="1776">
        <v>1.4</v>
      </c>
      <c r="DL248" s="1835" t="s">
        <v>1821</v>
      </c>
      <c r="DM248" s="1836"/>
      <c r="DN248" s="1837"/>
      <c r="DO248" s="1428"/>
      <c r="DP248" s="1428"/>
      <c r="DQ248" s="1422"/>
      <c r="DR248" s="1428"/>
      <c r="DS248" s="1428"/>
      <c r="DT248" s="1428"/>
      <c r="DU248" s="1428"/>
      <c r="DV248" s="1428"/>
      <c r="DW248" s="1428"/>
      <c r="DX248" s="1428"/>
      <c r="DY248" s="1428"/>
      <c r="DZ248" s="1428"/>
      <c r="EA248" s="1428"/>
      <c r="EB248" s="1428"/>
      <c r="EC248" s="1428"/>
      <c r="ED248" s="1428"/>
      <c r="EE248" s="1428"/>
      <c r="EF248" s="1428"/>
      <c r="EG248" s="1428"/>
      <c r="EH248" s="1428"/>
      <c r="EI248" s="1428"/>
      <c r="EJ248" s="1428"/>
      <c r="EK248" s="1428"/>
      <c r="EL248" s="1428"/>
      <c r="EM248" s="1428"/>
      <c r="EN248" s="1428"/>
      <c r="EO248" s="1428"/>
      <c r="EP248" s="1428"/>
      <c r="EQ248" s="1428"/>
      <c r="ER248" s="1428"/>
      <c r="ES248" s="1428"/>
      <c r="ET248" s="1428"/>
      <c r="EU248" s="1428"/>
    </row>
    <row r="249" spans="1:151" s="1440" customFormat="1" ht="15" customHeight="1">
      <c r="A249" s="1834"/>
      <c r="B249" s="1688" t="s">
        <v>2326</v>
      </c>
      <c r="J249" s="1816"/>
      <c r="K249" s="1720"/>
      <c r="L249" s="1720"/>
      <c r="M249" s="1720"/>
      <c r="N249" s="1430"/>
      <c r="O249" s="1430"/>
      <c r="P249" s="1430"/>
      <c r="Q249" s="1430"/>
      <c r="R249" s="1430"/>
      <c r="S249" s="1430"/>
      <c r="T249" s="1430"/>
      <c r="U249" s="1430"/>
      <c r="V249" s="1430"/>
      <c r="W249" s="1430"/>
      <c r="X249" s="1430"/>
      <c r="Y249" s="1430"/>
      <c r="Z249" s="1430"/>
      <c r="AA249" s="1430"/>
      <c r="AB249" s="1430"/>
      <c r="AC249" s="1430"/>
      <c r="AD249" s="1430"/>
      <c r="AE249" s="1430"/>
      <c r="AF249" s="1430"/>
      <c r="AG249" s="1430"/>
      <c r="AH249" s="1430"/>
      <c r="AI249" s="1430"/>
      <c r="AJ249" s="1430"/>
      <c r="AK249" s="1430"/>
      <c r="AL249" s="1430"/>
      <c r="AM249" s="1430"/>
      <c r="AN249" s="1430"/>
      <c r="AO249" s="1430"/>
      <c r="AP249" s="1430"/>
      <c r="AQ249" s="1430"/>
      <c r="AR249" s="1430"/>
      <c r="AS249" s="1430"/>
      <c r="AT249" s="1430"/>
      <c r="AU249" s="1430"/>
      <c r="AV249" s="1704"/>
      <c r="AW249" s="1430"/>
      <c r="AX249" s="1430"/>
      <c r="AY249" s="1430"/>
      <c r="AZ249" s="1430"/>
      <c r="BA249" s="1430"/>
      <c r="BB249" s="1430"/>
      <c r="BC249" s="1430"/>
      <c r="BD249" s="1475"/>
      <c r="BE249" s="1571" t="s">
        <v>1215</v>
      </c>
      <c r="BF249" s="1436">
        <v>22</v>
      </c>
      <c r="BG249" s="1436">
        <v>18</v>
      </c>
      <c r="BH249" s="1436">
        <v>3</v>
      </c>
      <c r="BI249" s="1495" t="b">
        <f t="shared" si="318"/>
        <v>1</v>
      </c>
      <c r="BJ249" s="1450" t="b">
        <f t="shared" si="339"/>
        <v>0</v>
      </c>
      <c r="BK249" s="1572">
        <f t="shared" si="340"/>
        <v>0</v>
      </c>
      <c r="BL249" s="1581">
        <f>IF(SUM(BL$232:BL248,BK249)&gt;$BQ$4,0,BK249)</f>
        <v>0</v>
      </c>
      <c r="BM249" s="1436">
        <f t="shared" si="303"/>
        <v>0</v>
      </c>
      <c r="BN249" s="1495">
        <f t="shared" si="304"/>
        <v>0</v>
      </c>
      <c r="BO249" s="1437">
        <f t="shared" si="324"/>
        <v>0</v>
      </c>
      <c r="BP249" s="1762">
        <f t="shared" si="341"/>
        <v>0</v>
      </c>
      <c r="BQ249" s="1577">
        <f t="shared" si="342"/>
        <v>0</v>
      </c>
      <c r="BR249" s="1576">
        <f t="shared" si="305"/>
        <v>0</v>
      </c>
      <c r="BS249" s="1574">
        <f t="shared" si="343"/>
        <v>0</v>
      </c>
      <c r="BT249" s="1577">
        <f t="shared" si="344"/>
        <v>0</v>
      </c>
      <c r="BU249" s="1576">
        <f t="shared" si="306"/>
        <v>0</v>
      </c>
      <c r="BV249" s="1574">
        <f t="shared" si="345"/>
        <v>0</v>
      </c>
      <c r="BW249" s="1577">
        <f t="shared" si="346"/>
        <v>0</v>
      </c>
      <c r="BX249" s="1576">
        <f t="shared" si="307"/>
        <v>0</v>
      </c>
      <c r="BY249" s="1574">
        <f t="shared" si="347"/>
        <v>0</v>
      </c>
      <c r="BZ249" s="1577">
        <f t="shared" si="348"/>
        <v>0</v>
      </c>
      <c r="CA249" s="1576">
        <f t="shared" si="308"/>
        <v>0</v>
      </c>
      <c r="CB249" s="1495">
        <f t="shared" si="349"/>
        <v>0</v>
      </c>
      <c r="CC249" s="1577">
        <f t="shared" si="350"/>
        <v>0</v>
      </c>
      <c r="CD249" s="1576">
        <f t="shared" si="309"/>
        <v>0</v>
      </c>
      <c r="CE249" s="1495">
        <f t="shared" si="351"/>
        <v>0</v>
      </c>
      <c r="CF249" s="1577">
        <f t="shared" si="352"/>
        <v>0</v>
      </c>
      <c r="CG249" s="1576">
        <f t="shared" si="310"/>
        <v>0</v>
      </c>
      <c r="CH249" s="1495">
        <f t="shared" si="353"/>
        <v>0</v>
      </c>
      <c r="CI249" s="1577">
        <f t="shared" si="354"/>
        <v>0</v>
      </c>
      <c r="CJ249" s="1576">
        <f t="shared" si="311"/>
        <v>0</v>
      </c>
      <c r="CK249" s="1495">
        <f t="shared" si="355"/>
        <v>0</v>
      </c>
      <c r="CL249" s="1577">
        <f t="shared" si="356"/>
        <v>0</v>
      </c>
      <c r="CM249" s="1576">
        <f t="shared" si="312"/>
        <v>0</v>
      </c>
      <c r="CN249" s="1495">
        <f t="shared" si="357"/>
        <v>0</v>
      </c>
      <c r="CO249" s="1577">
        <f t="shared" si="358"/>
        <v>0</v>
      </c>
      <c r="CP249" s="1576">
        <f t="shared" si="313"/>
        <v>0</v>
      </c>
      <c r="CQ249" s="1495">
        <f t="shared" si="359"/>
        <v>0</v>
      </c>
      <c r="CR249" s="1577">
        <f t="shared" si="360"/>
        <v>0</v>
      </c>
      <c r="CS249" s="1576">
        <f t="shared" si="314"/>
        <v>0</v>
      </c>
      <c r="CT249" s="1495">
        <f t="shared" si="361"/>
        <v>0</v>
      </c>
      <c r="CU249" s="1577">
        <f t="shared" si="362"/>
        <v>0</v>
      </c>
      <c r="CV249" s="1576">
        <f t="shared" si="315"/>
        <v>0</v>
      </c>
      <c r="CW249" s="1495">
        <f t="shared" si="363"/>
        <v>0</v>
      </c>
      <c r="CX249" s="1577">
        <f t="shared" si="364"/>
        <v>0</v>
      </c>
      <c r="CY249" s="1576">
        <f t="shared" si="316"/>
        <v>0</v>
      </c>
      <c r="CZ249" s="1574">
        <f t="shared" si="317"/>
        <v>0</v>
      </c>
      <c r="DA249" s="1578">
        <f t="shared" si="319"/>
        <v>0</v>
      </c>
      <c r="DB249" s="1579">
        <f t="shared" si="320"/>
        <v>0</v>
      </c>
      <c r="DC249" s="1578">
        <f t="shared" si="321"/>
        <v>0</v>
      </c>
      <c r="DD249" s="1578">
        <f t="shared" si="321"/>
        <v>0</v>
      </c>
      <c r="DE249" s="1578">
        <f t="shared" si="321"/>
        <v>0</v>
      </c>
      <c r="DF249" s="1578">
        <f t="shared" si="322"/>
        <v>0</v>
      </c>
      <c r="DG249" s="1538"/>
      <c r="DH249" s="1538"/>
      <c r="DI249" s="1422"/>
      <c r="DJ249" s="1753" t="s">
        <v>1828</v>
      </c>
      <c r="DK249" s="1776">
        <v>0.1</v>
      </c>
      <c r="DL249" s="1838" t="s">
        <v>1829</v>
      </c>
      <c r="DM249" s="1839"/>
      <c r="DN249" s="1840"/>
      <c r="DO249" s="1428"/>
      <c r="DP249" s="1428"/>
      <c r="DQ249" s="1422"/>
      <c r="DR249" s="1428"/>
      <c r="DS249" s="1428"/>
      <c r="DT249" s="1428"/>
      <c r="DU249" s="1428"/>
      <c r="DV249" s="1428"/>
      <c r="DW249" s="1428"/>
      <c r="DX249" s="1428"/>
      <c r="DY249" s="1428"/>
      <c r="DZ249" s="1428"/>
      <c r="EA249" s="1428"/>
      <c r="EB249" s="1428"/>
      <c r="EC249" s="1428"/>
      <c r="ED249" s="1428"/>
      <c r="EE249" s="1428"/>
      <c r="EF249" s="1428"/>
      <c r="EG249" s="1428"/>
      <c r="EH249" s="1428"/>
      <c r="EI249" s="1428"/>
      <c r="EJ249" s="1428"/>
      <c r="EK249" s="1428"/>
      <c r="EL249" s="1428"/>
      <c r="EM249" s="1428"/>
      <c r="EN249" s="1428"/>
      <c r="EO249" s="1428"/>
      <c r="EP249" s="1428"/>
      <c r="EQ249" s="1428"/>
      <c r="ER249" s="1428"/>
      <c r="ES249" s="1428"/>
      <c r="ET249" s="1428"/>
      <c r="EU249" s="1428"/>
    </row>
    <row r="250" spans="1:151" s="1440" customFormat="1" ht="15" customHeight="1">
      <c r="A250" s="1834"/>
      <c r="B250" s="1841" t="s">
        <v>2225</v>
      </c>
      <c r="C250" s="1667"/>
      <c r="D250" s="1667"/>
      <c r="E250" s="1637" t="s">
        <v>368</v>
      </c>
      <c r="J250" s="1816"/>
      <c r="K250" s="1720"/>
      <c r="L250" s="1720"/>
      <c r="M250" s="1720"/>
      <c r="N250" s="1430" t="s">
        <v>2226</v>
      </c>
      <c r="O250" s="1430"/>
      <c r="P250" s="1430"/>
      <c r="Q250" s="1430"/>
      <c r="R250" s="1430"/>
      <c r="S250" s="1430"/>
      <c r="T250" s="1430"/>
      <c r="U250" s="1430"/>
      <c r="V250" s="1430"/>
      <c r="W250" s="1430"/>
      <c r="X250" s="1430"/>
      <c r="Y250" s="1430"/>
      <c r="Z250" s="1430"/>
      <c r="AA250" s="1430"/>
      <c r="AB250" s="1430"/>
      <c r="AC250" s="1430"/>
      <c r="AD250" s="1430"/>
      <c r="AE250" s="1430"/>
      <c r="AF250" s="1430"/>
      <c r="AG250" s="1430"/>
      <c r="AH250" s="1430"/>
      <c r="AI250" s="1430"/>
      <c r="AJ250" s="1430"/>
      <c r="AK250" s="1430"/>
      <c r="AL250" s="1430"/>
      <c r="AM250" s="1430"/>
      <c r="AN250" s="1430"/>
      <c r="AO250" s="1430"/>
      <c r="AP250" s="1430"/>
      <c r="AQ250" s="1430"/>
      <c r="AR250" s="1430"/>
      <c r="AS250" s="1430"/>
      <c r="AT250" s="1430"/>
      <c r="AU250" s="1430"/>
      <c r="AV250" s="1704"/>
      <c r="AW250" s="1430"/>
      <c r="AX250" s="1430"/>
      <c r="AY250" s="1430"/>
      <c r="AZ250" s="1430"/>
      <c r="BA250" s="1430"/>
      <c r="BB250" s="1430"/>
      <c r="BC250" s="1430"/>
      <c r="BD250" s="1475"/>
      <c r="BE250" s="1571" t="s">
        <v>1215</v>
      </c>
      <c r="BF250" s="1436">
        <v>22</v>
      </c>
      <c r="BG250" s="1436">
        <v>19</v>
      </c>
      <c r="BH250" s="1436">
        <v>4</v>
      </c>
      <c r="BI250" s="1495" t="b">
        <f t="shared" si="318"/>
        <v>1</v>
      </c>
      <c r="BJ250" s="1450" t="b">
        <f t="shared" si="339"/>
        <v>0</v>
      </c>
      <c r="BK250" s="1572">
        <f t="shared" si="340"/>
        <v>0</v>
      </c>
      <c r="BL250" s="1581">
        <f>IF(SUM(BL$232:BL249,BK250)&gt;$BQ$4,0,BK250)</f>
        <v>0</v>
      </c>
      <c r="BM250" s="1436">
        <f t="shared" si="303"/>
        <v>0</v>
      </c>
      <c r="BN250" s="1495">
        <f t="shared" si="304"/>
        <v>0</v>
      </c>
      <c r="BO250" s="1437">
        <f t="shared" si="324"/>
        <v>0</v>
      </c>
      <c r="BP250" s="1762">
        <f t="shared" si="341"/>
        <v>0</v>
      </c>
      <c r="BQ250" s="1577">
        <f t="shared" si="342"/>
        <v>0</v>
      </c>
      <c r="BR250" s="1576">
        <f t="shared" si="305"/>
        <v>0</v>
      </c>
      <c r="BS250" s="1574">
        <f t="shared" si="343"/>
        <v>0</v>
      </c>
      <c r="BT250" s="1577">
        <f t="shared" si="344"/>
        <v>0</v>
      </c>
      <c r="BU250" s="1576">
        <f t="shared" si="306"/>
        <v>0</v>
      </c>
      <c r="BV250" s="1574">
        <f t="shared" si="345"/>
        <v>0</v>
      </c>
      <c r="BW250" s="1577">
        <f t="shared" si="346"/>
        <v>0</v>
      </c>
      <c r="BX250" s="1576">
        <f t="shared" si="307"/>
        <v>0</v>
      </c>
      <c r="BY250" s="1574">
        <f t="shared" si="347"/>
        <v>0</v>
      </c>
      <c r="BZ250" s="1577">
        <f t="shared" si="348"/>
        <v>0</v>
      </c>
      <c r="CA250" s="1576">
        <f t="shared" si="308"/>
        <v>0</v>
      </c>
      <c r="CB250" s="1495">
        <f t="shared" si="349"/>
        <v>0</v>
      </c>
      <c r="CC250" s="1577">
        <f t="shared" si="350"/>
        <v>0</v>
      </c>
      <c r="CD250" s="1576">
        <f t="shared" si="309"/>
        <v>0</v>
      </c>
      <c r="CE250" s="1495">
        <f t="shared" si="351"/>
        <v>0</v>
      </c>
      <c r="CF250" s="1577">
        <f t="shared" si="352"/>
        <v>0</v>
      </c>
      <c r="CG250" s="1576">
        <f t="shared" si="310"/>
        <v>0</v>
      </c>
      <c r="CH250" s="1495">
        <f t="shared" si="353"/>
        <v>0</v>
      </c>
      <c r="CI250" s="1577">
        <f t="shared" si="354"/>
        <v>0</v>
      </c>
      <c r="CJ250" s="1576">
        <f t="shared" si="311"/>
        <v>0</v>
      </c>
      <c r="CK250" s="1495">
        <f t="shared" si="355"/>
        <v>0</v>
      </c>
      <c r="CL250" s="1577">
        <f t="shared" si="356"/>
        <v>0</v>
      </c>
      <c r="CM250" s="1576">
        <f t="shared" si="312"/>
        <v>0</v>
      </c>
      <c r="CN250" s="1495">
        <f t="shared" si="357"/>
        <v>0</v>
      </c>
      <c r="CO250" s="1577">
        <f t="shared" si="358"/>
        <v>0</v>
      </c>
      <c r="CP250" s="1576">
        <f t="shared" si="313"/>
        <v>0</v>
      </c>
      <c r="CQ250" s="1495">
        <f t="shared" si="359"/>
        <v>0</v>
      </c>
      <c r="CR250" s="1577">
        <f t="shared" si="360"/>
        <v>0</v>
      </c>
      <c r="CS250" s="1576">
        <f t="shared" si="314"/>
        <v>0</v>
      </c>
      <c r="CT250" s="1495">
        <f t="shared" si="361"/>
        <v>0</v>
      </c>
      <c r="CU250" s="1577">
        <f t="shared" si="362"/>
        <v>0</v>
      </c>
      <c r="CV250" s="1576">
        <f t="shared" si="315"/>
        <v>0</v>
      </c>
      <c r="CW250" s="1495">
        <f t="shared" si="363"/>
        <v>0</v>
      </c>
      <c r="CX250" s="1577">
        <f t="shared" si="364"/>
        <v>0</v>
      </c>
      <c r="CY250" s="1576">
        <f t="shared" si="316"/>
        <v>0</v>
      </c>
      <c r="CZ250" s="1574">
        <f t="shared" si="317"/>
        <v>0</v>
      </c>
      <c r="DA250" s="1578">
        <f t="shared" si="319"/>
        <v>0</v>
      </c>
      <c r="DB250" s="1579">
        <f t="shared" si="320"/>
        <v>0</v>
      </c>
      <c r="DC250" s="1578">
        <f t="shared" si="321"/>
        <v>0</v>
      </c>
      <c r="DD250" s="1578">
        <f t="shared" si="321"/>
        <v>0</v>
      </c>
      <c r="DE250" s="1578">
        <f t="shared" si="321"/>
        <v>0</v>
      </c>
      <c r="DF250" s="1578">
        <f t="shared" si="322"/>
        <v>0</v>
      </c>
      <c r="DG250" s="1538"/>
      <c r="DH250" s="1538"/>
      <c r="DI250" s="1422"/>
      <c r="DJ250" s="1428"/>
      <c r="DK250" s="1428"/>
      <c r="DL250" s="1428"/>
      <c r="DM250" s="1428"/>
      <c r="DN250" s="1428"/>
      <c r="DO250" s="1428"/>
      <c r="DP250" s="1428"/>
      <c r="DQ250" s="1422"/>
      <c r="DR250" s="1428"/>
      <c r="DS250" s="1428"/>
      <c r="DT250" s="1428"/>
      <c r="DU250" s="1428"/>
      <c r="DV250" s="1428"/>
      <c r="DW250" s="1428"/>
      <c r="DX250" s="1428"/>
      <c r="DY250" s="1428"/>
      <c r="DZ250" s="1428"/>
      <c r="EA250" s="1428"/>
      <c r="EB250" s="1428"/>
      <c r="EC250" s="1428"/>
      <c r="ED250" s="1428"/>
      <c r="EE250" s="1428"/>
      <c r="EF250" s="1428"/>
      <c r="EG250" s="1428"/>
      <c r="EH250" s="1428"/>
      <c r="EI250" s="1428"/>
      <c r="EJ250" s="1428"/>
      <c r="EK250" s="1428"/>
      <c r="EL250" s="1428"/>
      <c r="EM250" s="1428"/>
      <c r="EN250" s="1428"/>
      <c r="EO250" s="1428"/>
      <c r="EP250" s="1428"/>
      <c r="EQ250" s="1428"/>
      <c r="ER250" s="1428"/>
      <c r="ES250" s="1428"/>
      <c r="ET250" s="1428"/>
      <c r="EU250" s="1428"/>
    </row>
    <row r="251" spans="1:151" s="1440" customFormat="1" ht="15" customHeight="1">
      <c r="A251" s="1834"/>
      <c r="J251" s="1816"/>
      <c r="K251" s="1720"/>
      <c r="L251" s="1720"/>
      <c r="M251" s="1720"/>
      <c r="N251" s="1430" t="b">
        <f>E250="Yes"</f>
        <v>0</v>
      </c>
      <c r="O251" s="1430"/>
      <c r="P251" s="1430"/>
      <c r="Q251" s="1430"/>
      <c r="R251" s="1430"/>
      <c r="S251" s="1430"/>
      <c r="T251" s="1430"/>
      <c r="U251" s="1430"/>
      <c r="V251" s="1430"/>
      <c r="W251" s="1430"/>
      <c r="X251" s="1430"/>
      <c r="Y251" s="1430"/>
      <c r="Z251" s="1430"/>
      <c r="AA251" s="1430"/>
      <c r="AB251" s="1430"/>
      <c r="AC251" s="1430"/>
      <c r="AD251" s="1430"/>
      <c r="AE251" s="1430"/>
      <c r="AF251" s="1430"/>
      <c r="AG251" s="1430"/>
      <c r="AH251" s="1430"/>
      <c r="AI251" s="1430"/>
      <c r="AJ251" s="1430"/>
      <c r="AK251" s="1430"/>
      <c r="AL251" s="1430"/>
      <c r="AM251" s="1430"/>
      <c r="AN251" s="1430"/>
      <c r="AO251" s="1430"/>
      <c r="AP251" s="1430"/>
      <c r="AQ251" s="1430"/>
      <c r="AR251" s="1430"/>
      <c r="AS251" s="1430"/>
      <c r="AT251" s="1430"/>
      <c r="AU251" s="1430"/>
      <c r="AV251" s="1704"/>
      <c r="AW251" s="1430"/>
      <c r="AX251" s="1430"/>
      <c r="AY251" s="1430"/>
      <c r="AZ251" s="1430"/>
      <c r="BA251" s="1430"/>
      <c r="BB251" s="1430"/>
      <c r="BC251" s="1430"/>
      <c r="BD251" s="1475"/>
      <c r="BE251" s="1571" t="s">
        <v>1215</v>
      </c>
      <c r="BF251" s="1436">
        <v>22</v>
      </c>
      <c r="BG251" s="1436">
        <v>20</v>
      </c>
      <c r="BH251" s="1436">
        <v>5</v>
      </c>
      <c r="BI251" s="1495" t="b">
        <f t="shared" si="318"/>
        <v>1</v>
      </c>
      <c r="BJ251" s="1450" t="b">
        <f t="shared" si="339"/>
        <v>0</v>
      </c>
      <c r="BK251" s="1572">
        <f t="shared" si="340"/>
        <v>0</v>
      </c>
      <c r="BL251" s="1581">
        <f>IF(SUM(BL$232:BL250,BK251)&gt;$BQ$4,0,BK251)</f>
        <v>0</v>
      </c>
      <c r="BM251" s="1436">
        <f t="shared" si="303"/>
        <v>0</v>
      </c>
      <c r="BN251" s="1495">
        <f t="shared" si="304"/>
        <v>0</v>
      </c>
      <c r="BO251" s="1437">
        <f t="shared" si="324"/>
        <v>0</v>
      </c>
      <c r="BP251" s="1762">
        <f t="shared" si="341"/>
        <v>0</v>
      </c>
      <c r="BQ251" s="1577">
        <f t="shared" si="342"/>
        <v>0</v>
      </c>
      <c r="BR251" s="1576">
        <f t="shared" si="305"/>
        <v>0</v>
      </c>
      <c r="BS251" s="1574">
        <f t="shared" si="343"/>
        <v>0</v>
      </c>
      <c r="BT251" s="1577">
        <f t="shared" si="344"/>
        <v>0</v>
      </c>
      <c r="BU251" s="1576">
        <f t="shared" si="306"/>
        <v>0</v>
      </c>
      <c r="BV251" s="1574">
        <f t="shared" si="345"/>
        <v>0</v>
      </c>
      <c r="BW251" s="1577">
        <f t="shared" si="346"/>
        <v>0</v>
      </c>
      <c r="BX251" s="1576">
        <f t="shared" si="307"/>
        <v>0</v>
      </c>
      <c r="BY251" s="1574">
        <f t="shared" si="347"/>
        <v>0</v>
      </c>
      <c r="BZ251" s="1577">
        <f t="shared" si="348"/>
        <v>0</v>
      </c>
      <c r="CA251" s="1576">
        <f t="shared" si="308"/>
        <v>0</v>
      </c>
      <c r="CB251" s="1495">
        <f t="shared" si="349"/>
        <v>0</v>
      </c>
      <c r="CC251" s="1577">
        <f t="shared" si="350"/>
        <v>0</v>
      </c>
      <c r="CD251" s="1576">
        <f t="shared" si="309"/>
        <v>0</v>
      </c>
      <c r="CE251" s="1495">
        <f t="shared" si="351"/>
        <v>0</v>
      </c>
      <c r="CF251" s="1577">
        <f t="shared" si="352"/>
        <v>0</v>
      </c>
      <c r="CG251" s="1576">
        <f t="shared" si="310"/>
        <v>0</v>
      </c>
      <c r="CH251" s="1495">
        <f t="shared" si="353"/>
        <v>0</v>
      </c>
      <c r="CI251" s="1577">
        <f t="shared" si="354"/>
        <v>0</v>
      </c>
      <c r="CJ251" s="1576">
        <f t="shared" si="311"/>
        <v>0</v>
      </c>
      <c r="CK251" s="1495">
        <f t="shared" si="355"/>
        <v>0</v>
      </c>
      <c r="CL251" s="1577">
        <f t="shared" si="356"/>
        <v>0</v>
      </c>
      <c r="CM251" s="1576">
        <f t="shared" si="312"/>
        <v>0</v>
      </c>
      <c r="CN251" s="1495">
        <f t="shared" si="357"/>
        <v>0</v>
      </c>
      <c r="CO251" s="1577">
        <f t="shared" si="358"/>
        <v>0</v>
      </c>
      <c r="CP251" s="1576">
        <f t="shared" si="313"/>
        <v>0</v>
      </c>
      <c r="CQ251" s="1495">
        <f t="shared" si="359"/>
        <v>0</v>
      </c>
      <c r="CR251" s="1577">
        <f t="shared" si="360"/>
        <v>0</v>
      </c>
      <c r="CS251" s="1576">
        <f t="shared" si="314"/>
        <v>0</v>
      </c>
      <c r="CT251" s="1495">
        <f t="shared" si="361"/>
        <v>0</v>
      </c>
      <c r="CU251" s="1577">
        <f t="shared" si="362"/>
        <v>0</v>
      </c>
      <c r="CV251" s="1576">
        <f t="shared" si="315"/>
        <v>0</v>
      </c>
      <c r="CW251" s="1495">
        <f t="shared" si="363"/>
        <v>0</v>
      </c>
      <c r="CX251" s="1577">
        <f t="shared" si="364"/>
        <v>0</v>
      </c>
      <c r="CY251" s="1576">
        <f t="shared" si="316"/>
        <v>0</v>
      </c>
      <c r="CZ251" s="1574">
        <f t="shared" si="317"/>
        <v>0</v>
      </c>
      <c r="DA251" s="1578">
        <f t="shared" si="319"/>
        <v>0</v>
      </c>
      <c r="DB251" s="1579">
        <f t="shared" si="320"/>
        <v>0</v>
      </c>
      <c r="DC251" s="1578">
        <f t="shared" si="321"/>
        <v>0</v>
      </c>
      <c r="DD251" s="1578">
        <f t="shared" si="321"/>
        <v>0</v>
      </c>
      <c r="DE251" s="1578">
        <f t="shared" si="321"/>
        <v>0</v>
      </c>
      <c r="DF251" s="1578">
        <f t="shared" si="322"/>
        <v>0</v>
      </c>
      <c r="DG251" s="1538"/>
      <c r="DH251" s="1538"/>
      <c r="DI251" s="1422"/>
      <c r="DJ251" s="1428"/>
      <c r="DK251" s="1428"/>
      <c r="DL251" s="1428"/>
      <c r="DM251" s="1428"/>
      <c r="DN251" s="1428"/>
      <c r="DO251" s="1428"/>
      <c r="DP251" s="1428"/>
      <c r="DQ251" s="1422"/>
      <c r="DR251" s="1428"/>
      <c r="DS251" s="1428"/>
      <c r="DT251" s="1428"/>
      <c r="DU251" s="1428"/>
      <c r="DV251" s="1428"/>
      <c r="DW251" s="1428"/>
      <c r="DX251" s="1428"/>
      <c r="DY251" s="1428"/>
      <c r="DZ251" s="1428"/>
      <c r="EA251" s="1428"/>
      <c r="EB251" s="1428"/>
      <c r="EC251" s="1428"/>
      <c r="ED251" s="1428"/>
      <c r="EE251" s="1428"/>
      <c r="EF251" s="1428"/>
      <c r="EG251" s="1428"/>
      <c r="EH251" s="1428"/>
      <c r="EI251" s="1428"/>
      <c r="EJ251" s="1428"/>
      <c r="EK251" s="1428"/>
      <c r="EL251" s="1428"/>
      <c r="EM251" s="1428"/>
      <c r="EN251" s="1428"/>
      <c r="EO251" s="1428"/>
      <c r="EP251" s="1428"/>
      <c r="EQ251" s="1428"/>
      <c r="ER251" s="1428"/>
      <c r="ES251" s="1428"/>
      <c r="ET251" s="1428"/>
      <c r="EU251" s="1428"/>
    </row>
    <row r="252" spans="1:151" s="1440" customFormat="1" ht="15.75" customHeight="1">
      <c r="A252" s="1834"/>
      <c r="J252" s="1816"/>
      <c r="K252" s="1720"/>
      <c r="L252" s="1720"/>
      <c r="M252" s="1720"/>
      <c r="N252" s="1430"/>
      <c r="O252" s="1430"/>
      <c r="P252" s="1430"/>
      <c r="Q252" s="1430"/>
      <c r="R252" s="1430"/>
      <c r="S252" s="1430"/>
      <c r="T252" s="1430"/>
      <c r="U252" s="1430"/>
      <c r="V252" s="1430"/>
      <c r="W252" s="1430"/>
      <c r="X252" s="1430"/>
      <c r="Y252" s="1430"/>
      <c r="Z252" s="1430"/>
      <c r="AA252" s="1430"/>
      <c r="AB252" s="1430"/>
      <c r="AC252" s="1430"/>
      <c r="AD252" s="1430"/>
      <c r="AE252" s="1430"/>
      <c r="AF252" s="1430"/>
      <c r="AG252" s="1430"/>
      <c r="AH252" s="1430"/>
      <c r="AI252" s="1430"/>
      <c r="AJ252" s="1430"/>
      <c r="AK252" s="1430"/>
      <c r="AL252" s="1430"/>
      <c r="AM252" s="1430"/>
      <c r="AN252" s="1430"/>
      <c r="AO252" s="1430"/>
      <c r="AP252" s="1430"/>
      <c r="AQ252" s="1430"/>
      <c r="AR252" s="1430"/>
      <c r="AS252" s="1430"/>
      <c r="AT252" s="1430"/>
      <c r="AU252" s="1430"/>
      <c r="AV252" s="1704"/>
      <c r="AW252" s="1430"/>
      <c r="AX252" s="1430"/>
      <c r="AY252" s="1430"/>
      <c r="AZ252" s="1430"/>
      <c r="BA252" s="1430"/>
      <c r="BB252" s="1430"/>
      <c r="BC252" s="1430"/>
      <c r="BD252" s="1475"/>
      <c r="BE252" s="1571" t="s">
        <v>1215</v>
      </c>
      <c r="BF252" s="1436">
        <v>22</v>
      </c>
      <c r="BG252" s="1436">
        <v>21</v>
      </c>
      <c r="BH252" s="1436">
        <v>6</v>
      </c>
      <c r="BI252" s="1495" t="b">
        <f t="shared" si="318"/>
        <v>0</v>
      </c>
      <c r="BJ252" s="1450" t="b">
        <f t="shared" si="339"/>
        <v>0</v>
      </c>
      <c r="BK252" s="1572">
        <f t="shared" si="340"/>
        <v>0</v>
      </c>
      <c r="BL252" s="1581">
        <f>IF(SUM(BL$232:BL251,BK252)&gt;$BQ$4,0,BK252)</f>
        <v>0</v>
      </c>
      <c r="BM252" s="1436">
        <f t="shared" si="303"/>
        <v>0</v>
      </c>
      <c r="BN252" s="1495">
        <f t="shared" si="304"/>
        <v>0</v>
      </c>
      <c r="BO252" s="1437">
        <f t="shared" si="324"/>
        <v>0</v>
      </c>
      <c r="BP252" s="1762">
        <f t="shared" si="341"/>
        <v>0</v>
      </c>
      <c r="BQ252" s="1577">
        <f t="shared" si="342"/>
        <v>0</v>
      </c>
      <c r="BR252" s="1576">
        <f t="shared" si="305"/>
        <v>0</v>
      </c>
      <c r="BS252" s="1574">
        <f t="shared" si="343"/>
        <v>0</v>
      </c>
      <c r="BT252" s="1577">
        <f t="shared" si="344"/>
        <v>0</v>
      </c>
      <c r="BU252" s="1576">
        <f t="shared" si="306"/>
        <v>0</v>
      </c>
      <c r="BV252" s="1574">
        <f t="shared" si="345"/>
        <v>0</v>
      </c>
      <c r="BW252" s="1577">
        <f t="shared" si="346"/>
        <v>0</v>
      </c>
      <c r="BX252" s="1576">
        <f t="shared" si="307"/>
        <v>0</v>
      </c>
      <c r="BY252" s="1574">
        <f t="shared" si="347"/>
        <v>0</v>
      </c>
      <c r="BZ252" s="1577">
        <f t="shared" si="348"/>
        <v>0</v>
      </c>
      <c r="CA252" s="1576">
        <f t="shared" si="308"/>
        <v>0</v>
      </c>
      <c r="CB252" s="1495">
        <f t="shared" si="349"/>
        <v>0</v>
      </c>
      <c r="CC252" s="1577">
        <f t="shared" si="350"/>
        <v>0</v>
      </c>
      <c r="CD252" s="1576">
        <f t="shared" si="309"/>
        <v>0</v>
      </c>
      <c r="CE252" s="1495">
        <f t="shared" si="351"/>
        <v>0</v>
      </c>
      <c r="CF252" s="1577">
        <f t="shared" si="352"/>
        <v>0</v>
      </c>
      <c r="CG252" s="1576">
        <f t="shared" si="310"/>
        <v>0</v>
      </c>
      <c r="CH252" s="1495">
        <f t="shared" si="353"/>
        <v>0</v>
      </c>
      <c r="CI252" s="1577">
        <f t="shared" si="354"/>
        <v>0</v>
      </c>
      <c r="CJ252" s="1576">
        <f t="shared" si="311"/>
        <v>0</v>
      </c>
      <c r="CK252" s="1495">
        <f t="shared" si="355"/>
        <v>0</v>
      </c>
      <c r="CL252" s="1577">
        <f t="shared" si="356"/>
        <v>0</v>
      </c>
      <c r="CM252" s="1576">
        <f t="shared" si="312"/>
        <v>0</v>
      </c>
      <c r="CN252" s="1495">
        <f t="shared" si="357"/>
        <v>0</v>
      </c>
      <c r="CO252" s="1577">
        <f t="shared" si="358"/>
        <v>0</v>
      </c>
      <c r="CP252" s="1576">
        <f t="shared" si="313"/>
        <v>0</v>
      </c>
      <c r="CQ252" s="1495">
        <f t="shared" si="359"/>
        <v>0</v>
      </c>
      <c r="CR252" s="1577">
        <f t="shared" si="360"/>
        <v>0</v>
      </c>
      <c r="CS252" s="1576">
        <f t="shared" si="314"/>
        <v>0</v>
      </c>
      <c r="CT252" s="1495">
        <f t="shared" si="361"/>
        <v>0</v>
      </c>
      <c r="CU252" s="1577">
        <f t="shared" si="362"/>
        <v>0</v>
      </c>
      <c r="CV252" s="1576">
        <f t="shared" si="315"/>
        <v>0</v>
      </c>
      <c r="CW252" s="1495">
        <f t="shared" si="363"/>
        <v>0</v>
      </c>
      <c r="CX252" s="1577">
        <f t="shared" si="364"/>
        <v>0</v>
      </c>
      <c r="CY252" s="1576">
        <f t="shared" si="316"/>
        <v>0</v>
      </c>
      <c r="CZ252" s="1574">
        <f t="shared" si="317"/>
        <v>0</v>
      </c>
      <c r="DA252" s="1578">
        <f t="shared" si="319"/>
        <v>0</v>
      </c>
      <c r="DB252" s="1579">
        <f t="shared" si="320"/>
        <v>0</v>
      </c>
      <c r="DC252" s="1578">
        <f t="shared" si="321"/>
        <v>0</v>
      </c>
      <c r="DD252" s="1578">
        <f t="shared" si="321"/>
        <v>0</v>
      </c>
      <c r="DE252" s="1578">
        <f t="shared" si="321"/>
        <v>0</v>
      </c>
      <c r="DF252" s="1578">
        <f t="shared" si="322"/>
        <v>0</v>
      </c>
      <c r="DG252" s="1538"/>
      <c r="DH252" s="1538"/>
      <c r="DI252" s="1422"/>
      <c r="DJ252" s="1428"/>
      <c r="DK252" s="1428"/>
      <c r="DL252" s="1428"/>
      <c r="DM252" s="1428"/>
      <c r="DN252" s="1428"/>
      <c r="DO252" s="1428"/>
      <c r="DP252" s="1428"/>
      <c r="DQ252" s="1422"/>
      <c r="DR252" s="1428"/>
      <c r="DS252" s="1428"/>
      <c r="DT252" s="1428"/>
      <c r="DU252" s="1428"/>
      <c r="DV252" s="1428"/>
      <c r="DW252" s="1428"/>
      <c r="DX252" s="1428"/>
      <c r="DY252" s="1428"/>
      <c r="DZ252" s="1428"/>
      <c r="EA252" s="1428"/>
      <c r="EB252" s="1428"/>
      <c r="EC252" s="1428"/>
      <c r="ED252" s="1428"/>
      <c r="EE252" s="1428"/>
      <c r="EF252" s="1428"/>
      <c r="EG252" s="1428"/>
      <c r="EH252" s="1428"/>
      <c r="EI252" s="1428"/>
      <c r="EJ252" s="1428"/>
      <c r="EK252" s="1428"/>
      <c r="EL252" s="1428"/>
      <c r="EM252" s="1428"/>
      <c r="EN252" s="1428"/>
      <c r="EO252" s="1428"/>
      <c r="EP252" s="1428"/>
      <c r="EQ252" s="1428"/>
      <c r="ER252" s="1428"/>
      <c r="ES252" s="1428"/>
      <c r="ET252" s="1428"/>
      <c r="EU252" s="1428"/>
    </row>
    <row r="253" spans="1:151" s="1440" customFormat="1" ht="14.25" customHeight="1">
      <c r="A253" s="1834"/>
      <c r="J253" s="1816"/>
      <c r="K253" s="1720"/>
      <c r="L253" s="1720"/>
      <c r="M253" s="1720"/>
      <c r="N253" s="1430" t="s">
        <v>2227</v>
      </c>
      <c r="O253" s="1430"/>
      <c r="P253" s="1430" t="b">
        <f>G258&lt;N266</f>
        <v>0</v>
      </c>
      <c r="Q253" s="1430"/>
      <c r="R253" s="1430"/>
      <c r="S253" s="1430"/>
      <c r="T253" s="1430"/>
      <c r="U253" s="1430"/>
      <c r="V253" s="1430"/>
      <c r="W253" s="1430"/>
      <c r="X253" s="1430"/>
      <c r="Y253" s="1430"/>
      <c r="Z253" s="1430"/>
      <c r="AA253" s="1430"/>
      <c r="AB253" s="1430"/>
      <c r="AC253" s="1430"/>
      <c r="AD253" s="1430"/>
      <c r="AE253" s="1430"/>
      <c r="AF253" s="1430"/>
      <c r="AG253" s="1430"/>
      <c r="AH253" s="1430"/>
      <c r="AI253" s="1430"/>
      <c r="AJ253" s="1430"/>
      <c r="AK253" s="1430"/>
      <c r="AL253" s="1430"/>
      <c r="AM253" s="1430"/>
      <c r="AN253" s="1430"/>
      <c r="AO253" s="1430"/>
      <c r="AP253" s="1430"/>
      <c r="AQ253" s="1430"/>
      <c r="AR253" s="1430"/>
      <c r="AS253" s="1430"/>
      <c r="AT253" s="1430"/>
      <c r="AU253" s="1430"/>
      <c r="AV253" s="1704"/>
      <c r="AW253" s="1430"/>
      <c r="AX253" s="1430"/>
      <c r="AY253" s="1430"/>
      <c r="AZ253" s="1430"/>
      <c r="BA253" s="1430"/>
      <c r="BB253" s="1430"/>
      <c r="BC253" s="1430"/>
      <c r="BD253" s="1475"/>
      <c r="BE253" s="1571" t="s">
        <v>1215</v>
      </c>
      <c r="BF253" s="1436">
        <v>22</v>
      </c>
      <c r="BG253" s="1436">
        <v>22</v>
      </c>
      <c r="BH253" s="1436">
        <v>7</v>
      </c>
      <c r="BI253" s="1495" t="b">
        <f t="shared" si="318"/>
        <v>0</v>
      </c>
      <c r="BJ253" s="1450" t="b">
        <f t="shared" si="339"/>
        <v>0</v>
      </c>
      <c r="BK253" s="1572">
        <f t="shared" si="340"/>
        <v>0</v>
      </c>
      <c r="BL253" s="1581">
        <f>IF(SUM(BL$232:BL252,BK253)&gt;$BQ$4,0,BK253)</f>
        <v>0</v>
      </c>
      <c r="BM253" s="1436">
        <f t="shared" si="303"/>
        <v>0</v>
      </c>
      <c r="BN253" s="1495">
        <f t="shared" si="304"/>
        <v>0</v>
      </c>
      <c r="BO253" s="1437">
        <f t="shared" si="324"/>
        <v>0</v>
      </c>
      <c r="BP253" s="1762">
        <f t="shared" si="341"/>
        <v>0</v>
      </c>
      <c r="BQ253" s="1577">
        <f t="shared" si="342"/>
        <v>0</v>
      </c>
      <c r="BR253" s="1576">
        <f t="shared" si="305"/>
        <v>0</v>
      </c>
      <c r="BS253" s="1574">
        <f t="shared" si="343"/>
        <v>0</v>
      </c>
      <c r="BT253" s="1577">
        <f t="shared" si="344"/>
        <v>0</v>
      </c>
      <c r="BU253" s="1576">
        <f t="shared" si="306"/>
        <v>0</v>
      </c>
      <c r="BV253" s="1574">
        <f t="shared" si="345"/>
        <v>0</v>
      </c>
      <c r="BW253" s="1577">
        <f t="shared" si="346"/>
        <v>0</v>
      </c>
      <c r="BX253" s="1576">
        <f t="shared" si="307"/>
        <v>0</v>
      </c>
      <c r="BY253" s="1574">
        <f t="shared" si="347"/>
        <v>0</v>
      </c>
      <c r="BZ253" s="1577">
        <f t="shared" si="348"/>
        <v>0</v>
      </c>
      <c r="CA253" s="1576">
        <f t="shared" si="308"/>
        <v>0</v>
      </c>
      <c r="CB253" s="1495">
        <f t="shared" si="349"/>
        <v>0</v>
      </c>
      <c r="CC253" s="1577">
        <f t="shared" si="350"/>
        <v>0</v>
      </c>
      <c r="CD253" s="1576">
        <f t="shared" si="309"/>
        <v>0</v>
      </c>
      <c r="CE253" s="1495">
        <f t="shared" si="351"/>
        <v>0</v>
      </c>
      <c r="CF253" s="1577">
        <f t="shared" si="352"/>
        <v>0</v>
      </c>
      <c r="CG253" s="1576">
        <f t="shared" si="310"/>
        <v>0</v>
      </c>
      <c r="CH253" s="1495">
        <f t="shared" si="353"/>
        <v>0</v>
      </c>
      <c r="CI253" s="1577">
        <f t="shared" si="354"/>
        <v>0</v>
      </c>
      <c r="CJ253" s="1576">
        <f t="shared" si="311"/>
        <v>0</v>
      </c>
      <c r="CK253" s="1495">
        <f t="shared" si="355"/>
        <v>0</v>
      </c>
      <c r="CL253" s="1577">
        <f t="shared" si="356"/>
        <v>0</v>
      </c>
      <c r="CM253" s="1576">
        <f t="shared" si="312"/>
        <v>0</v>
      </c>
      <c r="CN253" s="1495">
        <f t="shared" si="357"/>
        <v>0</v>
      </c>
      <c r="CO253" s="1577">
        <f t="shared" si="358"/>
        <v>0</v>
      </c>
      <c r="CP253" s="1576">
        <f t="shared" si="313"/>
        <v>0</v>
      </c>
      <c r="CQ253" s="1495">
        <f t="shared" si="359"/>
        <v>0</v>
      </c>
      <c r="CR253" s="1577">
        <f t="shared" si="360"/>
        <v>0</v>
      </c>
      <c r="CS253" s="1576">
        <f t="shared" si="314"/>
        <v>0</v>
      </c>
      <c r="CT253" s="1495">
        <f t="shared" si="361"/>
        <v>0</v>
      </c>
      <c r="CU253" s="1577">
        <f t="shared" si="362"/>
        <v>0</v>
      </c>
      <c r="CV253" s="1576">
        <f t="shared" si="315"/>
        <v>0</v>
      </c>
      <c r="CW253" s="1495">
        <f t="shared" si="363"/>
        <v>0</v>
      </c>
      <c r="CX253" s="1577">
        <f t="shared" si="364"/>
        <v>0</v>
      </c>
      <c r="CY253" s="1576">
        <f t="shared" si="316"/>
        <v>0</v>
      </c>
      <c r="CZ253" s="1574">
        <f t="shared" si="317"/>
        <v>0</v>
      </c>
      <c r="DA253" s="1578">
        <f t="shared" si="319"/>
        <v>0</v>
      </c>
      <c r="DB253" s="1579">
        <f t="shared" si="320"/>
        <v>0</v>
      </c>
      <c r="DC253" s="1578">
        <f t="shared" si="321"/>
        <v>0</v>
      </c>
      <c r="DD253" s="1578">
        <f t="shared" si="321"/>
        <v>0</v>
      </c>
      <c r="DE253" s="1578">
        <f t="shared" si="321"/>
        <v>0</v>
      </c>
      <c r="DF253" s="1578">
        <f>IF(DA253-(DE252+CZ253)&lt;0,0,DA253-(DE252+CZ253))</f>
        <v>0</v>
      </c>
      <c r="DG253" s="1538"/>
      <c r="DH253" s="1538"/>
      <c r="DI253" s="1422"/>
      <c r="DJ253" s="1428"/>
      <c r="DK253" s="1428"/>
      <c r="DL253" s="1428"/>
      <c r="DM253" s="1428"/>
      <c r="DN253" s="1428"/>
      <c r="DO253" s="1428"/>
      <c r="DP253" s="1428"/>
      <c r="DQ253" s="1422"/>
      <c r="DR253" s="1428"/>
      <c r="DS253" s="1428"/>
      <c r="DT253" s="1428"/>
      <c r="DU253" s="1428"/>
      <c r="DV253" s="1428"/>
      <c r="DW253" s="1428"/>
      <c r="DX253" s="1428"/>
      <c r="DY253" s="1428"/>
      <c r="DZ253" s="1428"/>
      <c r="EA253" s="1428"/>
      <c r="EB253" s="1428"/>
      <c r="EC253" s="1428"/>
      <c r="ED253" s="1428"/>
      <c r="EE253" s="1428"/>
      <c r="EF253" s="1428"/>
      <c r="EG253" s="1428"/>
      <c r="EH253" s="1428"/>
      <c r="EI253" s="1428"/>
      <c r="EJ253" s="1428"/>
      <c r="EK253" s="1428"/>
      <c r="EL253" s="1428"/>
      <c r="EM253" s="1428"/>
      <c r="EN253" s="1428"/>
      <c r="EO253" s="1428"/>
      <c r="EP253" s="1428"/>
      <c r="EQ253" s="1428"/>
      <c r="ER253" s="1428"/>
      <c r="ES253" s="1428"/>
      <c r="ET253" s="1428"/>
      <c r="EU253" s="1428"/>
    </row>
    <row r="254" spans="1:151" s="1440" customFormat="1" ht="15.75" customHeight="1">
      <c r="A254" s="1834"/>
      <c r="B254" s="1627" t="s">
        <v>2228</v>
      </c>
      <c r="C254" s="1842"/>
      <c r="D254" s="1842"/>
      <c r="I254" s="2474" t="s">
        <v>2229</v>
      </c>
      <c r="J254" s="2475"/>
      <c r="K254" s="2492" t="s">
        <v>588</v>
      </c>
      <c r="L254" s="1720"/>
      <c r="M254" s="1720"/>
      <c r="N254" s="1430" t="s">
        <v>2230</v>
      </c>
      <c r="O254" s="1430"/>
      <c r="P254" s="1430" t="b">
        <f>G258&gt;=N266</f>
        <v>1</v>
      </c>
      <c r="Q254" s="1430"/>
      <c r="R254" s="1430"/>
      <c r="S254" s="1430"/>
      <c r="T254" s="1430"/>
      <c r="U254" s="1430"/>
      <c r="V254" s="1430"/>
      <c r="W254" s="1430"/>
      <c r="X254" s="1430"/>
      <c r="Y254" s="1430"/>
      <c r="Z254" s="1430"/>
      <c r="AA254" s="1430"/>
      <c r="AB254" s="1430"/>
      <c r="AC254" s="1430"/>
      <c r="AD254" s="1430"/>
      <c r="AE254" s="1430"/>
      <c r="AF254" s="1430"/>
      <c r="AG254" s="1430"/>
      <c r="AH254" s="1430"/>
      <c r="AI254" s="1430"/>
      <c r="AJ254" s="1430"/>
      <c r="AK254" s="1430"/>
      <c r="AL254" s="1430"/>
      <c r="AM254" s="1430"/>
      <c r="AN254" s="1430"/>
      <c r="AO254" s="1430"/>
      <c r="AP254" s="1430"/>
      <c r="AQ254" s="1430"/>
      <c r="AR254" s="1430"/>
      <c r="AS254" s="1430"/>
      <c r="AT254" s="1430"/>
      <c r="AU254" s="1430"/>
      <c r="AV254" s="1704"/>
      <c r="AW254" s="1430"/>
      <c r="AX254" s="1430"/>
      <c r="AY254" s="1430"/>
      <c r="AZ254" s="1430"/>
      <c r="BA254" s="1430"/>
      <c r="BB254" s="1430"/>
      <c r="BC254" s="1430"/>
      <c r="BD254" s="1475"/>
      <c r="BE254" s="1571" t="s">
        <v>1215</v>
      </c>
      <c r="BF254" s="1436">
        <v>22</v>
      </c>
      <c r="BG254" s="1436">
        <v>23</v>
      </c>
      <c r="BH254" s="1436">
        <v>1</v>
      </c>
      <c r="BI254" s="1495" t="b">
        <f t="shared" si="318"/>
        <v>1</v>
      </c>
      <c r="BJ254" s="1450" t="b">
        <f t="shared" si="339"/>
        <v>0</v>
      </c>
      <c r="BK254" s="1572">
        <f>IF(BJ254,BQ$8,0)</f>
        <v>0</v>
      </c>
      <c r="BL254" s="1581">
        <f>IF(SUM(BL$232:BL253,BK254)&gt;$BQ$4,0,BK254)</f>
        <v>0</v>
      </c>
      <c r="BM254" s="1436">
        <f t="shared" si="303"/>
        <v>0</v>
      </c>
      <c r="BN254" s="1495">
        <f t="shared" si="304"/>
        <v>0</v>
      </c>
      <c r="BO254" s="1437">
        <f t="shared" si="324"/>
        <v>0</v>
      </c>
      <c r="BP254" s="1762">
        <f t="shared" si="341"/>
        <v>0</v>
      </c>
      <c r="BQ254" s="1577">
        <f t="shared" si="342"/>
        <v>0</v>
      </c>
      <c r="BR254" s="1576">
        <f t="shared" si="305"/>
        <v>0</v>
      </c>
      <c r="BS254" s="1574">
        <f t="shared" si="343"/>
        <v>0</v>
      </c>
      <c r="BT254" s="1577">
        <f t="shared" si="344"/>
        <v>0</v>
      </c>
      <c r="BU254" s="1576">
        <f t="shared" si="306"/>
        <v>0</v>
      </c>
      <c r="BV254" s="1574">
        <f t="shared" si="345"/>
        <v>0</v>
      </c>
      <c r="BW254" s="1577">
        <f t="shared" si="346"/>
        <v>0</v>
      </c>
      <c r="BX254" s="1576">
        <f t="shared" si="307"/>
        <v>0</v>
      </c>
      <c r="BY254" s="1574">
        <f t="shared" si="347"/>
        <v>0</v>
      </c>
      <c r="BZ254" s="1577">
        <f t="shared" si="348"/>
        <v>0</v>
      </c>
      <c r="CA254" s="1576">
        <f t="shared" si="308"/>
        <v>0</v>
      </c>
      <c r="CB254" s="1495">
        <f t="shared" si="349"/>
        <v>0</v>
      </c>
      <c r="CC254" s="1577">
        <f t="shared" si="350"/>
        <v>0</v>
      </c>
      <c r="CD254" s="1576">
        <f t="shared" si="309"/>
        <v>0</v>
      </c>
      <c r="CE254" s="1495">
        <f t="shared" si="351"/>
        <v>0</v>
      </c>
      <c r="CF254" s="1577">
        <f t="shared" si="352"/>
        <v>0</v>
      </c>
      <c r="CG254" s="1576">
        <f t="shared" si="310"/>
        <v>0</v>
      </c>
      <c r="CH254" s="1495">
        <f t="shared" si="353"/>
        <v>0</v>
      </c>
      <c r="CI254" s="1577">
        <f t="shared" si="354"/>
        <v>0</v>
      </c>
      <c r="CJ254" s="1576">
        <f t="shared" si="311"/>
        <v>0</v>
      </c>
      <c r="CK254" s="1495">
        <f t="shared" si="355"/>
        <v>0</v>
      </c>
      <c r="CL254" s="1577">
        <f t="shared" si="356"/>
        <v>0</v>
      </c>
      <c r="CM254" s="1576">
        <f t="shared" si="312"/>
        <v>0</v>
      </c>
      <c r="CN254" s="1495">
        <f t="shared" si="357"/>
        <v>0</v>
      </c>
      <c r="CO254" s="1577">
        <f t="shared" si="358"/>
        <v>0</v>
      </c>
      <c r="CP254" s="1576">
        <f t="shared" si="313"/>
        <v>0</v>
      </c>
      <c r="CQ254" s="1495">
        <f t="shared" si="359"/>
        <v>0</v>
      </c>
      <c r="CR254" s="1577">
        <f t="shared" si="360"/>
        <v>0</v>
      </c>
      <c r="CS254" s="1576">
        <f t="shared" si="314"/>
        <v>0</v>
      </c>
      <c r="CT254" s="1495">
        <f t="shared" si="361"/>
        <v>0</v>
      </c>
      <c r="CU254" s="1577">
        <f t="shared" si="362"/>
        <v>0</v>
      </c>
      <c r="CV254" s="1576">
        <f t="shared" si="315"/>
        <v>0</v>
      </c>
      <c r="CW254" s="1495">
        <f t="shared" si="363"/>
        <v>0</v>
      </c>
      <c r="CX254" s="1577">
        <f t="shared" si="364"/>
        <v>0</v>
      </c>
      <c r="CY254" s="1576">
        <f t="shared" si="316"/>
        <v>0</v>
      </c>
      <c r="CZ254" s="1574">
        <f t="shared" si="317"/>
        <v>0</v>
      </c>
      <c r="DA254" s="1578">
        <f t="shared" si="319"/>
        <v>0</v>
      </c>
      <c r="DB254" s="1579">
        <f t="shared" si="320"/>
        <v>0</v>
      </c>
      <c r="DC254" s="1578">
        <f t="shared" si="321"/>
        <v>0</v>
      </c>
      <c r="DD254" s="1578">
        <f t="shared" si="321"/>
        <v>0</v>
      </c>
      <c r="DE254" s="1578">
        <f t="shared" si="321"/>
        <v>0</v>
      </c>
      <c r="DF254" s="1578">
        <f>IF(DA254-(DE253+CZ254)&lt;0,0,DA254-(DE253+CZ254))</f>
        <v>0</v>
      </c>
      <c r="DG254" s="1538"/>
      <c r="DH254" s="1538"/>
      <c r="DI254" s="1422"/>
      <c r="DJ254" s="1428"/>
      <c r="DK254" s="1428"/>
      <c r="DL254" s="1428"/>
      <c r="DM254" s="1428"/>
      <c r="DN254" s="1428"/>
      <c r="DO254" s="1428"/>
      <c r="DP254" s="1428"/>
      <c r="DQ254" s="1422"/>
      <c r="DR254" s="1428"/>
      <c r="DS254" s="1428"/>
      <c r="DT254" s="1428"/>
      <c r="DU254" s="1428"/>
      <c r="DV254" s="1428"/>
      <c r="DW254" s="1428"/>
      <c r="DX254" s="1428"/>
      <c r="DY254" s="1428"/>
      <c r="DZ254" s="1428"/>
      <c r="EA254" s="1428"/>
      <c r="EB254" s="1428"/>
      <c r="EC254" s="1428"/>
      <c r="ED254" s="1428"/>
      <c r="EE254" s="1428"/>
      <c r="EF254" s="1428"/>
      <c r="EG254" s="1428"/>
      <c r="EH254" s="1428"/>
      <c r="EI254" s="1428"/>
      <c r="EJ254" s="1428"/>
      <c r="EK254" s="1428"/>
      <c r="EL254" s="1428"/>
      <c r="EM254" s="1428"/>
      <c r="EN254" s="1428"/>
      <c r="EO254" s="1428"/>
      <c r="EP254" s="1428"/>
      <c r="EQ254" s="1428"/>
      <c r="ER254" s="1428"/>
      <c r="ES254" s="1428"/>
      <c r="ET254" s="1428"/>
      <c r="EU254" s="1428"/>
    </row>
    <row r="255" spans="1:151" s="1440" customFormat="1" ht="32.25" customHeight="1">
      <c r="A255" s="1834"/>
      <c r="B255" s="1475"/>
      <c r="C255" s="1596" t="s">
        <v>2231</v>
      </c>
      <c r="E255" s="2479" t="s">
        <v>337</v>
      </c>
      <c r="F255" s="2479"/>
      <c r="G255" s="1736"/>
      <c r="I255" s="2474"/>
      <c r="J255" s="2475"/>
      <c r="K255" s="2493"/>
      <c r="L255" s="1720"/>
      <c r="M255" s="1720"/>
      <c r="N255" s="1430" t="s">
        <v>2232</v>
      </c>
      <c r="O255" s="1430"/>
      <c r="P255" s="1430" t="b">
        <f>K254="Yes"</f>
        <v>1</v>
      </c>
      <c r="Q255" s="1430"/>
      <c r="R255" s="1430"/>
      <c r="S255" s="1430"/>
      <c r="T255" s="1430"/>
      <c r="U255" s="1430"/>
      <c r="V255" s="1430"/>
      <c r="W255" s="1430"/>
      <c r="X255" s="1430"/>
      <c r="Y255" s="1430"/>
      <c r="Z255" s="1430"/>
      <c r="AA255" s="1430"/>
      <c r="AB255" s="1430"/>
      <c r="AC255" s="1430"/>
      <c r="AD255" s="1430"/>
      <c r="AE255" s="1430"/>
      <c r="AF255" s="1430"/>
      <c r="AG255" s="1430"/>
      <c r="AH255" s="1430"/>
      <c r="AI255" s="1430"/>
      <c r="AJ255" s="1430"/>
      <c r="AK255" s="1430"/>
      <c r="AL255" s="1430"/>
      <c r="AM255" s="1430"/>
      <c r="AN255" s="1430"/>
      <c r="AO255" s="1430"/>
      <c r="AP255" s="1430"/>
      <c r="AQ255" s="1430"/>
      <c r="AR255" s="1430"/>
      <c r="AS255" s="1430"/>
      <c r="AT255" s="1430"/>
      <c r="AU255" s="1430"/>
      <c r="AV255" s="1704"/>
      <c r="AW255" s="1430"/>
      <c r="AX255" s="1430"/>
      <c r="AY255" s="1430"/>
      <c r="AZ255" s="1430"/>
      <c r="BA255" s="1430"/>
      <c r="BB255" s="1430"/>
      <c r="BC255" s="1430"/>
      <c r="BE255" s="1571" t="s">
        <v>1215</v>
      </c>
      <c r="BF255" s="1436">
        <v>22</v>
      </c>
      <c r="BG255" s="1436">
        <v>24</v>
      </c>
      <c r="BH255" s="1436">
        <v>2</v>
      </c>
      <c r="BI255" s="1495" t="b">
        <f t="shared" si="318"/>
        <v>1</v>
      </c>
      <c r="BJ255" s="1450" t="b">
        <f t="shared" si="339"/>
        <v>0</v>
      </c>
      <c r="BK255" s="1572">
        <f>IF(BJ255,BQ$8,0)</f>
        <v>0</v>
      </c>
      <c r="BL255" s="1581">
        <f>IF(SUM(BL$232:BL254,BK255)&gt;$BQ$4,0,BK255)</f>
        <v>0</v>
      </c>
      <c r="BM255" s="1436">
        <f t="shared" si="303"/>
        <v>0</v>
      </c>
      <c r="BN255" s="1495">
        <f t="shared" si="304"/>
        <v>0</v>
      </c>
      <c r="BO255" s="1437">
        <f t="shared" si="324"/>
        <v>0</v>
      </c>
      <c r="BP255" s="1762">
        <f t="shared" si="341"/>
        <v>0</v>
      </c>
      <c r="BQ255" s="1577">
        <f t="shared" si="342"/>
        <v>0</v>
      </c>
      <c r="BR255" s="1576">
        <f t="shared" si="305"/>
        <v>0</v>
      </c>
      <c r="BS255" s="1574">
        <f t="shared" si="343"/>
        <v>0</v>
      </c>
      <c r="BT255" s="1577">
        <f t="shared" si="344"/>
        <v>0</v>
      </c>
      <c r="BU255" s="1576">
        <f t="shared" si="306"/>
        <v>0</v>
      </c>
      <c r="BV255" s="1574">
        <f t="shared" si="345"/>
        <v>0</v>
      </c>
      <c r="BW255" s="1577">
        <f t="shared" si="346"/>
        <v>0</v>
      </c>
      <c r="BX255" s="1576">
        <f t="shared" si="307"/>
        <v>0</v>
      </c>
      <c r="BY255" s="1574">
        <f t="shared" si="347"/>
        <v>0</v>
      </c>
      <c r="BZ255" s="1577">
        <f t="shared" si="348"/>
        <v>0</v>
      </c>
      <c r="CA255" s="1576">
        <f t="shared" si="308"/>
        <v>0</v>
      </c>
      <c r="CB255" s="1495">
        <f t="shared" si="349"/>
        <v>0</v>
      </c>
      <c r="CC255" s="1577">
        <f t="shared" si="350"/>
        <v>0</v>
      </c>
      <c r="CD255" s="1576">
        <f t="shared" si="309"/>
        <v>0</v>
      </c>
      <c r="CE255" s="1495">
        <f t="shared" si="351"/>
        <v>0</v>
      </c>
      <c r="CF255" s="1577">
        <f t="shared" si="352"/>
        <v>0</v>
      </c>
      <c r="CG255" s="1576">
        <f t="shared" si="310"/>
        <v>0</v>
      </c>
      <c r="CH255" s="1495">
        <f t="shared" si="353"/>
        <v>0</v>
      </c>
      <c r="CI255" s="1577">
        <f t="shared" si="354"/>
        <v>0</v>
      </c>
      <c r="CJ255" s="1576">
        <f t="shared" si="311"/>
        <v>0</v>
      </c>
      <c r="CK255" s="1495">
        <f t="shared" si="355"/>
        <v>0</v>
      </c>
      <c r="CL255" s="1577">
        <f t="shared" si="356"/>
        <v>0</v>
      </c>
      <c r="CM255" s="1576">
        <f t="shared" si="312"/>
        <v>0</v>
      </c>
      <c r="CN255" s="1495">
        <f t="shared" si="357"/>
        <v>0</v>
      </c>
      <c r="CO255" s="1577">
        <f t="shared" si="358"/>
        <v>0</v>
      </c>
      <c r="CP255" s="1576">
        <f t="shared" si="313"/>
        <v>0</v>
      </c>
      <c r="CQ255" s="1495">
        <f t="shared" si="359"/>
        <v>0</v>
      </c>
      <c r="CR255" s="1577">
        <f t="shared" si="360"/>
        <v>0</v>
      </c>
      <c r="CS255" s="1576">
        <f t="shared" si="314"/>
        <v>0</v>
      </c>
      <c r="CT255" s="1495">
        <f t="shared" si="361"/>
        <v>0</v>
      </c>
      <c r="CU255" s="1577">
        <f t="shared" si="362"/>
        <v>0</v>
      </c>
      <c r="CV255" s="1576">
        <f t="shared" si="315"/>
        <v>0</v>
      </c>
      <c r="CW255" s="1495">
        <f t="shared" si="363"/>
        <v>0</v>
      </c>
      <c r="CX255" s="1577">
        <f t="shared" si="364"/>
        <v>0</v>
      </c>
      <c r="CY255" s="1576">
        <f t="shared" si="316"/>
        <v>0</v>
      </c>
      <c r="CZ255" s="1574">
        <f t="shared" si="317"/>
        <v>0</v>
      </c>
      <c r="DA255" s="1578">
        <f t="shared" si="319"/>
        <v>0</v>
      </c>
      <c r="DB255" s="1579">
        <f t="shared" si="320"/>
        <v>0</v>
      </c>
      <c r="DC255" s="1578">
        <f t="shared" si="321"/>
        <v>0</v>
      </c>
      <c r="DD255" s="1578">
        <f t="shared" si="321"/>
        <v>0</v>
      </c>
      <c r="DE255" s="1578">
        <f t="shared" si="321"/>
        <v>0</v>
      </c>
      <c r="DF255" s="1578">
        <f>IF(DA255-(DE254+CZ255)&lt;0,0,DA255-(DE254+CZ255))</f>
        <v>0</v>
      </c>
      <c r="DG255" s="1538"/>
      <c r="DH255" s="1538"/>
      <c r="DI255" s="1422"/>
      <c r="DJ255" s="1428"/>
      <c r="DK255" s="1428"/>
      <c r="DL255" s="1428"/>
      <c r="DM255" s="1428"/>
      <c r="DN255" s="1428"/>
      <c r="DO255" s="1428"/>
      <c r="DP255" s="1428"/>
      <c r="DQ255" s="1422"/>
      <c r="DR255" s="1428"/>
      <c r="DS255" s="1428"/>
      <c r="DT255" s="1428"/>
      <c r="DU255" s="1428"/>
      <c r="DV255" s="1428"/>
      <c r="DW255" s="1428"/>
      <c r="DX255" s="1428"/>
      <c r="DY255" s="1428"/>
      <c r="DZ255" s="1428"/>
      <c r="EA255" s="1428"/>
      <c r="EB255" s="1428"/>
      <c r="EC255" s="1428"/>
      <c r="ED255" s="1428"/>
      <c r="EE255" s="1428"/>
      <c r="EF255" s="1428"/>
      <c r="EG255" s="1428"/>
      <c r="EH255" s="1428"/>
      <c r="EI255" s="1428"/>
      <c r="EJ255" s="1428"/>
      <c r="EK255" s="1428"/>
      <c r="EL255" s="1428"/>
      <c r="EM255" s="1428"/>
      <c r="EN255" s="1428"/>
      <c r="EO255" s="1428"/>
      <c r="EP255" s="1428"/>
      <c r="EQ255" s="1428"/>
      <c r="ER255" s="1428"/>
      <c r="ES255" s="1428"/>
      <c r="ET255" s="1428"/>
      <c r="EU255" s="1428"/>
    </row>
    <row r="256" spans="1:151" s="1440" customFormat="1" ht="27.75" customHeight="1">
      <c r="A256" s="1834"/>
      <c r="B256" s="1600" t="s">
        <v>800</v>
      </c>
      <c r="C256" s="1723"/>
      <c r="E256" s="2471" t="s">
        <v>2233</v>
      </c>
      <c r="F256" s="2472"/>
      <c r="G256" s="1601">
        <f>SUM(D337:D342)</f>
        <v>0</v>
      </c>
      <c r="L256" s="1720"/>
      <c r="M256" s="1720"/>
      <c r="N256" s="1430" t="s">
        <v>2234</v>
      </c>
      <c r="O256" s="1430"/>
      <c r="P256" s="1430">
        <f>P254+P255</f>
        <v>2</v>
      </c>
      <c r="Q256" s="1430"/>
      <c r="R256" s="1430"/>
      <c r="S256" s="1430"/>
      <c r="T256" s="1430"/>
      <c r="U256" s="1430"/>
      <c r="V256" s="1430"/>
      <c r="W256" s="1430"/>
      <c r="X256" s="1430"/>
      <c r="Y256" s="1430"/>
      <c r="Z256" s="1430"/>
      <c r="AA256" s="1430"/>
      <c r="AB256" s="1430"/>
      <c r="AC256" s="1430"/>
      <c r="AD256" s="1430"/>
      <c r="AE256" s="1430"/>
      <c r="AF256" s="1430"/>
      <c r="AG256" s="1430"/>
      <c r="AH256" s="1430"/>
      <c r="AI256" s="1430"/>
      <c r="AJ256" s="1430"/>
      <c r="AK256" s="1430"/>
      <c r="AL256" s="1430"/>
      <c r="AM256" s="1430"/>
      <c r="AN256" s="1430"/>
      <c r="AO256" s="1430"/>
      <c r="AP256" s="1430"/>
      <c r="AQ256" s="1430"/>
      <c r="AR256" s="1430"/>
      <c r="AS256" s="1430"/>
      <c r="AT256" s="1430"/>
      <c r="AU256" s="1430"/>
      <c r="AV256" s="1704"/>
      <c r="AW256" s="1430"/>
      <c r="AX256" s="1430"/>
      <c r="AY256" s="1430"/>
      <c r="AZ256" s="1430"/>
      <c r="BA256" s="1430"/>
      <c r="BB256" s="1430"/>
      <c r="BC256" s="1430"/>
      <c r="BE256" s="1571" t="s">
        <v>1215</v>
      </c>
      <c r="BF256" s="1436">
        <v>22</v>
      </c>
      <c r="BG256" s="1436">
        <v>25</v>
      </c>
      <c r="BH256" s="1436">
        <v>3</v>
      </c>
      <c r="BI256" s="1495" t="b">
        <f t="shared" si="318"/>
        <v>1</v>
      </c>
      <c r="BJ256" s="1450" t="b">
        <f t="shared" si="339"/>
        <v>0</v>
      </c>
      <c r="BK256" s="1572">
        <f t="shared" si="340"/>
        <v>0</v>
      </c>
      <c r="BL256" s="1581">
        <f>IF(SUM(BL$232:BL255,BK256)&gt;$BQ$4,0,BK256)</f>
        <v>0</v>
      </c>
      <c r="BM256" s="1436">
        <f t="shared" si="303"/>
        <v>0</v>
      </c>
      <c r="BN256" s="1495">
        <f t="shared" si="304"/>
        <v>0</v>
      </c>
      <c r="BO256" s="1437">
        <f t="shared" si="324"/>
        <v>0</v>
      </c>
      <c r="BP256" s="1762">
        <f t="shared" si="341"/>
        <v>0</v>
      </c>
      <c r="BQ256" s="1577">
        <f t="shared" si="342"/>
        <v>0</v>
      </c>
      <c r="BR256" s="1576">
        <f t="shared" si="305"/>
        <v>0</v>
      </c>
      <c r="BS256" s="1574">
        <f t="shared" si="343"/>
        <v>0</v>
      </c>
      <c r="BT256" s="1577">
        <f t="shared" si="344"/>
        <v>0</v>
      </c>
      <c r="BU256" s="1576">
        <f t="shared" si="306"/>
        <v>0</v>
      </c>
      <c r="BV256" s="1574">
        <f t="shared" si="345"/>
        <v>0</v>
      </c>
      <c r="BW256" s="1577">
        <f t="shared" si="346"/>
        <v>0</v>
      </c>
      <c r="BX256" s="1576">
        <f t="shared" si="307"/>
        <v>0</v>
      </c>
      <c r="BY256" s="1574">
        <f t="shared" si="347"/>
        <v>0</v>
      </c>
      <c r="BZ256" s="1577">
        <f t="shared" si="348"/>
        <v>0</v>
      </c>
      <c r="CA256" s="1576">
        <f t="shared" si="308"/>
        <v>0</v>
      </c>
      <c r="CB256" s="1495">
        <f t="shared" si="349"/>
        <v>0</v>
      </c>
      <c r="CC256" s="1577">
        <f t="shared" si="350"/>
        <v>0</v>
      </c>
      <c r="CD256" s="1576">
        <f t="shared" si="309"/>
        <v>0</v>
      </c>
      <c r="CE256" s="1495">
        <f t="shared" si="351"/>
        <v>0</v>
      </c>
      <c r="CF256" s="1577">
        <f t="shared" si="352"/>
        <v>0</v>
      </c>
      <c r="CG256" s="1576">
        <f t="shared" si="310"/>
        <v>0</v>
      </c>
      <c r="CH256" s="1495">
        <f t="shared" si="353"/>
        <v>0</v>
      </c>
      <c r="CI256" s="1577">
        <f t="shared" si="354"/>
        <v>0</v>
      </c>
      <c r="CJ256" s="1576">
        <f t="shared" si="311"/>
        <v>0</v>
      </c>
      <c r="CK256" s="1495">
        <f t="shared" si="355"/>
        <v>0</v>
      </c>
      <c r="CL256" s="1577">
        <f t="shared" si="356"/>
        <v>0</v>
      </c>
      <c r="CM256" s="1576">
        <f t="shared" si="312"/>
        <v>0</v>
      </c>
      <c r="CN256" s="1495">
        <f t="shared" si="357"/>
        <v>0</v>
      </c>
      <c r="CO256" s="1577">
        <f t="shared" si="358"/>
        <v>0</v>
      </c>
      <c r="CP256" s="1576">
        <f t="shared" si="313"/>
        <v>0</v>
      </c>
      <c r="CQ256" s="1495">
        <f t="shared" si="359"/>
        <v>0</v>
      </c>
      <c r="CR256" s="1577">
        <f t="shared" si="360"/>
        <v>0</v>
      </c>
      <c r="CS256" s="1576">
        <f t="shared" si="314"/>
        <v>0</v>
      </c>
      <c r="CT256" s="1495">
        <f t="shared" si="361"/>
        <v>0</v>
      </c>
      <c r="CU256" s="1577">
        <f t="shared" si="362"/>
        <v>0</v>
      </c>
      <c r="CV256" s="1576">
        <f t="shared" si="315"/>
        <v>0</v>
      </c>
      <c r="CW256" s="1495">
        <f t="shared" si="363"/>
        <v>0</v>
      </c>
      <c r="CX256" s="1577">
        <f t="shared" si="364"/>
        <v>0</v>
      </c>
      <c r="CY256" s="1576">
        <f t="shared" si="316"/>
        <v>0</v>
      </c>
      <c r="CZ256" s="1574">
        <f t="shared" si="317"/>
        <v>0</v>
      </c>
      <c r="DA256" s="1578">
        <f t="shared" si="319"/>
        <v>0</v>
      </c>
      <c r="DB256" s="1579">
        <f t="shared" si="320"/>
        <v>0</v>
      </c>
      <c r="DC256" s="1578">
        <f t="shared" si="321"/>
        <v>0</v>
      </c>
      <c r="DD256" s="1578">
        <f t="shared" si="321"/>
        <v>0</v>
      </c>
      <c r="DE256" s="1578">
        <f t="shared" si="321"/>
        <v>0</v>
      </c>
      <c r="DF256" s="1578">
        <f>IF(DA256-(DE255+CZ256)&lt;0,0,DA256-(DE255+CZ256))</f>
        <v>0</v>
      </c>
      <c r="DG256" s="1538"/>
      <c r="DH256" s="1538"/>
      <c r="DI256" s="1422"/>
      <c r="DJ256" s="1428"/>
      <c r="DK256" s="1428"/>
      <c r="DL256" s="1428"/>
      <c r="DM256" s="1428"/>
      <c r="DN256" s="1428"/>
      <c r="DO256" s="1428"/>
      <c r="DP256" s="1428"/>
      <c r="DQ256" s="1422"/>
      <c r="DR256" s="1428"/>
      <c r="DS256" s="1428"/>
      <c r="DT256" s="1428"/>
      <c r="DU256" s="1428"/>
      <c r="DV256" s="1428"/>
      <c r="DW256" s="1428"/>
      <c r="DX256" s="1428"/>
      <c r="DY256" s="1428"/>
      <c r="DZ256" s="1428"/>
      <c r="EA256" s="1428"/>
      <c r="EB256" s="1428"/>
      <c r="EC256" s="1428"/>
      <c r="ED256" s="1428"/>
      <c r="EE256" s="1428"/>
      <c r="EF256" s="1428"/>
      <c r="EG256" s="1428"/>
      <c r="EH256" s="1428"/>
      <c r="EI256" s="1428"/>
      <c r="EJ256" s="1428"/>
      <c r="EK256" s="1428"/>
      <c r="EL256" s="1428"/>
      <c r="EM256" s="1428"/>
      <c r="EN256" s="1428"/>
      <c r="EO256" s="1428"/>
      <c r="EP256" s="1428"/>
      <c r="EQ256" s="1428"/>
      <c r="ER256" s="1428"/>
      <c r="ES256" s="1428"/>
      <c r="ET256" s="1428"/>
      <c r="EU256" s="1428"/>
    </row>
    <row r="257" spans="1:151" s="1440" customFormat="1" ht="15" customHeight="1">
      <c r="A257" s="1834"/>
      <c r="B257" s="1600" t="s">
        <v>801</v>
      </c>
      <c r="C257" s="1723"/>
      <c r="E257" s="2471" t="s">
        <v>2235</v>
      </c>
      <c r="F257" s="2472"/>
      <c r="G257" s="1601">
        <f>SUM(C256:C267)*DK261/1000</f>
        <v>0</v>
      </c>
      <c r="I257" s="1841" t="s">
        <v>2236</v>
      </c>
      <c r="J257" s="1667"/>
      <c r="K257" s="1843"/>
      <c r="L257" s="1720"/>
      <c r="M257" s="1720"/>
      <c r="N257" s="1430"/>
      <c r="O257" s="1430"/>
      <c r="P257" s="1430"/>
      <c r="Q257" s="1430"/>
      <c r="R257" s="1430"/>
      <c r="S257" s="1430"/>
      <c r="T257" s="1430"/>
      <c r="U257" s="1430"/>
      <c r="V257" s="1430"/>
      <c r="W257" s="1430"/>
      <c r="X257" s="1430"/>
      <c r="Y257" s="1430"/>
      <c r="Z257" s="1430"/>
      <c r="AA257" s="1430"/>
      <c r="AB257" s="1430"/>
      <c r="AC257" s="1430"/>
      <c r="AD257" s="1430"/>
      <c r="AE257" s="1430"/>
      <c r="AF257" s="1430"/>
      <c r="AG257" s="1430"/>
      <c r="AH257" s="1430"/>
      <c r="AI257" s="1430"/>
      <c r="AJ257" s="1430"/>
      <c r="AK257" s="1430"/>
      <c r="AL257" s="1430"/>
      <c r="AM257" s="1430"/>
      <c r="AN257" s="1430"/>
      <c r="AO257" s="1430"/>
      <c r="AP257" s="1430"/>
      <c r="AQ257" s="1430"/>
      <c r="AR257" s="1430"/>
      <c r="AS257" s="1430"/>
      <c r="AT257" s="1430"/>
      <c r="AU257" s="1430"/>
      <c r="AV257" s="1704"/>
      <c r="AW257" s="1430"/>
      <c r="AX257" s="1430"/>
      <c r="AY257" s="1430"/>
      <c r="AZ257" s="1430"/>
      <c r="BA257" s="1430"/>
      <c r="BB257" s="1430"/>
      <c r="BC257" s="1430"/>
      <c r="BE257" s="1571" t="s">
        <v>1215</v>
      </c>
      <c r="BF257" s="1436">
        <v>22</v>
      </c>
      <c r="BG257" s="1436">
        <v>26</v>
      </c>
      <c r="BH257" s="1436">
        <v>4</v>
      </c>
      <c r="BI257" s="1495" t="b">
        <f t="shared" si="318"/>
        <v>1</v>
      </c>
      <c r="BJ257" s="1450" t="b">
        <f t="shared" si="339"/>
        <v>0</v>
      </c>
      <c r="BK257" s="1572">
        <f t="shared" si="340"/>
        <v>0</v>
      </c>
      <c r="BL257" s="1581">
        <f>IF(SUM(BL$232:BL256,BK257)&gt;$BQ$4,0,BK257)</f>
        <v>0</v>
      </c>
      <c r="BM257" s="1436">
        <f t="shared" si="303"/>
        <v>0</v>
      </c>
      <c r="BN257" s="1495">
        <f t="shared" si="304"/>
        <v>0</v>
      </c>
      <c r="BO257" s="1437">
        <f t="shared" si="324"/>
        <v>0</v>
      </c>
      <c r="BP257" s="1762">
        <f t="shared" si="341"/>
        <v>0</v>
      </c>
      <c r="BQ257" s="1577">
        <f t="shared" si="342"/>
        <v>0</v>
      </c>
      <c r="BR257" s="1576">
        <f t="shared" si="305"/>
        <v>0</v>
      </c>
      <c r="BS257" s="1574">
        <f t="shared" si="343"/>
        <v>0</v>
      </c>
      <c r="BT257" s="1577">
        <f t="shared" si="344"/>
        <v>0</v>
      </c>
      <c r="BU257" s="1576">
        <f t="shared" si="306"/>
        <v>0</v>
      </c>
      <c r="BV257" s="1574">
        <f t="shared" si="345"/>
        <v>0</v>
      </c>
      <c r="BW257" s="1577">
        <f t="shared" si="346"/>
        <v>0</v>
      </c>
      <c r="BX257" s="1576">
        <f t="shared" si="307"/>
        <v>0</v>
      </c>
      <c r="BY257" s="1574">
        <f t="shared" si="347"/>
        <v>0</v>
      </c>
      <c r="BZ257" s="1577">
        <f t="shared" si="348"/>
        <v>0</v>
      </c>
      <c r="CA257" s="1576">
        <f t="shared" si="308"/>
        <v>0</v>
      </c>
      <c r="CB257" s="1495">
        <f t="shared" si="349"/>
        <v>0</v>
      </c>
      <c r="CC257" s="1577">
        <f t="shared" si="350"/>
        <v>0</v>
      </c>
      <c r="CD257" s="1576">
        <f t="shared" si="309"/>
        <v>0</v>
      </c>
      <c r="CE257" s="1495">
        <f t="shared" si="351"/>
        <v>0</v>
      </c>
      <c r="CF257" s="1577">
        <f t="shared" si="352"/>
        <v>0</v>
      </c>
      <c r="CG257" s="1576">
        <f t="shared" si="310"/>
        <v>0</v>
      </c>
      <c r="CH257" s="1495">
        <f t="shared" si="353"/>
        <v>0</v>
      </c>
      <c r="CI257" s="1577">
        <f t="shared" si="354"/>
        <v>0</v>
      </c>
      <c r="CJ257" s="1576">
        <f t="shared" si="311"/>
        <v>0</v>
      </c>
      <c r="CK257" s="1495">
        <f t="shared" si="355"/>
        <v>0</v>
      </c>
      <c r="CL257" s="1577">
        <f t="shared" si="356"/>
        <v>0</v>
      </c>
      <c r="CM257" s="1576">
        <f t="shared" si="312"/>
        <v>0</v>
      </c>
      <c r="CN257" s="1495">
        <f t="shared" si="357"/>
        <v>0</v>
      </c>
      <c r="CO257" s="1577">
        <f t="shared" si="358"/>
        <v>0</v>
      </c>
      <c r="CP257" s="1576">
        <f t="shared" si="313"/>
        <v>0</v>
      </c>
      <c r="CQ257" s="1495">
        <f t="shared" si="359"/>
        <v>0</v>
      </c>
      <c r="CR257" s="1577">
        <f t="shared" si="360"/>
        <v>0</v>
      </c>
      <c r="CS257" s="1576">
        <f t="shared" si="314"/>
        <v>0</v>
      </c>
      <c r="CT257" s="1495">
        <f t="shared" si="361"/>
        <v>0</v>
      </c>
      <c r="CU257" s="1577">
        <f t="shared" si="362"/>
        <v>0</v>
      </c>
      <c r="CV257" s="1576">
        <f t="shared" si="315"/>
        <v>0</v>
      </c>
      <c r="CW257" s="1495">
        <f t="shared" si="363"/>
        <v>0</v>
      </c>
      <c r="CX257" s="1577">
        <f t="shared" si="364"/>
        <v>0</v>
      </c>
      <c r="CY257" s="1576">
        <f t="shared" si="316"/>
        <v>0</v>
      </c>
      <c r="CZ257" s="1574">
        <f t="shared" si="317"/>
        <v>0</v>
      </c>
      <c r="DA257" s="1578">
        <f t="shared" si="319"/>
        <v>0</v>
      </c>
      <c r="DB257" s="1579">
        <f t="shared" si="320"/>
        <v>0</v>
      </c>
      <c r="DC257" s="1578">
        <f t="shared" si="321"/>
        <v>0</v>
      </c>
      <c r="DD257" s="1578">
        <f t="shared" si="321"/>
        <v>0</v>
      </c>
      <c r="DE257" s="1578">
        <f t="shared" si="321"/>
        <v>0</v>
      </c>
      <c r="DF257" s="1578">
        <f t="shared" si="322"/>
        <v>0</v>
      </c>
      <c r="DG257" s="1538"/>
      <c r="DH257" s="1538"/>
      <c r="DI257" s="1422"/>
      <c r="DJ257" s="1428"/>
      <c r="DK257" s="1428"/>
      <c r="DL257" s="1428"/>
      <c r="DM257" s="1428"/>
      <c r="DN257" s="1428"/>
      <c r="DO257" s="1428"/>
      <c r="DP257" s="1428"/>
      <c r="DQ257" s="1422"/>
      <c r="DR257" s="1428"/>
      <c r="DS257" s="1428"/>
      <c r="DT257" s="1428"/>
      <c r="DU257" s="1428"/>
      <c r="DV257" s="1428"/>
      <c r="DW257" s="1428"/>
      <c r="DX257" s="1428"/>
      <c r="DY257" s="1428"/>
      <c r="DZ257" s="1428"/>
      <c r="EA257" s="1428"/>
      <c r="EB257" s="1428"/>
      <c r="EC257" s="1428"/>
      <c r="ED257" s="1428"/>
      <c r="EE257" s="1428"/>
      <c r="EF257" s="1428"/>
      <c r="EG257" s="1428"/>
      <c r="EH257" s="1428"/>
      <c r="EI257" s="1428"/>
      <c r="EJ257" s="1428"/>
      <c r="EK257" s="1428"/>
      <c r="EL257" s="1428"/>
      <c r="EM257" s="1428"/>
      <c r="EN257" s="1428"/>
      <c r="EO257" s="1428"/>
      <c r="EP257" s="1428"/>
      <c r="EQ257" s="1428"/>
      <c r="ER257" s="1428"/>
      <c r="ES257" s="1428"/>
      <c r="ET257" s="1428"/>
      <c r="EU257" s="1428"/>
    </row>
    <row r="258" spans="1:151" s="1440" customFormat="1" ht="15" customHeight="1">
      <c r="A258" s="1834"/>
      <c r="B258" s="1600" t="s">
        <v>881</v>
      </c>
      <c r="C258" s="1723"/>
      <c r="E258" s="2471" t="s">
        <v>2237</v>
      </c>
      <c r="F258" s="2472"/>
      <c r="G258" s="1844" t="str">
        <f>IFERROR(G257/G256,"-")</f>
        <v>-</v>
      </c>
      <c r="J258" s="1700" t="s">
        <v>2238</v>
      </c>
      <c r="K258" s="1736" t="s">
        <v>2239</v>
      </c>
      <c r="L258" s="1720"/>
      <c r="M258" s="1720"/>
      <c r="N258" s="1430" t="s">
        <v>2240</v>
      </c>
      <c r="O258" s="1430"/>
      <c r="P258" s="1430" t="b">
        <f>AND(OR(P254,P255),N251)</f>
        <v>0</v>
      </c>
      <c r="Q258" s="1430"/>
      <c r="R258" s="1430"/>
      <c r="S258" s="1430"/>
      <c r="T258" s="1430"/>
      <c r="U258" s="1430"/>
      <c r="V258" s="1430"/>
      <c r="W258" s="1430"/>
      <c r="X258" s="1430"/>
      <c r="Y258" s="1430"/>
      <c r="Z258" s="1430"/>
      <c r="AA258" s="1430"/>
      <c r="AB258" s="1430"/>
      <c r="AC258" s="1430"/>
      <c r="AD258" s="1430"/>
      <c r="AE258" s="1430"/>
      <c r="AF258" s="1430"/>
      <c r="AG258" s="1430"/>
      <c r="AH258" s="1430"/>
      <c r="AI258" s="1430"/>
      <c r="AJ258" s="1430"/>
      <c r="AK258" s="1430"/>
      <c r="AL258" s="1430"/>
      <c r="AM258" s="1430"/>
      <c r="AN258" s="1430"/>
      <c r="AO258" s="1430"/>
      <c r="AP258" s="1430"/>
      <c r="AQ258" s="1430"/>
      <c r="AR258" s="1430"/>
      <c r="AS258" s="1430"/>
      <c r="AT258" s="1430"/>
      <c r="AU258" s="1430"/>
      <c r="AV258" s="1704"/>
      <c r="AW258" s="1430"/>
      <c r="AX258" s="1430"/>
      <c r="AY258" s="1430"/>
      <c r="AZ258" s="1430"/>
      <c r="BA258" s="1430"/>
      <c r="BB258" s="1430"/>
      <c r="BC258" s="1430"/>
      <c r="BE258" s="1571" t="s">
        <v>1215</v>
      </c>
      <c r="BF258" s="1436">
        <v>22</v>
      </c>
      <c r="BG258" s="1436">
        <v>27</v>
      </c>
      <c r="BH258" s="1436">
        <v>5</v>
      </c>
      <c r="BI258" s="1495" t="b">
        <f t="shared" si="318"/>
        <v>1</v>
      </c>
      <c r="BJ258" s="1450" t="b">
        <f t="shared" si="339"/>
        <v>0</v>
      </c>
      <c r="BK258" s="1572">
        <f t="shared" si="340"/>
        <v>0</v>
      </c>
      <c r="BL258" s="1581">
        <f>IF(SUM(BL$232:BL257,BK258)&gt;$BQ$4,0,BK258)</f>
        <v>0</v>
      </c>
      <c r="BM258" s="1436">
        <f t="shared" si="303"/>
        <v>0</v>
      </c>
      <c r="BN258" s="1495">
        <f t="shared" si="304"/>
        <v>0</v>
      </c>
      <c r="BO258" s="1437">
        <f t="shared" si="324"/>
        <v>0</v>
      </c>
      <c r="BP258" s="1762">
        <f t="shared" si="341"/>
        <v>0</v>
      </c>
      <c r="BQ258" s="1577">
        <f t="shared" si="342"/>
        <v>0</v>
      </c>
      <c r="BR258" s="1576">
        <f t="shared" si="305"/>
        <v>0</v>
      </c>
      <c r="BS258" s="1574">
        <f t="shared" si="343"/>
        <v>0</v>
      </c>
      <c r="BT258" s="1577">
        <f t="shared" si="344"/>
        <v>0</v>
      </c>
      <c r="BU258" s="1576">
        <f t="shared" si="306"/>
        <v>0</v>
      </c>
      <c r="BV258" s="1574">
        <f t="shared" si="345"/>
        <v>0</v>
      </c>
      <c r="BW258" s="1577">
        <f t="shared" si="346"/>
        <v>0</v>
      </c>
      <c r="BX258" s="1576">
        <f t="shared" si="307"/>
        <v>0</v>
      </c>
      <c r="BY258" s="1574">
        <f t="shared" si="347"/>
        <v>0</v>
      </c>
      <c r="BZ258" s="1577">
        <f t="shared" si="348"/>
        <v>0</v>
      </c>
      <c r="CA258" s="1576">
        <f t="shared" si="308"/>
        <v>0</v>
      </c>
      <c r="CB258" s="1495">
        <f t="shared" si="349"/>
        <v>0</v>
      </c>
      <c r="CC258" s="1577">
        <f t="shared" si="350"/>
        <v>0</v>
      </c>
      <c r="CD258" s="1576">
        <f t="shared" si="309"/>
        <v>0</v>
      </c>
      <c r="CE258" s="1495">
        <f t="shared" si="351"/>
        <v>0</v>
      </c>
      <c r="CF258" s="1577">
        <f t="shared" si="352"/>
        <v>0</v>
      </c>
      <c r="CG258" s="1576">
        <f t="shared" si="310"/>
        <v>0</v>
      </c>
      <c r="CH258" s="1495">
        <f t="shared" si="353"/>
        <v>0</v>
      </c>
      <c r="CI258" s="1577">
        <f t="shared" si="354"/>
        <v>0</v>
      </c>
      <c r="CJ258" s="1576">
        <f t="shared" si="311"/>
        <v>0</v>
      </c>
      <c r="CK258" s="1495">
        <f t="shared" si="355"/>
        <v>0</v>
      </c>
      <c r="CL258" s="1577">
        <f t="shared" si="356"/>
        <v>0</v>
      </c>
      <c r="CM258" s="1576">
        <f t="shared" si="312"/>
        <v>0</v>
      </c>
      <c r="CN258" s="1495">
        <f t="shared" si="357"/>
        <v>0</v>
      </c>
      <c r="CO258" s="1577">
        <f t="shared" si="358"/>
        <v>0</v>
      </c>
      <c r="CP258" s="1576">
        <f t="shared" si="313"/>
        <v>0</v>
      </c>
      <c r="CQ258" s="1495">
        <f t="shared" si="359"/>
        <v>0</v>
      </c>
      <c r="CR258" s="1577">
        <f t="shared" si="360"/>
        <v>0</v>
      </c>
      <c r="CS258" s="1576">
        <f t="shared" si="314"/>
        <v>0</v>
      </c>
      <c r="CT258" s="1495">
        <f t="shared" si="361"/>
        <v>0</v>
      </c>
      <c r="CU258" s="1577">
        <f t="shared" si="362"/>
        <v>0</v>
      </c>
      <c r="CV258" s="1576">
        <f t="shared" si="315"/>
        <v>0</v>
      </c>
      <c r="CW258" s="1495">
        <f t="shared" si="363"/>
        <v>0</v>
      </c>
      <c r="CX258" s="1577">
        <f t="shared" si="364"/>
        <v>0</v>
      </c>
      <c r="CY258" s="1576">
        <f t="shared" si="316"/>
        <v>0</v>
      </c>
      <c r="CZ258" s="1574">
        <f t="shared" si="317"/>
        <v>0</v>
      </c>
      <c r="DA258" s="1578">
        <f t="shared" si="319"/>
        <v>0</v>
      </c>
      <c r="DB258" s="1579">
        <f t="shared" si="320"/>
        <v>0</v>
      </c>
      <c r="DC258" s="1578">
        <f t="shared" si="321"/>
        <v>0</v>
      </c>
      <c r="DD258" s="1578">
        <f t="shared" si="321"/>
        <v>0</v>
      </c>
      <c r="DE258" s="1578">
        <f t="shared" si="321"/>
        <v>0</v>
      </c>
      <c r="DF258" s="1578">
        <f t="shared" si="322"/>
        <v>0</v>
      </c>
      <c r="DG258" s="1538"/>
      <c r="DH258" s="1538"/>
      <c r="DI258" s="1422"/>
      <c r="DJ258" s="1428"/>
      <c r="DK258" s="1428"/>
      <c r="DL258" s="1428"/>
      <c r="DM258" s="1428"/>
      <c r="DN258" s="1428"/>
      <c r="DO258" s="1428"/>
      <c r="DP258" s="1428"/>
      <c r="DQ258" s="1422"/>
      <c r="DR258" s="1428"/>
      <c r="DS258" s="1428"/>
      <c r="DT258" s="1428"/>
      <c r="DU258" s="1428"/>
      <c r="DV258" s="1428"/>
      <c r="DW258" s="1428"/>
      <c r="DX258" s="1428"/>
      <c r="DY258" s="1428"/>
      <c r="DZ258" s="1428"/>
      <c r="EA258" s="1428"/>
      <c r="EB258" s="1428"/>
      <c r="EC258" s="1428"/>
      <c r="ED258" s="1428"/>
      <c r="EE258" s="1428"/>
      <c r="EF258" s="1428"/>
      <c r="EG258" s="1428"/>
      <c r="EH258" s="1428"/>
      <c r="EI258" s="1428"/>
      <c r="EJ258" s="1428"/>
      <c r="EK258" s="1428"/>
      <c r="EL258" s="1428"/>
      <c r="EM258" s="1428"/>
      <c r="EN258" s="1428"/>
      <c r="EO258" s="1428"/>
      <c r="EP258" s="1428"/>
      <c r="EQ258" s="1428"/>
      <c r="ER258" s="1428"/>
      <c r="ES258" s="1428"/>
      <c r="ET258" s="1428"/>
      <c r="EU258" s="1428"/>
    </row>
    <row r="259" spans="1:151" s="1440" customFormat="1" ht="15" customHeight="1">
      <c r="A259" s="1834"/>
      <c r="B259" s="1600" t="s">
        <v>882</v>
      </c>
      <c r="C259" s="1723"/>
      <c r="E259" s="1764" t="s">
        <v>2241</v>
      </c>
      <c r="I259" s="1600" t="s">
        <v>800</v>
      </c>
      <c r="J259" s="1845">
        <f t="shared" ref="J259:J270" si="366">C256*$K$257/1000*$P$258</f>
        <v>0</v>
      </c>
      <c r="K259" s="1845">
        <f t="shared" ref="K259:K270" si="367">C256*$DK$261/1000*$P$258</f>
        <v>0</v>
      </c>
      <c r="L259" s="1720"/>
      <c r="M259" s="1720"/>
      <c r="N259" s="1430"/>
      <c r="O259" s="1430"/>
      <c r="P259" s="1430"/>
      <c r="Q259" s="1430"/>
      <c r="R259" s="1430"/>
      <c r="S259" s="1430"/>
      <c r="T259" s="1430"/>
      <c r="U259" s="1430"/>
      <c r="V259" s="1430"/>
      <c r="W259" s="1430"/>
      <c r="X259" s="1430"/>
      <c r="Y259" s="1430"/>
      <c r="Z259" s="1430"/>
      <c r="AA259" s="1430"/>
      <c r="AB259" s="1430"/>
      <c r="AC259" s="1430"/>
      <c r="AD259" s="1430"/>
      <c r="AE259" s="1430"/>
      <c r="AF259" s="1430"/>
      <c r="AG259" s="1430"/>
      <c r="AH259" s="1430"/>
      <c r="AI259" s="1430"/>
      <c r="AJ259" s="1430"/>
      <c r="AK259" s="1430"/>
      <c r="AL259" s="1430"/>
      <c r="AM259" s="1430"/>
      <c r="AN259" s="1430"/>
      <c r="AO259" s="1430"/>
      <c r="AP259" s="1430"/>
      <c r="AQ259" s="1430"/>
      <c r="AR259" s="1430"/>
      <c r="AS259" s="1430"/>
      <c r="AT259" s="1430"/>
      <c r="AU259" s="1430"/>
      <c r="AV259" s="1704"/>
      <c r="AW259" s="1430"/>
      <c r="AX259" s="1430"/>
      <c r="AY259" s="1430"/>
      <c r="AZ259" s="1430"/>
      <c r="BA259" s="1430"/>
      <c r="BB259" s="1430"/>
      <c r="BC259" s="1430"/>
      <c r="BE259" s="1571" t="s">
        <v>1215</v>
      </c>
      <c r="BF259" s="1436">
        <v>22</v>
      </c>
      <c r="BG259" s="1436">
        <v>28</v>
      </c>
      <c r="BH259" s="1436">
        <v>6</v>
      </c>
      <c r="BI259" s="1495" t="b">
        <f t="shared" si="318"/>
        <v>0</v>
      </c>
      <c r="BJ259" s="1450" t="b">
        <f t="shared" si="339"/>
        <v>0</v>
      </c>
      <c r="BK259" s="1572">
        <f t="shared" si="340"/>
        <v>0</v>
      </c>
      <c r="BL259" s="1581">
        <f>IF(SUM(BL$232:BL258,BK259)&gt;$BQ$4,0,BK259)</f>
        <v>0</v>
      </c>
      <c r="BM259" s="1436">
        <f t="shared" si="303"/>
        <v>0</v>
      </c>
      <c r="BN259" s="1495">
        <f t="shared" si="304"/>
        <v>0</v>
      </c>
      <c r="BO259" s="1437">
        <f t="shared" si="324"/>
        <v>0</v>
      </c>
      <c r="BP259" s="1762">
        <f t="shared" si="341"/>
        <v>0</v>
      </c>
      <c r="BQ259" s="1577">
        <f t="shared" si="342"/>
        <v>0</v>
      </c>
      <c r="BR259" s="1576">
        <f t="shared" si="305"/>
        <v>0</v>
      </c>
      <c r="BS259" s="1574">
        <f t="shared" si="343"/>
        <v>0</v>
      </c>
      <c r="BT259" s="1577">
        <f t="shared" si="344"/>
        <v>0</v>
      </c>
      <c r="BU259" s="1576">
        <f t="shared" si="306"/>
        <v>0</v>
      </c>
      <c r="BV259" s="1574">
        <f t="shared" si="345"/>
        <v>0</v>
      </c>
      <c r="BW259" s="1577">
        <f t="shared" si="346"/>
        <v>0</v>
      </c>
      <c r="BX259" s="1576">
        <f t="shared" si="307"/>
        <v>0</v>
      </c>
      <c r="BY259" s="1574">
        <f t="shared" si="347"/>
        <v>0</v>
      </c>
      <c r="BZ259" s="1577">
        <f t="shared" si="348"/>
        <v>0</v>
      </c>
      <c r="CA259" s="1576">
        <f t="shared" si="308"/>
        <v>0</v>
      </c>
      <c r="CB259" s="1495">
        <f t="shared" si="349"/>
        <v>0</v>
      </c>
      <c r="CC259" s="1577">
        <f t="shared" si="350"/>
        <v>0</v>
      </c>
      <c r="CD259" s="1576">
        <f t="shared" si="309"/>
        <v>0</v>
      </c>
      <c r="CE259" s="1495">
        <f t="shared" si="351"/>
        <v>0</v>
      </c>
      <c r="CF259" s="1577">
        <f t="shared" si="352"/>
        <v>0</v>
      </c>
      <c r="CG259" s="1576">
        <f t="shared" si="310"/>
        <v>0</v>
      </c>
      <c r="CH259" s="1495">
        <f t="shared" si="353"/>
        <v>0</v>
      </c>
      <c r="CI259" s="1577">
        <f t="shared" si="354"/>
        <v>0</v>
      </c>
      <c r="CJ259" s="1576">
        <f t="shared" si="311"/>
        <v>0</v>
      </c>
      <c r="CK259" s="1495">
        <f t="shared" si="355"/>
        <v>0</v>
      </c>
      <c r="CL259" s="1577">
        <f t="shared" si="356"/>
        <v>0</v>
      </c>
      <c r="CM259" s="1576">
        <f t="shared" si="312"/>
        <v>0</v>
      </c>
      <c r="CN259" s="1495">
        <f t="shared" si="357"/>
        <v>0</v>
      </c>
      <c r="CO259" s="1577">
        <f t="shared" si="358"/>
        <v>0</v>
      </c>
      <c r="CP259" s="1576">
        <f t="shared" si="313"/>
        <v>0</v>
      </c>
      <c r="CQ259" s="1495">
        <f t="shared" si="359"/>
        <v>0</v>
      </c>
      <c r="CR259" s="1577">
        <f t="shared" si="360"/>
        <v>0</v>
      </c>
      <c r="CS259" s="1576">
        <f t="shared" si="314"/>
        <v>0</v>
      </c>
      <c r="CT259" s="1495">
        <f t="shared" si="361"/>
        <v>0</v>
      </c>
      <c r="CU259" s="1577">
        <f t="shared" si="362"/>
        <v>0</v>
      </c>
      <c r="CV259" s="1576">
        <f t="shared" si="315"/>
        <v>0</v>
      </c>
      <c r="CW259" s="1495">
        <f t="shared" si="363"/>
        <v>0</v>
      </c>
      <c r="CX259" s="1577">
        <f t="shared" si="364"/>
        <v>0</v>
      </c>
      <c r="CY259" s="1576">
        <f t="shared" si="316"/>
        <v>0</v>
      </c>
      <c r="CZ259" s="1574">
        <f t="shared" si="317"/>
        <v>0</v>
      </c>
      <c r="DA259" s="1578">
        <f t="shared" si="319"/>
        <v>0</v>
      </c>
      <c r="DB259" s="1579">
        <f t="shared" si="320"/>
        <v>0</v>
      </c>
      <c r="DC259" s="1578">
        <f t="shared" si="321"/>
        <v>0</v>
      </c>
      <c r="DD259" s="1578">
        <f t="shared" si="321"/>
        <v>0</v>
      </c>
      <c r="DE259" s="1578">
        <f t="shared" si="321"/>
        <v>0</v>
      </c>
      <c r="DF259" s="1578">
        <f t="shared" si="322"/>
        <v>0</v>
      </c>
      <c r="DG259" s="1538"/>
      <c r="DH259" s="1538"/>
      <c r="DI259" s="1422"/>
      <c r="DJ259" s="1428"/>
      <c r="DK259" s="1428"/>
      <c r="DL259" s="1428"/>
      <c r="DM259" s="1428"/>
      <c r="DN259" s="1428"/>
      <c r="DO259" s="1428"/>
      <c r="DP259" s="1428"/>
      <c r="DQ259" s="1422"/>
      <c r="DR259" s="1428"/>
      <c r="DS259" s="1428"/>
      <c r="DT259" s="1428"/>
      <c r="DU259" s="1428"/>
      <c r="DV259" s="1428"/>
      <c r="DW259" s="1428"/>
      <c r="DX259" s="1428"/>
      <c r="DY259" s="1428"/>
      <c r="DZ259" s="1428"/>
      <c r="EA259" s="1428"/>
      <c r="EB259" s="1428"/>
      <c r="EC259" s="1428"/>
      <c r="ED259" s="1428"/>
      <c r="EE259" s="1428"/>
      <c r="EF259" s="1428"/>
      <c r="EG259" s="1428"/>
      <c r="EH259" s="1428"/>
      <c r="EI259" s="1428"/>
      <c r="EJ259" s="1428"/>
      <c r="EK259" s="1428"/>
      <c r="EL259" s="1428"/>
      <c r="EM259" s="1428"/>
      <c r="EN259" s="1428"/>
      <c r="EO259" s="1428"/>
      <c r="EP259" s="1428"/>
      <c r="EQ259" s="1428"/>
      <c r="ER259" s="1428"/>
      <c r="ES259" s="1428"/>
      <c r="ET259" s="1428"/>
      <c r="EU259" s="1428"/>
    </row>
    <row r="260" spans="1:151" s="1440" customFormat="1" ht="15" customHeight="1">
      <c r="A260" s="1834"/>
      <c r="B260" s="1600" t="s">
        <v>1212</v>
      </c>
      <c r="C260" s="1723"/>
      <c r="I260" s="1600" t="s">
        <v>801</v>
      </c>
      <c r="J260" s="1845">
        <f t="shared" si="366"/>
        <v>0</v>
      </c>
      <c r="K260" s="1845">
        <f t="shared" si="367"/>
        <v>0</v>
      </c>
      <c r="L260" s="1720"/>
      <c r="M260" s="1720"/>
      <c r="N260" s="1430"/>
      <c r="O260" s="1430"/>
      <c r="P260" s="1430"/>
      <c r="Q260" s="1430"/>
      <c r="R260" s="1430"/>
      <c r="S260" s="1430"/>
      <c r="T260" s="1430"/>
      <c r="U260" s="1430"/>
      <c r="V260" s="1430"/>
      <c r="W260" s="1430"/>
      <c r="X260" s="1430"/>
      <c r="Y260" s="1430"/>
      <c r="Z260" s="1430"/>
      <c r="AA260" s="1430"/>
      <c r="AB260" s="1430"/>
      <c r="AC260" s="1430"/>
      <c r="AD260" s="1430"/>
      <c r="AE260" s="1430"/>
      <c r="AF260" s="1430"/>
      <c r="AG260" s="1430"/>
      <c r="AH260" s="1430"/>
      <c r="AI260" s="1430"/>
      <c r="AJ260" s="1430"/>
      <c r="AK260" s="1430"/>
      <c r="AL260" s="1430"/>
      <c r="AM260" s="1430"/>
      <c r="AN260" s="1430"/>
      <c r="AO260" s="1430"/>
      <c r="AP260" s="1430"/>
      <c r="AQ260" s="1430"/>
      <c r="AR260" s="1430"/>
      <c r="AS260" s="1430"/>
      <c r="AT260" s="1430"/>
      <c r="AU260" s="1430"/>
      <c r="AV260" s="1704"/>
      <c r="AW260" s="1430"/>
      <c r="AX260" s="1430"/>
      <c r="AY260" s="1430"/>
      <c r="AZ260" s="1430"/>
      <c r="BA260" s="1430"/>
      <c r="BB260" s="1430"/>
      <c r="BC260" s="1430"/>
      <c r="BD260" s="1586"/>
      <c r="BE260" s="1571" t="s">
        <v>1215</v>
      </c>
      <c r="BF260" s="1436">
        <v>22</v>
      </c>
      <c r="BG260" s="1436">
        <v>29</v>
      </c>
      <c r="BH260" s="1436">
        <v>7</v>
      </c>
      <c r="BI260" s="1495" t="b">
        <f t="shared" si="318"/>
        <v>0</v>
      </c>
      <c r="BJ260" s="1450" t="b">
        <f t="shared" si="339"/>
        <v>0</v>
      </c>
      <c r="BK260" s="1572">
        <f t="shared" si="340"/>
        <v>0</v>
      </c>
      <c r="BL260" s="1581">
        <f>IF(SUM(BL$232:BL259,BK260)&gt;$BQ$4,0,BK260)</f>
        <v>0</v>
      </c>
      <c r="BM260" s="1436">
        <f t="shared" si="303"/>
        <v>0</v>
      </c>
      <c r="BN260" s="1495">
        <f t="shared" si="304"/>
        <v>0</v>
      </c>
      <c r="BO260" s="1437">
        <f t="shared" si="324"/>
        <v>0</v>
      </c>
      <c r="BP260" s="1762">
        <f t="shared" si="341"/>
        <v>0</v>
      </c>
      <c r="BQ260" s="1577">
        <f t="shared" si="342"/>
        <v>0</v>
      </c>
      <c r="BR260" s="1576">
        <f t="shared" si="305"/>
        <v>0</v>
      </c>
      <c r="BS260" s="1574">
        <f t="shared" si="343"/>
        <v>0</v>
      </c>
      <c r="BT260" s="1577">
        <f t="shared" si="344"/>
        <v>0</v>
      </c>
      <c r="BU260" s="1576">
        <f t="shared" si="306"/>
        <v>0</v>
      </c>
      <c r="BV260" s="1574">
        <f t="shared" si="345"/>
        <v>0</v>
      </c>
      <c r="BW260" s="1577">
        <f t="shared" si="346"/>
        <v>0</v>
      </c>
      <c r="BX260" s="1576">
        <f t="shared" si="307"/>
        <v>0</v>
      </c>
      <c r="BY260" s="1574">
        <f t="shared" si="347"/>
        <v>0</v>
      </c>
      <c r="BZ260" s="1577">
        <f t="shared" si="348"/>
        <v>0</v>
      </c>
      <c r="CA260" s="1576">
        <f t="shared" si="308"/>
        <v>0</v>
      </c>
      <c r="CB260" s="1495">
        <f t="shared" si="349"/>
        <v>0</v>
      </c>
      <c r="CC260" s="1577">
        <f t="shared" si="350"/>
        <v>0</v>
      </c>
      <c r="CD260" s="1576">
        <f t="shared" si="309"/>
        <v>0</v>
      </c>
      <c r="CE260" s="1495">
        <f t="shared" si="351"/>
        <v>0</v>
      </c>
      <c r="CF260" s="1577">
        <f t="shared" si="352"/>
        <v>0</v>
      </c>
      <c r="CG260" s="1576">
        <f t="shared" si="310"/>
        <v>0</v>
      </c>
      <c r="CH260" s="1495">
        <f t="shared" si="353"/>
        <v>0</v>
      </c>
      <c r="CI260" s="1577">
        <f t="shared" si="354"/>
        <v>0</v>
      </c>
      <c r="CJ260" s="1576">
        <f t="shared" si="311"/>
        <v>0</v>
      </c>
      <c r="CK260" s="1495">
        <f t="shared" si="355"/>
        <v>0</v>
      </c>
      <c r="CL260" s="1577">
        <f t="shared" si="356"/>
        <v>0</v>
      </c>
      <c r="CM260" s="1576">
        <f t="shared" si="312"/>
        <v>0</v>
      </c>
      <c r="CN260" s="1495">
        <f t="shared" si="357"/>
        <v>0</v>
      </c>
      <c r="CO260" s="1577">
        <f t="shared" si="358"/>
        <v>0</v>
      </c>
      <c r="CP260" s="1576">
        <f t="shared" si="313"/>
        <v>0</v>
      </c>
      <c r="CQ260" s="1495">
        <f t="shared" si="359"/>
        <v>0</v>
      </c>
      <c r="CR260" s="1577">
        <f t="shared" si="360"/>
        <v>0</v>
      </c>
      <c r="CS260" s="1576">
        <f t="shared" si="314"/>
        <v>0</v>
      </c>
      <c r="CT260" s="1495">
        <f t="shared" si="361"/>
        <v>0</v>
      </c>
      <c r="CU260" s="1577">
        <f t="shared" si="362"/>
        <v>0</v>
      </c>
      <c r="CV260" s="1576">
        <f t="shared" si="315"/>
        <v>0</v>
      </c>
      <c r="CW260" s="1495">
        <f t="shared" si="363"/>
        <v>0</v>
      </c>
      <c r="CX260" s="1577">
        <f t="shared" si="364"/>
        <v>0</v>
      </c>
      <c r="CY260" s="1576">
        <f t="shared" si="316"/>
        <v>0</v>
      </c>
      <c r="CZ260" s="1574">
        <f t="shared" si="317"/>
        <v>0</v>
      </c>
      <c r="DA260" s="1578">
        <f t="shared" si="319"/>
        <v>0</v>
      </c>
      <c r="DB260" s="1579">
        <f t="shared" si="320"/>
        <v>0</v>
      </c>
      <c r="DC260" s="1578">
        <f t="shared" si="321"/>
        <v>0</v>
      </c>
      <c r="DD260" s="1578">
        <f t="shared" si="321"/>
        <v>0</v>
      </c>
      <c r="DE260" s="1578">
        <f t="shared" si="321"/>
        <v>0</v>
      </c>
      <c r="DF260" s="1578">
        <f t="shared" si="322"/>
        <v>0</v>
      </c>
      <c r="DG260" s="1538"/>
      <c r="DH260" s="1538"/>
      <c r="DI260" s="1422"/>
      <c r="DJ260" s="1795" t="s">
        <v>2242</v>
      </c>
      <c r="DK260" s="1827"/>
      <c r="DL260" s="1428"/>
      <c r="DM260" s="1428"/>
      <c r="DN260" s="1428"/>
      <c r="DO260" s="1428"/>
      <c r="DP260" s="1428"/>
      <c r="DQ260" s="1422"/>
      <c r="DR260" s="1428"/>
      <c r="DS260" s="1428"/>
      <c r="DT260" s="1428"/>
      <c r="DU260" s="1428"/>
      <c r="DV260" s="1428"/>
      <c r="DW260" s="1428"/>
      <c r="DX260" s="1428"/>
      <c r="DY260" s="1428"/>
      <c r="DZ260" s="1428"/>
      <c r="EA260" s="1428"/>
      <c r="EB260" s="1428"/>
      <c r="EC260" s="1428"/>
      <c r="ED260" s="1428"/>
      <c r="EE260" s="1428"/>
      <c r="EF260" s="1428"/>
      <c r="EG260" s="1428"/>
      <c r="EH260" s="1428"/>
      <c r="EI260" s="1428"/>
      <c r="EJ260" s="1428"/>
      <c r="EK260" s="1428"/>
      <c r="EL260" s="1428"/>
      <c r="EM260" s="1428"/>
      <c r="EN260" s="1428"/>
      <c r="EO260" s="1428"/>
      <c r="EP260" s="1428"/>
      <c r="EQ260" s="1428"/>
      <c r="ER260" s="1428"/>
      <c r="ES260" s="1428"/>
      <c r="ET260" s="1428"/>
      <c r="EU260" s="1428"/>
    </row>
    <row r="261" spans="1:151" s="1440" customFormat="1" ht="15" customHeight="1">
      <c r="A261" s="1834"/>
      <c r="B261" s="1600" t="s">
        <v>883</v>
      </c>
      <c r="C261" s="1723"/>
      <c r="I261" s="1600" t="s">
        <v>881</v>
      </c>
      <c r="J261" s="1845">
        <f t="shared" si="366"/>
        <v>0</v>
      </c>
      <c r="K261" s="1845">
        <f t="shared" si="367"/>
        <v>0</v>
      </c>
      <c r="L261" s="1720"/>
      <c r="M261" s="1720"/>
      <c r="N261" s="1430"/>
      <c r="O261" s="1430"/>
      <c r="P261" s="1430"/>
      <c r="Q261" s="1430"/>
      <c r="R261" s="1430"/>
      <c r="S261" s="1430"/>
      <c r="T261" s="1430"/>
      <c r="U261" s="1430"/>
      <c r="V261" s="1430"/>
      <c r="W261" s="1430"/>
      <c r="X261" s="1430"/>
      <c r="Y261" s="1430"/>
      <c r="Z261" s="1430"/>
      <c r="AA261" s="1430"/>
      <c r="AB261" s="1430"/>
      <c r="AC261" s="1430"/>
      <c r="AD261" s="1430"/>
      <c r="AE261" s="1430"/>
      <c r="AF261" s="1430"/>
      <c r="AG261" s="1430"/>
      <c r="AH261" s="1430"/>
      <c r="AI261" s="1430"/>
      <c r="AJ261" s="1430"/>
      <c r="AK261" s="1430"/>
      <c r="AL261" s="1430"/>
      <c r="AM261" s="1430"/>
      <c r="AN261" s="1430"/>
      <c r="AO261" s="1430"/>
      <c r="AP261" s="1430"/>
      <c r="AQ261" s="1430"/>
      <c r="AR261" s="1430"/>
      <c r="AS261" s="1430"/>
      <c r="AT261" s="1430"/>
      <c r="AU261" s="1430"/>
      <c r="AV261" s="1704"/>
      <c r="AW261" s="1430"/>
      <c r="AX261" s="1430"/>
      <c r="AY261" s="1430"/>
      <c r="AZ261" s="1430"/>
      <c r="BA261" s="1430"/>
      <c r="BB261" s="1430"/>
      <c r="BC261" s="1430"/>
      <c r="BD261" s="1586"/>
      <c r="BE261" s="1571" t="s">
        <v>1215</v>
      </c>
      <c r="BF261" s="1436">
        <v>22</v>
      </c>
      <c r="BG261" s="1436">
        <v>30</v>
      </c>
      <c r="BH261" s="1436">
        <v>1</v>
      </c>
      <c r="BI261" s="1495" t="b">
        <f t="shared" si="318"/>
        <v>1</v>
      </c>
      <c r="BJ261" s="1450" t="b">
        <f t="shared" si="339"/>
        <v>0</v>
      </c>
      <c r="BK261" s="1572">
        <f t="shared" si="340"/>
        <v>0</v>
      </c>
      <c r="BL261" s="1581">
        <f>IF(SUM(BL$232:BL260,BK261)&gt;$BQ$4,0,BK261)</f>
        <v>0</v>
      </c>
      <c r="BM261" s="1436">
        <f t="shared" si="303"/>
        <v>0</v>
      </c>
      <c r="BN261" s="1495">
        <f t="shared" si="304"/>
        <v>0</v>
      </c>
      <c r="BO261" s="1437">
        <f t="shared" si="324"/>
        <v>0</v>
      </c>
      <c r="BP261" s="1762">
        <f t="shared" si="341"/>
        <v>0</v>
      </c>
      <c r="BQ261" s="1577">
        <f t="shared" si="342"/>
        <v>0</v>
      </c>
      <c r="BR261" s="1576">
        <f t="shared" si="305"/>
        <v>0</v>
      </c>
      <c r="BS261" s="1574">
        <f t="shared" si="343"/>
        <v>0</v>
      </c>
      <c r="BT261" s="1577">
        <f t="shared" si="344"/>
        <v>0</v>
      </c>
      <c r="BU261" s="1576">
        <f t="shared" si="306"/>
        <v>0</v>
      </c>
      <c r="BV261" s="1574">
        <f t="shared" si="345"/>
        <v>0</v>
      </c>
      <c r="BW261" s="1577">
        <f t="shared" si="346"/>
        <v>0</v>
      </c>
      <c r="BX261" s="1576">
        <f t="shared" si="307"/>
        <v>0</v>
      </c>
      <c r="BY261" s="1574">
        <f t="shared" si="347"/>
        <v>0</v>
      </c>
      <c r="BZ261" s="1577">
        <f t="shared" si="348"/>
        <v>0</v>
      </c>
      <c r="CA261" s="1576">
        <f t="shared" si="308"/>
        <v>0</v>
      </c>
      <c r="CB261" s="1495">
        <f t="shared" si="349"/>
        <v>0</v>
      </c>
      <c r="CC261" s="1577">
        <f t="shared" si="350"/>
        <v>0</v>
      </c>
      <c r="CD261" s="1576">
        <f t="shared" si="309"/>
        <v>0</v>
      </c>
      <c r="CE261" s="1495">
        <f t="shared" si="351"/>
        <v>0</v>
      </c>
      <c r="CF261" s="1577">
        <f t="shared" si="352"/>
        <v>0</v>
      </c>
      <c r="CG261" s="1576">
        <f t="shared" si="310"/>
        <v>0</v>
      </c>
      <c r="CH261" s="1495">
        <f t="shared" si="353"/>
        <v>0</v>
      </c>
      <c r="CI261" s="1577">
        <f t="shared" si="354"/>
        <v>0</v>
      </c>
      <c r="CJ261" s="1576">
        <f t="shared" si="311"/>
        <v>0</v>
      </c>
      <c r="CK261" s="1495">
        <f t="shared" si="355"/>
        <v>0</v>
      </c>
      <c r="CL261" s="1577">
        <f t="shared" si="356"/>
        <v>0</v>
      </c>
      <c r="CM261" s="1576">
        <f t="shared" si="312"/>
        <v>0</v>
      </c>
      <c r="CN261" s="1495">
        <f t="shared" si="357"/>
        <v>0</v>
      </c>
      <c r="CO261" s="1577">
        <f t="shared" si="358"/>
        <v>0</v>
      </c>
      <c r="CP261" s="1576">
        <f t="shared" si="313"/>
        <v>0</v>
      </c>
      <c r="CQ261" s="1495">
        <f t="shared" si="359"/>
        <v>0</v>
      </c>
      <c r="CR261" s="1577">
        <f t="shared" si="360"/>
        <v>0</v>
      </c>
      <c r="CS261" s="1576">
        <f t="shared" si="314"/>
        <v>0</v>
      </c>
      <c r="CT261" s="1495">
        <f t="shared" si="361"/>
        <v>0</v>
      </c>
      <c r="CU261" s="1577">
        <f t="shared" si="362"/>
        <v>0</v>
      </c>
      <c r="CV261" s="1576">
        <f t="shared" si="315"/>
        <v>0</v>
      </c>
      <c r="CW261" s="1495">
        <f t="shared" si="363"/>
        <v>0</v>
      </c>
      <c r="CX261" s="1577">
        <f t="shared" si="364"/>
        <v>0</v>
      </c>
      <c r="CY261" s="1576">
        <f t="shared" si="316"/>
        <v>0</v>
      </c>
      <c r="CZ261" s="1574">
        <f t="shared" si="317"/>
        <v>0</v>
      </c>
      <c r="DA261" s="1578">
        <f t="shared" si="319"/>
        <v>0</v>
      </c>
      <c r="DB261" s="1579">
        <f t="shared" si="320"/>
        <v>0</v>
      </c>
      <c r="DC261" s="1578">
        <f t="shared" si="321"/>
        <v>0</v>
      </c>
      <c r="DD261" s="1578">
        <f t="shared" si="321"/>
        <v>0</v>
      </c>
      <c r="DE261" s="1578">
        <f t="shared" si="321"/>
        <v>0</v>
      </c>
      <c r="DF261" s="1578">
        <f t="shared" si="322"/>
        <v>0</v>
      </c>
      <c r="DG261" s="1538"/>
      <c r="DH261" s="1538"/>
      <c r="DI261" s="1422"/>
      <c r="DJ261" s="2480" t="s">
        <v>2243</v>
      </c>
      <c r="DK261" s="2482">
        <v>26</v>
      </c>
      <c r="DL261" s="1428"/>
      <c r="DM261" s="1428"/>
      <c r="DN261" s="1428"/>
      <c r="DO261" s="1428"/>
      <c r="DP261" s="1428"/>
      <c r="DQ261" s="1422"/>
      <c r="DR261" s="1428"/>
      <c r="DS261" s="1428"/>
      <c r="DT261" s="1428"/>
      <c r="DU261" s="1428"/>
      <c r="DV261" s="1428"/>
      <c r="DW261" s="1428"/>
      <c r="DX261" s="1428"/>
      <c r="DY261" s="1428"/>
      <c r="DZ261" s="1428"/>
      <c r="EA261" s="1428"/>
      <c r="EB261" s="1428"/>
      <c r="EC261" s="1428"/>
      <c r="ED261" s="1428"/>
      <c r="EE261" s="1428"/>
      <c r="EF261" s="1428"/>
      <c r="EG261" s="1428"/>
      <c r="EH261" s="1428"/>
      <c r="EI261" s="1428"/>
      <c r="EJ261" s="1428"/>
      <c r="EK261" s="1428"/>
      <c r="EL261" s="1428"/>
      <c r="EM261" s="1428"/>
      <c r="EN261" s="1428"/>
      <c r="EO261" s="1428"/>
      <c r="EP261" s="1428"/>
      <c r="EQ261" s="1428"/>
      <c r="ER261" s="1428"/>
      <c r="ES261" s="1428"/>
      <c r="ET261" s="1428"/>
      <c r="EU261" s="1428"/>
    </row>
    <row r="262" spans="1:151" s="1440" customFormat="1" ht="15" customHeight="1">
      <c r="A262" s="1834"/>
      <c r="B262" s="1600" t="s">
        <v>884</v>
      </c>
      <c r="C262" s="1723"/>
      <c r="I262" s="1600" t="s">
        <v>882</v>
      </c>
      <c r="J262" s="1845">
        <f t="shared" si="366"/>
        <v>0</v>
      </c>
      <c r="K262" s="1845">
        <f t="shared" si="367"/>
        <v>0</v>
      </c>
      <c r="L262" s="1720"/>
      <c r="M262" s="1720"/>
      <c r="N262" s="1430"/>
      <c r="O262" s="1430"/>
      <c r="P262" s="1430"/>
      <c r="Q262" s="1430"/>
      <c r="R262" s="1430"/>
      <c r="S262" s="1430"/>
      <c r="T262" s="1430"/>
      <c r="U262" s="1430"/>
      <c r="V262" s="1430"/>
      <c r="W262" s="1430"/>
      <c r="X262" s="1430"/>
      <c r="Y262" s="1430"/>
      <c r="Z262" s="1430"/>
      <c r="AA262" s="1430"/>
      <c r="AB262" s="1430"/>
      <c r="AC262" s="1430"/>
      <c r="AD262" s="1430"/>
      <c r="AE262" s="1430"/>
      <c r="AF262" s="1430"/>
      <c r="AG262" s="1430"/>
      <c r="AH262" s="1430"/>
      <c r="AI262" s="1430"/>
      <c r="AJ262" s="1430"/>
      <c r="AK262" s="1430"/>
      <c r="AL262" s="1430"/>
      <c r="AM262" s="1430"/>
      <c r="AN262" s="1430"/>
      <c r="AO262" s="1430"/>
      <c r="AP262" s="1430"/>
      <c r="AQ262" s="1430"/>
      <c r="AR262" s="1430"/>
      <c r="AS262" s="1430"/>
      <c r="AT262" s="1430"/>
      <c r="AU262" s="1430"/>
      <c r="AV262" s="1704"/>
      <c r="AW262" s="1430"/>
      <c r="AX262" s="1430"/>
      <c r="AY262" s="1430"/>
      <c r="AZ262" s="1430"/>
      <c r="BA262" s="1430"/>
      <c r="BB262" s="1430"/>
      <c r="BC262" s="1430"/>
      <c r="BD262" s="1586"/>
      <c r="BE262" s="1571" t="s">
        <v>1215</v>
      </c>
      <c r="BF262" s="1436">
        <v>22</v>
      </c>
      <c r="BG262" s="1436">
        <v>31</v>
      </c>
      <c r="BH262" s="1436">
        <v>2</v>
      </c>
      <c r="BI262" s="1495" t="b">
        <f t="shared" si="318"/>
        <v>1</v>
      </c>
      <c r="BJ262" s="1450" t="b">
        <f t="shared" si="339"/>
        <v>1</v>
      </c>
      <c r="BK262" s="1572">
        <f t="shared" si="340"/>
        <v>6</v>
      </c>
      <c r="BL262" s="1573">
        <f>$BQ$4-SUM(BL232:BL261)</f>
        <v>6</v>
      </c>
      <c r="BM262" s="1436">
        <f t="shared" si="303"/>
        <v>0</v>
      </c>
      <c r="BN262" s="1495">
        <f t="shared" si="304"/>
        <v>0</v>
      </c>
      <c r="BO262" s="1437">
        <f t="shared" si="324"/>
        <v>0</v>
      </c>
      <c r="BP262" s="1762">
        <f t="shared" si="341"/>
        <v>0</v>
      </c>
      <c r="BQ262" s="1577">
        <f t="shared" si="342"/>
        <v>0</v>
      </c>
      <c r="BR262" s="1576">
        <f t="shared" si="305"/>
        <v>0</v>
      </c>
      <c r="BS262" s="1574">
        <f t="shared" si="343"/>
        <v>0</v>
      </c>
      <c r="BT262" s="1577">
        <f t="shared" si="344"/>
        <v>0</v>
      </c>
      <c r="BU262" s="1576">
        <f t="shared" si="306"/>
        <v>0</v>
      </c>
      <c r="BV262" s="1574">
        <f t="shared" si="345"/>
        <v>0</v>
      </c>
      <c r="BW262" s="1577">
        <f t="shared" si="346"/>
        <v>0</v>
      </c>
      <c r="BX262" s="1576">
        <f t="shared" si="307"/>
        <v>0</v>
      </c>
      <c r="BY262" s="1574">
        <f t="shared" si="347"/>
        <v>0</v>
      </c>
      <c r="BZ262" s="1577">
        <f t="shared" si="348"/>
        <v>0</v>
      </c>
      <c r="CA262" s="1576">
        <f t="shared" si="308"/>
        <v>0</v>
      </c>
      <c r="CB262" s="1495">
        <f t="shared" si="349"/>
        <v>0</v>
      </c>
      <c r="CC262" s="1577">
        <f t="shared" si="350"/>
        <v>0</v>
      </c>
      <c r="CD262" s="1576">
        <f t="shared" si="309"/>
        <v>0</v>
      </c>
      <c r="CE262" s="1495">
        <f t="shared" si="351"/>
        <v>0</v>
      </c>
      <c r="CF262" s="1577">
        <f t="shared" si="352"/>
        <v>0</v>
      </c>
      <c r="CG262" s="1576">
        <f t="shared" si="310"/>
        <v>0</v>
      </c>
      <c r="CH262" s="1495">
        <f t="shared" si="353"/>
        <v>0</v>
      </c>
      <c r="CI262" s="1577">
        <f t="shared" si="354"/>
        <v>0</v>
      </c>
      <c r="CJ262" s="1576">
        <f t="shared" si="311"/>
        <v>0</v>
      </c>
      <c r="CK262" s="1495">
        <f t="shared" si="355"/>
        <v>0</v>
      </c>
      <c r="CL262" s="1577">
        <f t="shared" si="356"/>
        <v>0</v>
      </c>
      <c r="CM262" s="1576">
        <f t="shared" si="312"/>
        <v>0</v>
      </c>
      <c r="CN262" s="1495">
        <f t="shared" si="357"/>
        <v>0</v>
      </c>
      <c r="CO262" s="1577">
        <f t="shared" si="358"/>
        <v>0</v>
      </c>
      <c r="CP262" s="1576">
        <f t="shared" si="313"/>
        <v>0</v>
      </c>
      <c r="CQ262" s="1495">
        <f t="shared" si="359"/>
        <v>0</v>
      </c>
      <c r="CR262" s="1577">
        <f t="shared" si="360"/>
        <v>0</v>
      </c>
      <c r="CS262" s="1576">
        <f t="shared" si="314"/>
        <v>0</v>
      </c>
      <c r="CT262" s="1495">
        <f t="shared" si="361"/>
        <v>0</v>
      </c>
      <c r="CU262" s="1577">
        <f t="shared" si="362"/>
        <v>0</v>
      </c>
      <c r="CV262" s="1576">
        <f t="shared" si="315"/>
        <v>0</v>
      </c>
      <c r="CW262" s="1495">
        <f t="shared" si="363"/>
        <v>0</v>
      </c>
      <c r="CX262" s="1577">
        <f t="shared" si="364"/>
        <v>0</v>
      </c>
      <c r="CY262" s="1576">
        <f t="shared" si="316"/>
        <v>0</v>
      </c>
      <c r="CZ262" s="1574">
        <f t="shared" si="317"/>
        <v>0</v>
      </c>
      <c r="DA262" s="1578">
        <f t="shared" si="319"/>
        <v>0</v>
      </c>
      <c r="DB262" s="1579">
        <f t="shared" si="320"/>
        <v>0</v>
      </c>
      <c r="DC262" s="1578">
        <f t="shared" si="321"/>
        <v>0</v>
      </c>
      <c r="DD262" s="1578">
        <f t="shared" si="321"/>
        <v>0</v>
      </c>
      <c r="DE262" s="1578">
        <f t="shared" si="321"/>
        <v>0</v>
      </c>
      <c r="DF262" s="1578">
        <f t="shared" si="322"/>
        <v>0</v>
      </c>
      <c r="DG262" s="1538"/>
      <c r="DH262" s="1538"/>
      <c r="DI262" s="1422"/>
      <c r="DJ262" s="2481"/>
      <c r="DK262" s="2483"/>
      <c r="DL262" s="1428"/>
      <c r="DM262" s="1428"/>
      <c r="DN262" s="1428"/>
      <c r="DO262" s="1428"/>
      <c r="DP262" s="1428"/>
      <c r="DQ262" s="1422"/>
      <c r="DR262" s="1428"/>
      <c r="DS262" s="1428"/>
      <c r="DT262" s="1428"/>
      <c r="DU262" s="1428"/>
      <c r="DV262" s="1428"/>
      <c r="DW262" s="1428"/>
      <c r="DX262" s="1428"/>
      <c r="DY262" s="1428"/>
      <c r="DZ262" s="1428"/>
      <c r="EA262" s="1428"/>
      <c r="EB262" s="1428"/>
      <c r="EC262" s="1428"/>
      <c r="ED262" s="1428"/>
      <c r="EE262" s="1428"/>
      <c r="EF262" s="1428"/>
      <c r="EG262" s="1428"/>
      <c r="EH262" s="1428"/>
      <c r="EI262" s="1428"/>
      <c r="EJ262" s="1428"/>
      <c r="EK262" s="1428"/>
      <c r="EL262" s="1428"/>
      <c r="EM262" s="1428"/>
      <c r="EN262" s="1428"/>
      <c r="EO262" s="1428"/>
      <c r="EP262" s="1428"/>
      <c r="EQ262" s="1428"/>
      <c r="ER262" s="1428"/>
      <c r="ES262" s="1428"/>
      <c r="ET262" s="1428"/>
      <c r="EU262" s="1428"/>
    </row>
    <row r="263" spans="1:151" s="1440" customFormat="1" ht="15" customHeight="1">
      <c r="A263" s="1834"/>
      <c r="B263" s="1600" t="s">
        <v>885</v>
      </c>
      <c r="C263" s="1723"/>
      <c r="E263" s="1846"/>
      <c r="I263" s="1600" t="s">
        <v>1212</v>
      </c>
      <c r="J263" s="1845">
        <f t="shared" si="366"/>
        <v>0</v>
      </c>
      <c r="K263" s="1845">
        <f t="shared" si="367"/>
        <v>0</v>
      </c>
      <c r="L263" s="1720"/>
      <c r="M263" s="1720"/>
      <c r="N263" s="1430"/>
      <c r="O263" s="1430"/>
      <c r="P263" s="1430"/>
      <c r="Q263" s="1430"/>
      <c r="R263" s="1430"/>
      <c r="S263" s="1430"/>
      <c r="T263" s="1430"/>
      <c r="U263" s="1430"/>
      <c r="V263" s="1430"/>
      <c r="W263" s="1430"/>
      <c r="X263" s="1430"/>
      <c r="Y263" s="1430"/>
      <c r="Z263" s="1430"/>
      <c r="AA263" s="1430"/>
      <c r="AB263" s="1430"/>
      <c r="AC263" s="1430"/>
      <c r="AD263" s="1430"/>
      <c r="AE263" s="1430"/>
      <c r="AF263" s="1430"/>
      <c r="AG263" s="1430"/>
      <c r="AH263" s="1430"/>
      <c r="AI263" s="1430"/>
      <c r="AJ263" s="1430"/>
      <c r="AK263" s="1430"/>
      <c r="AL263" s="1430"/>
      <c r="AM263" s="1430"/>
      <c r="AN263" s="1430"/>
      <c r="AO263" s="1430"/>
      <c r="AP263" s="1430"/>
      <c r="AQ263" s="1430"/>
      <c r="AR263" s="1430"/>
      <c r="AS263" s="1430"/>
      <c r="AT263" s="1430"/>
      <c r="AU263" s="1430"/>
      <c r="AV263" s="1704"/>
      <c r="AW263" s="1430"/>
      <c r="AX263" s="1430"/>
      <c r="AY263" s="1430"/>
      <c r="AZ263" s="1430"/>
      <c r="BA263" s="1430"/>
      <c r="BB263" s="1430"/>
      <c r="BC263" s="1430"/>
      <c r="BD263" s="1586"/>
      <c r="BE263" s="1571" t="s">
        <v>1216</v>
      </c>
      <c r="BF263" s="1436">
        <v>22</v>
      </c>
      <c r="BG263" s="1436">
        <v>1</v>
      </c>
      <c r="BH263" s="1436">
        <v>3</v>
      </c>
      <c r="BI263" s="1495" t="b">
        <f t="shared" si="318"/>
        <v>1</v>
      </c>
      <c r="BJ263" s="1450" t="b">
        <f t="shared" ref="BJ263:BJ292" si="368">MOD(BG263,$BR$7)=0</f>
        <v>0</v>
      </c>
      <c r="BK263" s="1572">
        <f t="shared" ref="BK263:BK292" si="369">IF(BJ263,BR$8,0)</f>
        <v>0</v>
      </c>
      <c r="BL263" s="1573">
        <f>BK263</f>
        <v>0</v>
      </c>
      <c r="BM263" s="1436">
        <f t="shared" si="303"/>
        <v>0</v>
      </c>
      <c r="BN263" s="1495">
        <f t="shared" si="304"/>
        <v>0</v>
      </c>
      <c r="BO263" s="1437">
        <f t="shared" si="324"/>
        <v>0</v>
      </c>
      <c r="BP263" s="1762">
        <f t="shared" ref="BP263:BP292" si="370">$Q$342/$BF$263*BR$16*$BI263</f>
        <v>0</v>
      </c>
      <c r="BQ263" s="1577">
        <f t="shared" ref="BQ263:BQ292" si="371">AQ$377/$BF263*$BI263</f>
        <v>0</v>
      </c>
      <c r="BR263" s="1576">
        <f t="shared" si="305"/>
        <v>0</v>
      </c>
      <c r="BS263" s="1574">
        <f t="shared" ref="BS263:BS292" si="372">$R$342/$BF263*BU$16*$BI263</f>
        <v>0</v>
      </c>
      <c r="BT263" s="1577">
        <f t="shared" ref="BT263:BT292" si="373">AR$377/$BF263*$BI263</f>
        <v>0</v>
      </c>
      <c r="BU263" s="1576">
        <f t="shared" si="306"/>
        <v>0</v>
      </c>
      <c r="BV263" s="1574">
        <f t="shared" ref="BV263:BV292" si="374">$S$342/$BF263*BX$16*$BI263</f>
        <v>0</v>
      </c>
      <c r="BW263" s="1577">
        <f t="shared" ref="BW263:BW292" si="375">AS$377/$BF263*$BI263</f>
        <v>0</v>
      </c>
      <c r="BX263" s="1576">
        <f t="shared" si="307"/>
        <v>0</v>
      </c>
      <c r="BY263" s="1574">
        <f t="shared" ref="BY263:BY292" si="376">$T$342/$BF263*CA$16*$BI263</f>
        <v>0</v>
      </c>
      <c r="BZ263" s="1577">
        <f t="shared" ref="BZ263:BZ292" si="377">AT$377/$BF263*$BI263</f>
        <v>0</v>
      </c>
      <c r="CA263" s="1576">
        <f t="shared" si="308"/>
        <v>0</v>
      </c>
      <c r="CB263" s="1495">
        <f t="shared" ref="CB263:CB292" si="378">$W$342/BF263*BI263*$C$419</f>
        <v>0</v>
      </c>
      <c r="CC263" s="1577">
        <f t="shared" ref="CC263:CC292" si="379">AU$377/$BF263*$BI263</f>
        <v>0</v>
      </c>
      <c r="CD263" s="1576">
        <f t="shared" si="309"/>
        <v>0</v>
      </c>
      <c r="CE263" s="1495">
        <f t="shared" ref="CE263:CE292" si="380">$X$342/BF263*BI263*$C$420</f>
        <v>0</v>
      </c>
      <c r="CF263" s="1577">
        <f t="shared" ref="CF263:CF292" si="381">AV$377/$BF263*$BI263</f>
        <v>0</v>
      </c>
      <c r="CG263" s="1576">
        <f t="shared" si="310"/>
        <v>0</v>
      </c>
      <c r="CH263" s="1495">
        <f t="shared" ref="CH263:CH292" si="382">$Y$342/BF263*BI263*$C$421</f>
        <v>0</v>
      </c>
      <c r="CI263" s="1577">
        <f t="shared" ref="CI263:CI292" si="383">AW$377/$BF263*$BI263</f>
        <v>0</v>
      </c>
      <c r="CJ263" s="1576">
        <f t="shared" si="311"/>
        <v>0</v>
      </c>
      <c r="CK263" s="1495">
        <f t="shared" ref="CK263:CK292" si="384">$Z$342/BF263*BI263*$CM$16</f>
        <v>0</v>
      </c>
      <c r="CL263" s="1577">
        <f t="shared" ref="CL263:CL292" si="385">AX$377/$BF263*$BI263</f>
        <v>0</v>
      </c>
      <c r="CM263" s="1576">
        <f t="shared" si="312"/>
        <v>0</v>
      </c>
      <c r="CN263" s="1495">
        <f t="shared" ref="CN263:CN292" si="386">$AA$342/BF263*BI263*$CP$16</f>
        <v>0</v>
      </c>
      <c r="CO263" s="1577">
        <f t="shared" ref="CO263:CO292" si="387">$AY$377/$BF263*$BI263</f>
        <v>0</v>
      </c>
      <c r="CP263" s="1576">
        <f t="shared" si="313"/>
        <v>0</v>
      </c>
      <c r="CQ263" s="1495">
        <f t="shared" ref="CQ263:CQ292" si="388">$AB$342/BF263*BI263*$CS$16</f>
        <v>0</v>
      </c>
      <c r="CR263" s="1577">
        <f t="shared" ref="CR263:CR292" si="389">AZ$377/$BF263*$BI263</f>
        <v>0</v>
      </c>
      <c r="CS263" s="1576">
        <f t="shared" si="314"/>
        <v>0</v>
      </c>
      <c r="CT263" s="1495">
        <f t="shared" ref="CT263:CT292" si="390">$AC$342/BF263*BI263*$CV$16</f>
        <v>0</v>
      </c>
      <c r="CU263" s="1577">
        <f t="shared" ref="CU263:CU292" si="391">BA$377/$BF263*$BI263</f>
        <v>0</v>
      </c>
      <c r="CV263" s="1576">
        <f t="shared" si="315"/>
        <v>0</v>
      </c>
      <c r="CW263" s="1495">
        <f t="shared" ref="CW263:CW292" si="392">$AD$342/BF263*BI263*$CY$16</f>
        <v>0</v>
      </c>
      <c r="CX263" s="1577">
        <f t="shared" ref="CX263:CX292" si="393">BB$377/$BF263*$BI263</f>
        <v>0</v>
      </c>
      <c r="CY263" s="1576">
        <f t="shared" si="316"/>
        <v>0</v>
      </c>
      <c r="CZ263" s="1574">
        <f t="shared" si="317"/>
        <v>0</v>
      </c>
      <c r="DA263" s="1578">
        <f t="shared" si="319"/>
        <v>0</v>
      </c>
      <c r="DB263" s="1579">
        <f t="shared" si="320"/>
        <v>0</v>
      </c>
      <c r="DC263" s="1578">
        <f t="shared" si="321"/>
        <v>0</v>
      </c>
      <c r="DD263" s="1578">
        <f t="shared" si="321"/>
        <v>0</v>
      </c>
      <c r="DE263" s="1578">
        <f t="shared" si="321"/>
        <v>0</v>
      </c>
      <c r="DF263" s="1578">
        <f>IF(DA263-(DE262+CZ263)&lt;0,0,DA263-(DE262+CZ263))</f>
        <v>0</v>
      </c>
      <c r="DG263" s="1538"/>
      <c r="DH263" s="1538"/>
      <c r="DI263" s="1422"/>
      <c r="DJ263" s="1428"/>
      <c r="DK263" s="1428"/>
      <c r="DL263" s="1428"/>
      <c r="DM263" s="1428"/>
      <c r="DN263" s="1428"/>
      <c r="DO263" s="1428"/>
      <c r="DP263" s="1428"/>
      <c r="DQ263" s="1422"/>
      <c r="DR263" s="1428"/>
      <c r="DS263" s="1428"/>
      <c r="DT263" s="1428"/>
      <c r="DU263" s="1428"/>
      <c r="DV263" s="1428"/>
      <c r="DW263" s="1428"/>
      <c r="DX263" s="1428"/>
      <c r="DY263" s="1428"/>
      <c r="DZ263" s="1428"/>
      <c r="EA263" s="1428"/>
      <c r="EB263" s="1428"/>
      <c r="EC263" s="1428"/>
      <c r="ED263" s="1428"/>
      <c r="EE263" s="1428"/>
      <c r="EF263" s="1428"/>
      <c r="EG263" s="1428"/>
      <c r="EH263" s="1428"/>
      <c r="EI263" s="1428"/>
      <c r="EJ263" s="1428"/>
      <c r="EK263" s="1428"/>
      <c r="EL263" s="1428"/>
      <c r="EM263" s="1428"/>
      <c r="EN263" s="1428"/>
      <c r="EO263" s="1428"/>
      <c r="EP263" s="1428"/>
      <c r="EQ263" s="1428"/>
      <c r="ER263" s="1428"/>
      <c r="ES263" s="1428"/>
      <c r="ET263" s="1428"/>
      <c r="EU263" s="1428"/>
    </row>
    <row r="264" spans="1:151" s="1440" customFormat="1" ht="15" customHeight="1">
      <c r="A264" s="1834"/>
      <c r="B264" s="1600" t="s">
        <v>802</v>
      </c>
      <c r="C264" s="1723"/>
      <c r="I264" s="1600" t="s">
        <v>883</v>
      </c>
      <c r="J264" s="1845">
        <f t="shared" si="366"/>
        <v>0</v>
      </c>
      <c r="K264" s="1845">
        <f t="shared" si="367"/>
        <v>0</v>
      </c>
      <c r="L264" s="1720"/>
      <c r="M264" s="1720"/>
      <c r="N264" s="1430"/>
      <c r="O264" s="1430"/>
      <c r="P264" s="1430"/>
      <c r="Q264" s="1430"/>
      <c r="R264" s="1430"/>
      <c r="S264" s="1430"/>
      <c r="T264" s="1430"/>
      <c r="U264" s="1430"/>
      <c r="V264" s="1430"/>
      <c r="W264" s="1430"/>
      <c r="X264" s="1430"/>
      <c r="Y264" s="1430"/>
      <c r="Z264" s="1430"/>
      <c r="AA264" s="1430"/>
      <c r="AB264" s="1430"/>
      <c r="AC264" s="1430"/>
      <c r="AD264" s="1430"/>
      <c r="AE264" s="1430"/>
      <c r="AF264" s="1430"/>
      <c r="AG264" s="1430"/>
      <c r="AH264" s="1430"/>
      <c r="AI264" s="1430"/>
      <c r="AJ264" s="1430"/>
      <c r="AK264" s="1430"/>
      <c r="AL264" s="1430"/>
      <c r="AM264" s="1430"/>
      <c r="AN264" s="1430"/>
      <c r="AO264" s="1430"/>
      <c r="AP264" s="1430"/>
      <c r="AQ264" s="1430"/>
      <c r="AR264" s="1430"/>
      <c r="AS264" s="1430"/>
      <c r="AT264" s="1430"/>
      <c r="AU264" s="1430"/>
      <c r="AV264" s="1704"/>
      <c r="AW264" s="1430"/>
      <c r="AX264" s="1430"/>
      <c r="AY264" s="1430"/>
      <c r="AZ264" s="1430"/>
      <c r="BA264" s="1430"/>
      <c r="BB264" s="1430"/>
      <c r="BC264" s="1430"/>
      <c r="BD264" s="1586"/>
      <c r="BE264" s="1571" t="s">
        <v>1216</v>
      </c>
      <c r="BF264" s="1436">
        <v>22</v>
      </c>
      <c r="BG264" s="1436">
        <v>2</v>
      </c>
      <c r="BH264" s="1436">
        <v>4</v>
      </c>
      <c r="BI264" s="1495" t="b">
        <f t="shared" si="318"/>
        <v>1</v>
      </c>
      <c r="BJ264" s="1450" t="b">
        <f t="shared" si="368"/>
        <v>0</v>
      </c>
      <c r="BK264" s="1572">
        <f t="shared" si="369"/>
        <v>0</v>
      </c>
      <c r="BL264" s="1581">
        <f>IF(SUM(BL$263:BL263,BK264)&gt;$BR$4,0,BK264)</f>
        <v>0</v>
      </c>
      <c r="BM264" s="1436">
        <f t="shared" si="303"/>
        <v>0</v>
      </c>
      <c r="BN264" s="1495">
        <f t="shared" si="304"/>
        <v>0</v>
      </c>
      <c r="BO264" s="1437">
        <f t="shared" si="324"/>
        <v>0</v>
      </c>
      <c r="BP264" s="1762">
        <f t="shared" si="370"/>
        <v>0</v>
      </c>
      <c r="BQ264" s="1577">
        <f t="shared" si="371"/>
        <v>0</v>
      </c>
      <c r="BR264" s="1576">
        <f t="shared" si="305"/>
        <v>0</v>
      </c>
      <c r="BS264" s="1574">
        <f t="shared" si="372"/>
        <v>0</v>
      </c>
      <c r="BT264" s="1577">
        <f t="shared" si="373"/>
        <v>0</v>
      </c>
      <c r="BU264" s="1576">
        <f t="shared" si="306"/>
        <v>0</v>
      </c>
      <c r="BV264" s="1574">
        <f t="shared" si="374"/>
        <v>0</v>
      </c>
      <c r="BW264" s="1577">
        <f t="shared" si="375"/>
        <v>0</v>
      </c>
      <c r="BX264" s="1576">
        <f t="shared" si="307"/>
        <v>0</v>
      </c>
      <c r="BY264" s="1574">
        <f t="shared" si="376"/>
        <v>0</v>
      </c>
      <c r="BZ264" s="1577">
        <f t="shared" si="377"/>
        <v>0</v>
      </c>
      <c r="CA264" s="1576">
        <f t="shared" si="308"/>
        <v>0</v>
      </c>
      <c r="CB264" s="1495">
        <f t="shared" si="378"/>
        <v>0</v>
      </c>
      <c r="CC264" s="1577">
        <f t="shared" si="379"/>
        <v>0</v>
      </c>
      <c r="CD264" s="1576">
        <f t="shared" si="309"/>
        <v>0</v>
      </c>
      <c r="CE264" s="1495">
        <f t="shared" si="380"/>
        <v>0</v>
      </c>
      <c r="CF264" s="1577">
        <f t="shared" si="381"/>
        <v>0</v>
      </c>
      <c r="CG264" s="1576">
        <f t="shared" si="310"/>
        <v>0</v>
      </c>
      <c r="CH264" s="1495">
        <f t="shared" si="382"/>
        <v>0</v>
      </c>
      <c r="CI264" s="1577">
        <f t="shared" si="383"/>
        <v>0</v>
      </c>
      <c r="CJ264" s="1576">
        <f t="shared" si="311"/>
        <v>0</v>
      </c>
      <c r="CK264" s="1495">
        <f t="shared" si="384"/>
        <v>0</v>
      </c>
      <c r="CL264" s="1577">
        <f t="shared" si="385"/>
        <v>0</v>
      </c>
      <c r="CM264" s="1576">
        <f t="shared" si="312"/>
        <v>0</v>
      </c>
      <c r="CN264" s="1495">
        <f t="shared" si="386"/>
        <v>0</v>
      </c>
      <c r="CO264" s="1577">
        <f t="shared" si="387"/>
        <v>0</v>
      </c>
      <c r="CP264" s="1576">
        <f t="shared" si="313"/>
        <v>0</v>
      </c>
      <c r="CQ264" s="1495">
        <f t="shared" si="388"/>
        <v>0</v>
      </c>
      <c r="CR264" s="1577">
        <f t="shared" si="389"/>
        <v>0</v>
      </c>
      <c r="CS264" s="1576">
        <f t="shared" si="314"/>
        <v>0</v>
      </c>
      <c r="CT264" s="1495">
        <f t="shared" si="390"/>
        <v>0</v>
      </c>
      <c r="CU264" s="1577">
        <f t="shared" si="391"/>
        <v>0</v>
      </c>
      <c r="CV264" s="1576">
        <f t="shared" si="315"/>
        <v>0</v>
      </c>
      <c r="CW264" s="1495">
        <f t="shared" si="392"/>
        <v>0</v>
      </c>
      <c r="CX264" s="1577">
        <f t="shared" si="393"/>
        <v>0</v>
      </c>
      <c r="CY264" s="1576">
        <f t="shared" si="316"/>
        <v>0</v>
      </c>
      <c r="CZ264" s="1574">
        <f t="shared" si="317"/>
        <v>0</v>
      </c>
      <c r="DA264" s="1578">
        <f t="shared" si="319"/>
        <v>0</v>
      </c>
      <c r="DB264" s="1579">
        <f t="shared" si="320"/>
        <v>0</v>
      </c>
      <c r="DC264" s="1578">
        <f t="shared" si="321"/>
        <v>0</v>
      </c>
      <c r="DD264" s="1578">
        <f t="shared" si="321"/>
        <v>0</v>
      </c>
      <c r="DE264" s="1578">
        <f t="shared" si="321"/>
        <v>0</v>
      </c>
      <c r="DF264" s="1578">
        <f t="shared" si="322"/>
        <v>0</v>
      </c>
      <c r="DG264" s="1538"/>
      <c r="DH264" s="1538"/>
      <c r="DI264" s="1422"/>
      <c r="DJ264" s="1428"/>
      <c r="DK264" s="1428"/>
      <c r="DL264" s="1428"/>
      <c r="DM264" s="1428"/>
      <c r="DN264" s="1428"/>
      <c r="DO264" s="1428"/>
      <c r="DP264" s="1428"/>
      <c r="DQ264" s="1422"/>
      <c r="DR264" s="1428"/>
      <c r="DS264" s="1428"/>
      <c r="DT264" s="1428"/>
      <c r="DU264" s="1428"/>
      <c r="DV264" s="1428"/>
      <c r="DW264" s="1428"/>
      <c r="DX264" s="1428"/>
      <c r="DY264" s="1428"/>
      <c r="DZ264" s="1428"/>
      <c r="EA264" s="1428"/>
      <c r="EB264" s="1428"/>
      <c r="EC264" s="1428"/>
      <c r="ED264" s="1428"/>
      <c r="EE264" s="1428"/>
      <c r="EF264" s="1428"/>
      <c r="EG264" s="1428"/>
      <c r="EH264" s="1428"/>
      <c r="EI264" s="1428"/>
      <c r="EJ264" s="1428"/>
      <c r="EK264" s="1428"/>
      <c r="EL264" s="1428"/>
      <c r="EM264" s="1428"/>
      <c r="EN264" s="1428"/>
      <c r="EO264" s="1428"/>
      <c r="EP264" s="1428"/>
      <c r="EQ264" s="1428"/>
      <c r="ER264" s="1428"/>
      <c r="ES264" s="1428"/>
      <c r="ET264" s="1428"/>
      <c r="EU264" s="1428"/>
    </row>
    <row r="265" spans="1:151" s="1440" customFormat="1" ht="15" customHeight="1">
      <c r="A265" s="1834"/>
      <c r="B265" s="1600" t="s">
        <v>803</v>
      </c>
      <c r="C265" s="1723"/>
      <c r="I265" s="1600" t="s">
        <v>884</v>
      </c>
      <c r="J265" s="1845">
        <f t="shared" si="366"/>
        <v>0</v>
      </c>
      <c r="K265" s="1845">
        <f t="shared" si="367"/>
        <v>0</v>
      </c>
      <c r="L265" s="1720"/>
      <c r="M265" s="1720"/>
      <c r="N265" s="1430" t="s">
        <v>2244</v>
      </c>
      <c r="O265" s="1430"/>
      <c r="P265" s="1430"/>
      <c r="Q265" s="1430"/>
      <c r="R265" s="1430"/>
      <c r="S265" s="1430"/>
      <c r="T265" s="1430"/>
      <c r="U265" s="1430"/>
      <c r="V265" s="1430"/>
      <c r="W265" s="1430"/>
      <c r="X265" s="1430"/>
      <c r="Y265" s="1430"/>
      <c r="Z265" s="1430"/>
      <c r="AA265" s="1430"/>
      <c r="AB265" s="1430"/>
      <c r="AC265" s="1430"/>
      <c r="AD265" s="1430"/>
      <c r="AE265" s="1430"/>
      <c r="AF265" s="1430"/>
      <c r="AG265" s="1430"/>
      <c r="AH265" s="1430"/>
      <c r="AI265" s="1430"/>
      <c r="AJ265" s="1430"/>
      <c r="AK265" s="1430"/>
      <c r="AL265" s="1430"/>
      <c r="AM265" s="1430"/>
      <c r="AN265" s="1430"/>
      <c r="AO265" s="1430"/>
      <c r="AP265" s="1430"/>
      <c r="AQ265" s="1430"/>
      <c r="AR265" s="1430"/>
      <c r="AS265" s="1430"/>
      <c r="AT265" s="1430"/>
      <c r="AU265" s="1430"/>
      <c r="AV265" s="1704"/>
      <c r="AW265" s="1430"/>
      <c r="AX265" s="1430"/>
      <c r="AY265" s="1430"/>
      <c r="AZ265" s="1430"/>
      <c r="BA265" s="1430"/>
      <c r="BB265" s="1430"/>
      <c r="BC265" s="1430"/>
      <c r="BD265" s="1475"/>
      <c r="BE265" s="1571" t="s">
        <v>1216</v>
      </c>
      <c r="BF265" s="1436">
        <v>22</v>
      </c>
      <c r="BG265" s="1436">
        <v>3</v>
      </c>
      <c r="BH265" s="1436">
        <v>5</v>
      </c>
      <c r="BI265" s="1495" t="b">
        <f t="shared" si="318"/>
        <v>1</v>
      </c>
      <c r="BJ265" s="1450" t="b">
        <f t="shared" si="368"/>
        <v>0</v>
      </c>
      <c r="BK265" s="1572">
        <f t="shared" si="369"/>
        <v>0</v>
      </c>
      <c r="BL265" s="1581">
        <f>IF(SUM(BL$263:BL264,BK265)&gt;$BR$4,0,BK265)</f>
        <v>0</v>
      </c>
      <c r="BM265" s="1436">
        <f t="shared" si="303"/>
        <v>0</v>
      </c>
      <c r="BN265" s="1495">
        <f t="shared" si="304"/>
        <v>0</v>
      </c>
      <c r="BO265" s="1437">
        <f t="shared" si="324"/>
        <v>0</v>
      </c>
      <c r="BP265" s="1762">
        <f t="shared" si="370"/>
        <v>0</v>
      </c>
      <c r="BQ265" s="1577">
        <f t="shared" si="371"/>
        <v>0</v>
      </c>
      <c r="BR265" s="1576">
        <f t="shared" si="305"/>
        <v>0</v>
      </c>
      <c r="BS265" s="1574">
        <f t="shared" si="372"/>
        <v>0</v>
      </c>
      <c r="BT265" s="1577">
        <f t="shared" si="373"/>
        <v>0</v>
      </c>
      <c r="BU265" s="1576">
        <f t="shared" si="306"/>
        <v>0</v>
      </c>
      <c r="BV265" s="1574">
        <f t="shared" si="374"/>
        <v>0</v>
      </c>
      <c r="BW265" s="1577">
        <f t="shared" si="375"/>
        <v>0</v>
      </c>
      <c r="BX265" s="1576">
        <f t="shared" si="307"/>
        <v>0</v>
      </c>
      <c r="BY265" s="1574">
        <f t="shared" si="376"/>
        <v>0</v>
      </c>
      <c r="BZ265" s="1577">
        <f t="shared" si="377"/>
        <v>0</v>
      </c>
      <c r="CA265" s="1576">
        <f t="shared" si="308"/>
        <v>0</v>
      </c>
      <c r="CB265" s="1495">
        <f t="shared" si="378"/>
        <v>0</v>
      </c>
      <c r="CC265" s="1577">
        <f t="shared" si="379"/>
        <v>0</v>
      </c>
      <c r="CD265" s="1576">
        <f t="shared" si="309"/>
        <v>0</v>
      </c>
      <c r="CE265" s="1495">
        <f t="shared" si="380"/>
        <v>0</v>
      </c>
      <c r="CF265" s="1577">
        <f t="shared" si="381"/>
        <v>0</v>
      </c>
      <c r="CG265" s="1576">
        <f t="shared" si="310"/>
        <v>0</v>
      </c>
      <c r="CH265" s="1495">
        <f t="shared" si="382"/>
        <v>0</v>
      </c>
      <c r="CI265" s="1577">
        <f t="shared" si="383"/>
        <v>0</v>
      </c>
      <c r="CJ265" s="1576">
        <f t="shared" si="311"/>
        <v>0</v>
      </c>
      <c r="CK265" s="1495">
        <f t="shared" si="384"/>
        <v>0</v>
      </c>
      <c r="CL265" s="1577">
        <f t="shared" si="385"/>
        <v>0</v>
      </c>
      <c r="CM265" s="1576">
        <f t="shared" si="312"/>
        <v>0</v>
      </c>
      <c r="CN265" s="1495">
        <f t="shared" si="386"/>
        <v>0</v>
      </c>
      <c r="CO265" s="1577">
        <f t="shared" si="387"/>
        <v>0</v>
      </c>
      <c r="CP265" s="1576">
        <f t="shared" si="313"/>
        <v>0</v>
      </c>
      <c r="CQ265" s="1495">
        <f t="shared" si="388"/>
        <v>0</v>
      </c>
      <c r="CR265" s="1577">
        <f t="shared" si="389"/>
        <v>0</v>
      </c>
      <c r="CS265" s="1576">
        <f t="shared" si="314"/>
        <v>0</v>
      </c>
      <c r="CT265" s="1495">
        <f t="shared" si="390"/>
        <v>0</v>
      </c>
      <c r="CU265" s="1577">
        <f t="shared" si="391"/>
        <v>0</v>
      </c>
      <c r="CV265" s="1576">
        <f t="shared" si="315"/>
        <v>0</v>
      </c>
      <c r="CW265" s="1495">
        <f t="shared" si="392"/>
        <v>0</v>
      </c>
      <c r="CX265" s="1577">
        <f t="shared" si="393"/>
        <v>0</v>
      </c>
      <c r="CY265" s="1576">
        <f t="shared" si="316"/>
        <v>0</v>
      </c>
      <c r="CZ265" s="1574">
        <f t="shared" si="317"/>
        <v>0</v>
      </c>
      <c r="DA265" s="1578">
        <f t="shared" si="319"/>
        <v>0</v>
      </c>
      <c r="DB265" s="1579">
        <f t="shared" si="320"/>
        <v>0</v>
      </c>
      <c r="DC265" s="1578">
        <f t="shared" si="321"/>
        <v>0</v>
      </c>
      <c r="DD265" s="1578">
        <f t="shared" si="321"/>
        <v>0</v>
      </c>
      <c r="DE265" s="1578">
        <f t="shared" si="321"/>
        <v>0</v>
      </c>
      <c r="DF265" s="1578">
        <f t="shared" si="322"/>
        <v>0</v>
      </c>
      <c r="DG265" s="1538"/>
      <c r="DH265" s="1538"/>
      <c r="DI265" s="1422"/>
      <c r="DJ265" s="1428"/>
      <c r="DK265" s="1428"/>
      <c r="DL265" s="1428"/>
      <c r="DM265" s="1428"/>
      <c r="DN265" s="1428"/>
      <c r="DO265" s="1428"/>
      <c r="DP265" s="1428"/>
      <c r="DQ265" s="1422"/>
      <c r="DR265" s="1428"/>
      <c r="DS265" s="1428"/>
      <c r="DT265" s="1428"/>
      <c r="DU265" s="1428"/>
      <c r="DV265" s="1428"/>
      <c r="DW265" s="1428"/>
      <c r="DX265" s="1428"/>
      <c r="DY265" s="1428"/>
      <c r="DZ265" s="1428"/>
      <c r="EA265" s="1428"/>
      <c r="EB265" s="1428"/>
      <c r="EC265" s="1428"/>
      <c r="ED265" s="1428"/>
      <c r="EE265" s="1428"/>
      <c r="EF265" s="1428"/>
      <c r="EG265" s="1428"/>
      <c r="EH265" s="1428"/>
      <c r="EI265" s="1428"/>
      <c r="EJ265" s="1428"/>
      <c r="EK265" s="1428"/>
      <c r="EL265" s="1428"/>
      <c r="EM265" s="1428"/>
      <c r="EN265" s="1428"/>
      <c r="EO265" s="1428"/>
      <c r="EP265" s="1428"/>
      <c r="EQ265" s="1428"/>
      <c r="ER265" s="1428"/>
      <c r="ES265" s="1428"/>
      <c r="ET265" s="1428"/>
      <c r="EU265" s="1428"/>
    </row>
    <row r="266" spans="1:151" s="1440" customFormat="1" ht="15" customHeight="1">
      <c r="A266" s="1834"/>
      <c r="B266" s="1600" t="s">
        <v>804</v>
      </c>
      <c r="C266" s="1723"/>
      <c r="I266" s="1600" t="s">
        <v>885</v>
      </c>
      <c r="J266" s="1845">
        <f t="shared" si="366"/>
        <v>0</v>
      </c>
      <c r="K266" s="1845">
        <f t="shared" si="367"/>
        <v>0</v>
      </c>
      <c r="L266" s="1720"/>
      <c r="M266" s="1720"/>
      <c r="N266" s="1847">
        <v>0.03</v>
      </c>
      <c r="O266" s="1430"/>
      <c r="P266" s="1430"/>
      <c r="Q266" s="1430"/>
      <c r="R266" s="1430"/>
      <c r="S266" s="1430"/>
      <c r="T266" s="1430"/>
      <c r="U266" s="1430"/>
      <c r="V266" s="1430"/>
      <c r="W266" s="1430"/>
      <c r="X266" s="1430"/>
      <c r="Y266" s="1430"/>
      <c r="Z266" s="1430"/>
      <c r="AA266" s="1430"/>
      <c r="AB266" s="1430"/>
      <c r="AC266" s="1430"/>
      <c r="AD266" s="1430"/>
      <c r="AE266" s="1430"/>
      <c r="AF266" s="1430"/>
      <c r="AG266" s="1430"/>
      <c r="AH266" s="1430"/>
      <c r="AI266" s="1430"/>
      <c r="AJ266" s="1430"/>
      <c r="AK266" s="1430"/>
      <c r="AL266" s="1430"/>
      <c r="AM266" s="1430"/>
      <c r="AN266" s="1430"/>
      <c r="AO266" s="1430"/>
      <c r="AP266" s="1430"/>
      <c r="AQ266" s="1430"/>
      <c r="AR266" s="1430"/>
      <c r="AS266" s="1430"/>
      <c r="AT266" s="1430"/>
      <c r="AU266" s="1430"/>
      <c r="AV266" s="1704"/>
      <c r="AW266" s="1430"/>
      <c r="AX266" s="1430"/>
      <c r="AY266" s="1430"/>
      <c r="AZ266" s="1430"/>
      <c r="BA266" s="1430"/>
      <c r="BB266" s="1430"/>
      <c r="BC266" s="1430"/>
      <c r="BD266" s="1475"/>
      <c r="BE266" s="1571" t="s">
        <v>1216</v>
      </c>
      <c r="BF266" s="1436">
        <v>22</v>
      </c>
      <c r="BG266" s="1436">
        <v>4</v>
      </c>
      <c r="BH266" s="1436">
        <v>6</v>
      </c>
      <c r="BI266" s="1495" t="b">
        <f t="shared" si="318"/>
        <v>0</v>
      </c>
      <c r="BJ266" s="1450" t="b">
        <f t="shared" si="368"/>
        <v>0</v>
      </c>
      <c r="BK266" s="1572">
        <f t="shared" si="369"/>
        <v>0</v>
      </c>
      <c r="BL266" s="1581">
        <f>IF(SUM(BL$263:BL265,BK266)&gt;$BR$4,0,BK266)</f>
        <v>0</v>
      </c>
      <c r="BM266" s="1436">
        <f t="shared" si="303"/>
        <v>0</v>
      </c>
      <c r="BN266" s="1495">
        <f t="shared" si="304"/>
        <v>0</v>
      </c>
      <c r="BO266" s="1437">
        <f t="shared" si="324"/>
        <v>0</v>
      </c>
      <c r="BP266" s="1762">
        <f t="shared" si="370"/>
        <v>0</v>
      </c>
      <c r="BQ266" s="1577">
        <f t="shared" si="371"/>
        <v>0</v>
      </c>
      <c r="BR266" s="1576">
        <f t="shared" si="305"/>
        <v>0</v>
      </c>
      <c r="BS266" s="1574">
        <f t="shared" si="372"/>
        <v>0</v>
      </c>
      <c r="BT266" s="1577">
        <f t="shared" si="373"/>
        <v>0</v>
      </c>
      <c r="BU266" s="1576">
        <f t="shared" si="306"/>
        <v>0</v>
      </c>
      <c r="BV266" s="1574">
        <f t="shared" si="374"/>
        <v>0</v>
      </c>
      <c r="BW266" s="1577">
        <f t="shared" si="375"/>
        <v>0</v>
      </c>
      <c r="BX266" s="1576">
        <f t="shared" si="307"/>
        <v>0</v>
      </c>
      <c r="BY266" s="1574">
        <f t="shared" si="376"/>
        <v>0</v>
      </c>
      <c r="BZ266" s="1577">
        <f t="shared" si="377"/>
        <v>0</v>
      </c>
      <c r="CA266" s="1576">
        <f t="shared" si="308"/>
        <v>0</v>
      </c>
      <c r="CB266" s="1495">
        <f t="shared" si="378"/>
        <v>0</v>
      </c>
      <c r="CC266" s="1577">
        <f t="shared" si="379"/>
        <v>0</v>
      </c>
      <c r="CD266" s="1576">
        <f t="shared" si="309"/>
        <v>0</v>
      </c>
      <c r="CE266" s="1495">
        <f t="shared" si="380"/>
        <v>0</v>
      </c>
      <c r="CF266" s="1577">
        <f t="shared" si="381"/>
        <v>0</v>
      </c>
      <c r="CG266" s="1576">
        <f t="shared" si="310"/>
        <v>0</v>
      </c>
      <c r="CH266" s="1495">
        <f t="shared" si="382"/>
        <v>0</v>
      </c>
      <c r="CI266" s="1577">
        <f t="shared" si="383"/>
        <v>0</v>
      </c>
      <c r="CJ266" s="1576">
        <f t="shared" si="311"/>
        <v>0</v>
      </c>
      <c r="CK266" s="1495">
        <f t="shared" si="384"/>
        <v>0</v>
      </c>
      <c r="CL266" s="1577">
        <f t="shared" si="385"/>
        <v>0</v>
      </c>
      <c r="CM266" s="1576">
        <f t="shared" si="312"/>
        <v>0</v>
      </c>
      <c r="CN266" s="1495">
        <f t="shared" si="386"/>
        <v>0</v>
      </c>
      <c r="CO266" s="1577">
        <f t="shared" si="387"/>
        <v>0</v>
      </c>
      <c r="CP266" s="1576">
        <f t="shared" si="313"/>
        <v>0</v>
      </c>
      <c r="CQ266" s="1495">
        <f t="shared" si="388"/>
        <v>0</v>
      </c>
      <c r="CR266" s="1577">
        <f t="shared" si="389"/>
        <v>0</v>
      </c>
      <c r="CS266" s="1576">
        <f t="shared" si="314"/>
        <v>0</v>
      </c>
      <c r="CT266" s="1495">
        <f t="shared" si="390"/>
        <v>0</v>
      </c>
      <c r="CU266" s="1577">
        <f t="shared" si="391"/>
        <v>0</v>
      </c>
      <c r="CV266" s="1576">
        <f t="shared" si="315"/>
        <v>0</v>
      </c>
      <c r="CW266" s="1495">
        <f t="shared" si="392"/>
        <v>0</v>
      </c>
      <c r="CX266" s="1577">
        <f t="shared" si="393"/>
        <v>0</v>
      </c>
      <c r="CY266" s="1576">
        <f t="shared" si="316"/>
        <v>0</v>
      </c>
      <c r="CZ266" s="1574">
        <f t="shared" si="317"/>
        <v>0</v>
      </c>
      <c r="DA266" s="1578">
        <f t="shared" si="319"/>
        <v>0</v>
      </c>
      <c r="DB266" s="1579">
        <f t="shared" si="320"/>
        <v>0</v>
      </c>
      <c r="DC266" s="1578">
        <f t="shared" si="321"/>
        <v>0</v>
      </c>
      <c r="DD266" s="1578">
        <f t="shared" si="321"/>
        <v>0</v>
      </c>
      <c r="DE266" s="1578">
        <f t="shared" si="321"/>
        <v>0</v>
      </c>
      <c r="DF266" s="1578">
        <f t="shared" si="322"/>
        <v>0</v>
      </c>
      <c r="DG266" s="1538"/>
      <c r="DH266" s="1538"/>
      <c r="DI266" s="1422"/>
      <c r="DJ266" s="1428"/>
      <c r="DK266" s="1428"/>
      <c r="DL266" s="1428"/>
      <c r="DM266" s="1428"/>
      <c r="DN266" s="1428"/>
      <c r="DO266" s="1428"/>
      <c r="DP266" s="1428"/>
      <c r="DQ266" s="1422"/>
      <c r="DR266" s="1428"/>
      <c r="DS266" s="1428"/>
      <c r="DT266" s="1428"/>
      <c r="DU266" s="1428"/>
      <c r="DV266" s="1428"/>
      <c r="DW266" s="1428"/>
      <c r="DX266" s="1428"/>
      <c r="DY266" s="1428"/>
      <c r="DZ266" s="1428"/>
      <c r="EA266" s="1428"/>
      <c r="EB266" s="1428"/>
      <c r="EC266" s="1428"/>
      <c r="ED266" s="1428"/>
      <c r="EE266" s="1428"/>
      <c r="EF266" s="1428"/>
      <c r="EG266" s="1428"/>
      <c r="EH266" s="1428"/>
      <c r="EI266" s="1428"/>
      <c r="EJ266" s="1428"/>
      <c r="EK266" s="1428"/>
      <c r="EL266" s="1428"/>
      <c r="EM266" s="1428"/>
      <c r="EN266" s="1428"/>
      <c r="EO266" s="1428"/>
      <c r="EP266" s="1428"/>
      <c r="EQ266" s="1428"/>
      <c r="ER266" s="1428"/>
      <c r="ES266" s="1428"/>
      <c r="ET266" s="1428"/>
      <c r="EU266" s="1428"/>
    </row>
    <row r="267" spans="1:151" s="1440" customFormat="1" ht="15" customHeight="1">
      <c r="A267" s="1834"/>
      <c r="B267" s="1600" t="s">
        <v>1603</v>
      </c>
      <c r="C267" s="1723"/>
      <c r="I267" s="1600" t="s">
        <v>802</v>
      </c>
      <c r="J267" s="1845">
        <f t="shared" si="366"/>
        <v>0</v>
      </c>
      <c r="K267" s="1845">
        <f t="shared" si="367"/>
        <v>0</v>
      </c>
      <c r="L267" s="1720"/>
      <c r="M267" s="1720"/>
      <c r="N267" s="1430" t="s">
        <v>2245</v>
      </c>
      <c r="O267" s="1430"/>
      <c r="P267" s="1430"/>
      <c r="Q267" s="1430"/>
      <c r="R267" s="1430"/>
      <c r="S267" s="1430"/>
      <c r="T267" s="1430"/>
      <c r="U267" s="1430"/>
      <c r="V267" s="1430"/>
      <c r="W267" s="1430"/>
      <c r="X267" s="1430"/>
      <c r="Y267" s="1430"/>
      <c r="Z267" s="1430"/>
      <c r="AA267" s="1430"/>
      <c r="AB267" s="1430"/>
      <c r="AC267" s="1430"/>
      <c r="AD267" s="1430"/>
      <c r="AE267" s="1430"/>
      <c r="AF267" s="1430"/>
      <c r="AG267" s="1430"/>
      <c r="AH267" s="1430"/>
      <c r="AI267" s="1430"/>
      <c r="AJ267" s="1430"/>
      <c r="AK267" s="1430"/>
      <c r="AL267" s="1430"/>
      <c r="AM267" s="1430"/>
      <c r="AN267" s="1430"/>
      <c r="AO267" s="1430"/>
      <c r="AP267" s="1430"/>
      <c r="AQ267" s="1430"/>
      <c r="AR267" s="1430"/>
      <c r="AS267" s="1430"/>
      <c r="AT267" s="1430"/>
      <c r="AU267" s="1430"/>
      <c r="AV267" s="1704"/>
      <c r="AW267" s="1430"/>
      <c r="AX267" s="1430"/>
      <c r="AY267" s="1430"/>
      <c r="AZ267" s="1430"/>
      <c r="BA267" s="1430"/>
      <c r="BB267" s="1430"/>
      <c r="BC267" s="1430"/>
      <c r="BD267" s="1475"/>
      <c r="BE267" s="1571" t="s">
        <v>1216</v>
      </c>
      <c r="BF267" s="1436">
        <v>22</v>
      </c>
      <c r="BG267" s="1436">
        <v>5</v>
      </c>
      <c r="BH267" s="1436">
        <v>7</v>
      </c>
      <c r="BI267" s="1495" t="b">
        <f t="shared" si="318"/>
        <v>0</v>
      </c>
      <c r="BJ267" s="1450" t="b">
        <f t="shared" si="368"/>
        <v>0</v>
      </c>
      <c r="BK267" s="1572">
        <f t="shared" si="369"/>
        <v>0</v>
      </c>
      <c r="BL267" s="1581">
        <f>IF(SUM(BL$263:BL266,BK267)&gt;$BR$4,0,BK267)</f>
        <v>0</v>
      </c>
      <c r="BM267" s="1436">
        <f t="shared" si="303"/>
        <v>0</v>
      </c>
      <c r="BN267" s="1495">
        <f t="shared" si="304"/>
        <v>0</v>
      </c>
      <c r="BO267" s="1437">
        <f t="shared" si="324"/>
        <v>0</v>
      </c>
      <c r="BP267" s="1762">
        <f t="shared" si="370"/>
        <v>0</v>
      </c>
      <c r="BQ267" s="1577">
        <f t="shared" si="371"/>
        <v>0</v>
      </c>
      <c r="BR267" s="1576">
        <f t="shared" si="305"/>
        <v>0</v>
      </c>
      <c r="BS267" s="1574">
        <f t="shared" si="372"/>
        <v>0</v>
      </c>
      <c r="BT267" s="1577">
        <f t="shared" si="373"/>
        <v>0</v>
      </c>
      <c r="BU267" s="1576">
        <f t="shared" si="306"/>
        <v>0</v>
      </c>
      <c r="BV267" s="1574">
        <f t="shared" si="374"/>
        <v>0</v>
      </c>
      <c r="BW267" s="1577">
        <f t="shared" si="375"/>
        <v>0</v>
      </c>
      <c r="BX267" s="1576">
        <f t="shared" si="307"/>
        <v>0</v>
      </c>
      <c r="BY267" s="1574">
        <f t="shared" si="376"/>
        <v>0</v>
      </c>
      <c r="BZ267" s="1577">
        <f t="shared" si="377"/>
        <v>0</v>
      </c>
      <c r="CA267" s="1576">
        <f t="shared" si="308"/>
        <v>0</v>
      </c>
      <c r="CB267" s="1495">
        <f t="shared" si="378"/>
        <v>0</v>
      </c>
      <c r="CC267" s="1577">
        <f t="shared" si="379"/>
        <v>0</v>
      </c>
      <c r="CD267" s="1576">
        <f t="shared" si="309"/>
        <v>0</v>
      </c>
      <c r="CE267" s="1495">
        <f t="shared" si="380"/>
        <v>0</v>
      </c>
      <c r="CF267" s="1577">
        <f t="shared" si="381"/>
        <v>0</v>
      </c>
      <c r="CG267" s="1576">
        <f t="shared" si="310"/>
        <v>0</v>
      </c>
      <c r="CH267" s="1495">
        <f t="shared" si="382"/>
        <v>0</v>
      </c>
      <c r="CI267" s="1577">
        <f t="shared" si="383"/>
        <v>0</v>
      </c>
      <c r="CJ267" s="1576">
        <f t="shared" si="311"/>
        <v>0</v>
      </c>
      <c r="CK267" s="1495">
        <f t="shared" si="384"/>
        <v>0</v>
      </c>
      <c r="CL267" s="1577">
        <f t="shared" si="385"/>
        <v>0</v>
      </c>
      <c r="CM267" s="1576">
        <f t="shared" si="312"/>
        <v>0</v>
      </c>
      <c r="CN267" s="1495">
        <f t="shared" si="386"/>
        <v>0</v>
      </c>
      <c r="CO267" s="1577">
        <f t="shared" si="387"/>
        <v>0</v>
      </c>
      <c r="CP267" s="1576">
        <f t="shared" si="313"/>
        <v>0</v>
      </c>
      <c r="CQ267" s="1495">
        <f t="shared" si="388"/>
        <v>0</v>
      </c>
      <c r="CR267" s="1577">
        <f t="shared" si="389"/>
        <v>0</v>
      </c>
      <c r="CS267" s="1576">
        <f t="shared" si="314"/>
        <v>0</v>
      </c>
      <c r="CT267" s="1495">
        <f t="shared" si="390"/>
        <v>0</v>
      </c>
      <c r="CU267" s="1577">
        <f t="shared" si="391"/>
        <v>0</v>
      </c>
      <c r="CV267" s="1576">
        <f t="shared" si="315"/>
        <v>0</v>
      </c>
      <c r="CW267" s="1495">
        <f t="shared" si="392"/>
        <v>0</v>
      </c>
      <c r="CX267" s="1577">
        <f t="shared" si="393"/>
        <v>0</v>
      </c>
      <c r="CY267" s="1576">
        <f t="shared" si="316"/>
        <v>0</v>
      </c>
      <c r="CZ267" s="1574">
        <f t="shared" si="317"/>
        <v>0</v>
      </c>
      <c r="DA267" s="1578">
        <f t="shared" si="319"/>
        <v>0</v>
      </c>
      <c r="DB267" s="1579">
        <f t="shared" si="320"/>
        <v>0</v>
      </c>
      <c r="DC267" s="1578">
        <f t="shared" si="321"/>
        <v>0</v>
      </c>
      <c r="DD267" s="1578">
        <f t="shared" si="321"/>
        <v>0</v>
      </c>
      <c r="DE267" s="1578">
        <f t="shared" si="321"/>
        <v>0</v>
      </c>
      <c r="DF267" s="1578">
        <f t="shared" si="322"/>
        <v>0</v>
      </c>
      <c r="DG267" s="1538"/>
      <c r="DH267" s="1538"/>
      <c r="DI267" s="1422"/>
      <c r="DJ267" s="1428"/>
      <c r="DK267" s="1428"/>
      <c r="DL267" s="1428"/>
      <c r="DM267" s="1428"/>
      <c r="DN267" s="1428"/>
      <c r="DO267" s="1428"/>
      <c r="DP267" s="1428"/>
      <c r="DQ267" s="1422"/>
      <c r="DR267" s="1428"/>
      <c r="DS267" s="1428"/>
      <c r="DT267" s="1428"/>
      <c r="DU267" s="1428"/>
      <c r="DV267" s="1428"/>
      <c r="DW267" s="1428"/>
      <c r="DX267" s="1428"/>
      <c r="DY267" s="1428"/>
      <c r="DZ267" s="1428"/>
      <c r="EA267" s="1428"/>
      <c r="EB267" s="1428"/>
      <c r="EC267" s="1428"/>
      <c r="ED267" s="1428"/>
      <c r="EE267" s="1428"/>
      <c r="EF267" s="1428"/>
      <c r="EG267" s="1428"/>
      <c r="EH267" s="1428"/>
      <c r="EI267" s="1428"/>
      <c r="EJ267" s="1428"/>
      <c r="EK267" s="1428"/>
      <c r="EL267" s="1428"/>
      <c r="EM267" s="1428"/>
      <c r="EN267" s="1428"/>
      <c r="EO267" s="1428"/>
      <c r="EP267" s="1428"/>
      <c r="EQ267" s="1428"/>
      <c r="ER267" s="1428"/>
      <c r="ES267" s="1428"/>
      <c r="ET267" s="1428"/>
      <c r="EU267" s="1428"/>
    </row>
    <row r="268" spans="1:151" s="1440" customFormat="1" ht="15" customHeight="1">
      <c r="A268" s="1834"/>
      <c r="B268" s="1475"/>
      <c r="C268" s="1729">
        <f>SUM(C256:C267)</f>
        <v>0</v>
      </c>
      <c r="I268" s="1600" t="s">
        <v>803</v>
      </c>
      <c r="J268" s="1845">
        <f t="shared" si="366"/>
        <v>0</v>
      </c>
      <c r="K268" s="1845">
        <f t="shared" si="367"/>
        <v>0</v>
      </c>
      <c r="L268" s="1720"/>
      <c r="M268" s="1720"/>
      <c r="N268" s="1430" t="s">
        <v>2246</v>
      </c>
      <c r="O268" s="1430"/>
      <c r="P268" s="1430"/>
      <c r="Q268" s="1430"/>
      <c r="R268" s="1430"/>
      <c r="S268" s="1430"/>
      <c r="T268" s="1430"/>
      <c r="U268" s="1430"/>
      <c r="V268" s="1430"/>
      <c r="W268" s="1430"/>
      <c r="X268" s="1430"/>
      <c r="Y268" s="1430"/>
      <c r="Z268" s="1430"/>
      <c r="AA268" s="1430"/>
      <c r="AB268" s="1430"/>
      <c r="AC268" s="1430"/>
      <c r="AD268" s="1430"/>
      <c r="AE268" s="1430"/>
      <c r="AF268" s="1430"/>
      <c r="AG268" s="1430"/>
      <c r="AH268" s="1430"/>
      <c r="AI268" s="1430"/>
      <c r="AJ268" s="1430"/>
      <c r="AK268" s="1430"/>
      <c r="AL268" s="1430"/>
      <c r="AM268" s="1430"/>
      <c r="AN268" s="1430"/>
      <c r="AO268" s="1430"/>
      <c r="AP268" s="1430"/>
      <c r="AQ268" s="1430"/>
      <c r="AR268" s="1430"/>
      <c r="AS268" s="1430"/>
      <c r="AT268" s="1430"/>
      <c r="AU268" s="1430"/>
      <c r="AV268" s="1704"/>
      <c r="AW268" s="1430"/>
      <c r="AX268" s="1430"/>
      <c r="AY268" s="1430"/>
      <c r="AZ268" s="1430"/>
      <c r="BA268" s="1430"/>
      <c r="BB268" s="1430"/>
      <c r="BC268" s="1430"/>
      <c r="BD268" s="1475"/>
      <c r="BE268" s="1571" t="s">
        <v>1216</v>
      </c>
      <c r="BF268" s="1436">
        <v>22</v>
      </c>
      <c r="BG268" s="1436">
        <v>6</v>
      </c>
      <c r="BH268" s="1436">
        <v>1</v>
      </c>
      <c r="BI268" s="1495" t="b">
        <f t="shared" si="318"/>
        <v>1</v>
      </c>
      <c r="BJ268" s="1450" t="b">
        <f t="shared" si="368"/>
        <v>0</v>
      </c>
      <c r="BK268" s="1572">
        <f t="shared" si="369"/>
        <v>0</v>
      </c>
      <c r="BL268" s="1581">
        <f>IF(SUM(BL$263:BL267,BK268)&gt;$BR$4,0,BK268)</f>
        <v>0</v>
      </c>
      <c r="BM268" s="1436">
        <f t="shared" si="303"/>
        <v>0</v>
      </c>
      <c r="BN268" s="1495">
        <f t="shared" si="304"/>
        <v>0</v>
      </c>
      <c r="BO268" s="1437">
        <f t="shared" si="324"/>
        <v>0</v>
      </c>
      <c r="BP268" s="1762">
        <f t="shared" si="370"/>
        <v>0</v>
      </c>
      <c r="BQ268" s="1577">
        <f t="shared" si="371"/>
        <v>0</v>
      </c>
      <c r="BR268" s="1576">
        <f t="shared" si="305"/>
        <v>0</v>
      </c>
      <c r="BS268" s="1574">
        <f t="shared" si="372"/>
        <v>0</v>
      </c>
      <c r="BT268" s="1577">
        <f t="shared" si="373"/>
        <v>0</v>
      </c>
      <c r="BU268" s="1576">
        <f t="shared" si="306"/>
        <v>0</v>
      </c>
      <c r="BV268" s="1574">
        <f t="shared" si="374"/>
        <v>0</v>
      </c>
      <c r="BW268" s="1577">
        <f t="shared" si="375"/>
        <v>0</v>
      </c>
      <c r="BX268" s="1576">
        <f t="shared" si="307"/>
        <v>0</v>
      </c>
      <c r="BY268" s="1574">
        <f t="shared" si="376"/>
        <v>0</v>
      </c>
      <c r="BZ268" s="1577">
        <f t="shared" si="377"/>
        <v>0</v>
      </c>
      <c r="CA268" s="1576">
        <f t="shared" si="308"/>
        <v>0</v>
      </c>
      <c r="CB268" s="1495">
        <f t="shared" si="378"/>
        <v>0</v>
      </c>
      <c r="CC268" s="1577">
        <f t="shared" si="379"/>
        <v>0</v>
      </c>
      <c r="CD268" s="1576">
        <f t="shared" si="309"/>
        <v>0</v>
      </c>
      <c r="CE268" s="1495">
        <f t="shared" si="380"/>
        <v>0</v>
      </c>
      <c r="CF268" s="1577">
        <f t="shared" si="381"/>
        <v>0</v>
      </c>
      <c r="CG268" s="1576">
        <f t="shared" si="310"/>
        <v>0</v>
      </c>
      <c r="CH268" s="1495">
        <f t="shared" si="382"/>
        <v>0</v>
      </c>
      <c r="CI268" s="1577">
        <f t="shared" si="383"/>
        <v>0</v>
      </c>
      <c r="CJ268" s="1576">
        <f t="shared" si="311"/>
        <v>0</v>
      </c>
      <c r="CK268" s="1495">
        <f t="shared" si="384"/>
        <v>0</v>
      </c>
      <c r="CL268" s="1577">
        <f t="shared" si="385"/>
        <v>0</v>
      </c>
      <c r="CM268" s="1576">
        <f t="shared" si="312"/>
        <v>0</v>
      </c>
      <c r="CN268" s="1495">
        <f t="shared" si="386"/>
        <v>0</v>
      </c>
      <c r="CO268" s="1577">
        <f t="shared" si="387"/>
        <v>0</v>
      </c>
      <c r="CP268" s="1576">
        <f t="shared" si="313"/>
        <v>0</v>
      </c>
      <c r="CQ268" s="1495">
        <f t="shared" si="388"/>
        <v>0</v>
      </c>
      <c r="CR268" s="1577">
        <f t="shared" si="389"/>
        <v>0</v>
      </c>
      <c r="CS268" s="1576">
        <f t="shared" si="314"/>
        <v>0</v>
      </c>
      <c r="CT268" s="1495">
        <f t="shared" si="390"/>
        <v>0</v>
      </c>
      <c r="CU268" s="1577">
        <f t="shared" si="391"/>
        <v>0</v>
      </c>
      <c r="CV268" s="1576">
        <f t="shared" si="315"/>
        <v>0</v>
      </c>
      <c r="CW268" s="1495">
        <f t="shared" si="392"/>
        <v>0</v>
      </c>
      <c r="CX268" s="1577">
        <f t="shared" si="393"/>
        <v>0</v>
      </c>
      <c r="CY268" s="1576">
        <f t="shared" si="316"/>
        <v>0</v>
      </c>
      <c r="CZ268" s="1574">
        <f t="shared" si="317"/>
        <v>0</v>
      </c>
      <c r="DA268" s="1578">
        <f t="shared" si="319"/>
        <v>0</v>
      </c>
      <c r="DB268" s="1579">
        <f t="shared" si="320"/>
        <v>0</v>
      </c>
      <c r="DC268" s="1578">
        <f t="shared" si="321"/>
        <v>0</v>
      </c>
      <c r="DD268" s="1578">
        <f t="shared" si="321"/>
        <v>0</v>
      </c>
      <c r="DE268" s="1578">
        <f t="shared" si="321"/>
        <v>0</v>
      </c>
      <c r="DF268" s="1578">
        <f t="shared" si="322"/>
        <v>0</v>
      </c>
      <c r="DG268" s="1538"/>
      <c r="DH268" s="1538"/>
      <c r="DI268" s="1422"/>
      <c r="DJ268" s="1428"/>
      <c r="DK268" s="1428"/>
      <c r="DL268" s="1428"/>
      <c r="DM268" s="1428"/>
      <c r="DN268" s="1428"/>
      <c r="DO268" s="1428"/>
      <c r="DP268" s="1428"/>
      <c r="DQ268" s="1422"/>
      <c r="DR268" s="1428"/>
      <c r="DS268" s="1428"/>
      <c r="DT268" s="1428"/>
      <c r="DU268" s="1428"/>
      <c r="DV268" s="1428"/>
      <c r="DW268" s="1428"/>
      <c r="DX268" s="1428"/>
      <c r="DY268" s="1428"/>
      <c r="DZ268" s="1428"/>
      <c r="EA268" s="1428"/>
      <c r="EB268" s="1428"/>
      <c r="EC268" s="1428"/>
      <c r="ED268" s="1428"/>
      <c r="EE268" s="1428"/>
      <c r="EF268" s="1428"/>
      <c r="EG268" s="1428"/>
      <c r="EH268" s="1428"/>
      <c r="EI268" s="1428"/>
      <c r="EJ268" s="1428"/>
      <c r="EK268" s="1428"/>
      <c r="EL268" s="1428"/>
      <c r="EM268" s="1428"/>
      <c r="EN268" s="1428"/>
      <c r="EO268" s="1428"/>
      <c r="EP268" s="1428"/>
      <c r="EQ268" s="1428"/>
      <c r="ER268" s="1428"/>
      <c r="ES268" s="1428"/>
      <c r="ET268" s="1428"/>
      <c r="EU268" s="1428"/>
    </row>
    <row r="269" spans="1:151" s="1440" customFormat="1" ht="15" customHeight="1">
      <c r="A269" s="1834"/>
      <c r="I269" s="1600" t="s">
        <v>804</v>
      </c>
      <c r="J269" s="1845">
        <f t="shared" si="366"/>
        <v>0</v>
      </c>
      <c r="K269" s="1845">
        <f t="shared" si="367"/>
        <v>0</v>
      </c>
      <c r="L269" s="1720"/>
      <c r="M269" s="1720"/>
      <c r="N269" s="1430"/>
      <c r="O269" s="1430"/>
      <c r="P269" s="1430"/>
      <c r="Q269" s="1430"/>
      <c r="R269" s="1430"/>
      <c r="S269" s="1430"/>
      <c r="T269" s="1430"/>
      <c r="U269" s="1430"/>
      <c r="V269" s="1430"/>
      <c r="W269" s="1430"/>
      <c r="X269" s="1430"/>
      <c r="Y269" s="1430"/>
      <c r="Z269" s="1430"/>
      <c r="AA269" s="1430"/>
      <c r="AB269" s="1430"/>
      <c r="AC269" s="1430"/>
      <c r="AD269" s="1430"/>
      <c r="AE269" s="1430"/>
      <c r="AF269" s="1430"/>
      <c r="AG269" s="1430"/>
      <c r="AH269" s="1430"/>
      <c r="AI269" s="1430"/>
      <c r="AJ269" s="1430"/>
      <c r="AK269" s="1430"/>
      <c r="AL269" s="1430"/>
      <c r="AM269" s="1430"/>
      <c r="AN269" s="1430"/>
      <c r="AO269" s="1430"/>
      <c r="AP269" s="1430"/>
      <c r="AQ269" s="1430"/>
      <c r="AR269" s="1430"/>
      <c r="AS269" s="1430"/>
      <c r="AT269" s="1430"/>
      <c r="AU269" s="1430"/>
      <c r="AV269" s="1704"/>
      <c r="AW269" s="1430"/>
      <c r="AX269" s="1430"/>
      <c r="AY269" s="1430"/>
      <c r="AZ269" s="1430"/>
      <c r="BA269" s="1430"/>
      <c r="BB269" s="1430"/>
      <c r="BC269" s="1430"/>
      <c r="BD269" s="1475"/>
      <c r="BE269" s="1571" t="s">
        <v>1216</v>
      </c>
      <c r="BF269" s="1436">
        <v>22</v>
      </c>
      <c r="BG269" s="1436">
        <v>7</v>
      </c>
      <c r="BH269" s="1436">
        <v>2</v>
      </c>
      <c r="BI269" s="1495" t="b">
        <f t="shared" si="318"/>
        <v>1</v>
      </c>
      <c r="BJ269" s="1450" t="b">
        <f t="shared" si="368"/>
        <v>0</v>
      </c>
      <c r="BK269" s="1572">
        <f t="shared" si="369"/>
        <v>0</v>
      </c>
      <c r="BL269" s="1581">
        <f>IF(SUM(BL$263:BL268,BK269)&gt;$BR$4,0,BK269)</f>
        <v>0</v>
      </c>
      <c r="BM269" s="1436">
        <f t="shared" si="303"/>
        <v>0</v>
      </c>
      <c r="BN269" s="1495">
        <f t="shared" si="304"/>
        <v>0</v>
      </c>
      <c r="BO269" s="1437">
        <f t="shared" si="324"/>
        <v>0</v>
      </c>
      <c r="BP269" s="1762">
        <f t="shared" si="370"/>
        <v>0</v>
      </c>
      <c r="BQ269" s="1577">
        <f t="shared" si="371"/>
        <v>0</v>
      </c>
      <c r="BR269" s="1576">
        <f t="shared" si="305"/>
        <v>0</v>
      </c>
      <c r="BS269" s="1574">
        <f t="shared" si="372"/>
        <v>0</v>
      </c>
      <c r="BT269" s="1577">
        <f t="shared" si="373"/>
        <v>0</v>
      </c>
      <c r="BU269" s="1576">
        <f t="shared" si="306"/>
        <v>0</v>
      </c>
      <c r="BV269" s="1574">
        <f t="shared" si="374"/>
        <v>0</v>
      </c>
      <c r="BW269" s="1577">
        <f t="shared" si="375"/>
        <v>0</v>
      </c>
      <c r="BX269" s="1576">
        <f t="shared" si="307"/>
        <v>0</v>
      </c>
      <c r="BY269" s="1574">
        <f t="shared" si="376"/>
        <v>0</v>
      </c>
      <c r="BZ269" s="1577">
        <f t="shared" si="377"/>
        <v>0</v>
      </c>
      <c r="CA269" s="1576">
        <f t="shared" si="308"/>
        <v>0</v>
      </c>
      <c r="CB269" s="1495">
        <f t="shared" si="378"/>
        <v>0</v>
      </c>
      <c r="CC269" s="1577">
        <f t="shared" si="379"/>
        <v>0</v>
      </c>
      <c r="CD269" s="1576">
        <f t="shared" si="309"/>
        <v>0</v>
      </c>
      <c r="CE269" s="1495">
        <f t="shared" si="380"/>
        <v>0</v>
      </c>
      <c r="CF269" s="1577">
        <f t="shared" si="381"/>
        <v>0</v>
      </c>
      <c r="CG269" s="1576">
        <f t="shared" si="310"/>
        <v>0</v>
      </c>
      <c r="CH269" s="1495">
        <f t="shared" si="382"/>
        <v>0</v>
      </c>
      <c r="CI269" s="1577">
        <f t="shared" si="383"/>
        <v>0</v>
      </c>
      <c r="CJ269" s="1576">
        <f t="shared" si="311"/>
        <v>0</v>
      </c>
      <c r="CK269" s="1495">
        <f t="shared" si="384"/>
        <v>0</v>
      </c>
      <c r="CL269" s="1577">
        <f t="shared" si="385"/>
        <v>0</v>
      </c>
      <c r="CM269" s="1576">
        <f t="shared" si="312"/>
        <v>0</v>
      </c>
      <c r="CN269" s="1495">
        <f t="shared" si="386"/>
        <v>0</v>
      </c>
      <c r="CO269" s="1577">
        <f t="shared" si="387"/>
        <v>0</v>
      </c>
      <c r="CP269" s="1576">
        <f t="shared" si="313"/>
        <v>0</v>
      </c>
      <c r="CQ269" s="1495">
        <f t="shared" si="388"/>
        <v>0</v>
      </c>
      <c r="CR269" s="1577">
        <f t="shared" si="389"/>
        <v>0</v>
      </c>
      <c r="CS269" s="1576">
        <f t="shared" si="314"/>
        <v>0</v>
      </c>
      <c r="CT269" s="1495">
        <f t="shared" si="390"/>
        <v>0</v>
      </c>
      <c r="CU269" s="1577">
        <f t="shared" si="391"/>
        <v>0</v>
      </c>
      <c r="CV269" s="1576">
        <f t="shared" si="315"/>
        <v>0</v>
      </c>
      <c r="CW269" s="1495">
        <f t="shared" si="392"/>
        <v>0</v>
      </c>
      <c r="CX269" s="1577">
        <f t="shared" si="393"/>
        <v>0</v>
      </c>
      <c r="CY269" s="1576">
        <f t="shared" si="316"/>
        <v>0</v>
      </c>
      <c r="CZ269" s="1574">
        <f t="shared" si="317"/>
        <v>0</v>
      </c>
      <c r="DA269" s="1578">
        <f t="shared" si="319"/>
        <v>0</v>
      </c>
      <c r="DB269" s="1579">
        <f t="shared" si="320"/>
        <v>0</v>
      </c>
      <c r="DC269" s="1578">
        <f t="shared" si="321"/>
        <v>0</v>
      </c>
      <c r="DD269" s="1578">
        <f t="shared" si="321"/>
        <v>0</v>
      </c>
      <c r="DE269" s="1578">
        <f t="shared" si="321"/>
        <v>0</v>
      </c>
      <c r="DF269" s="1578">
        <f>IF(DA269-(DE268+CZ269)&lt;0,0,DA269-(DE268+CZ269))</f>
        <v>0</v>
      </c>
      <c r="DG269" s="1538"/>
      <c r="DH269" s="1538"/>
      <c r="DI269" s="1422"/>
      <c r="DJ269" s="1428"/>
      <c r="DK269" s="1428"/>
      <c r="DL269" s="1428"/>
      <c r="DM269" s="1428"/>
      <c r="DN269" s="1428"/>
      <c r="DO269" s="1428"/>
      <c r="DP269" s="1428"/>
      <c r="DQ269" s="1422"/>
      <c r="DR269" s="1428"/>
      <c r="DS269" s="1428"/>
      <c r="DT269" s="1428"/>
      <c r="DU269" s="1428"/>
      <c r="DV269" s="1428"/>
      <c r="DW269" s="1428"/>
      <c r="DX269" s="1428"/>
      <c r="DY269" s="1428"/>
      <c r="DZ269" s="1428"/>
      <c r="EA269" s="1428"/>
      <c r="EB269" s="1428"/>
      <c r="EC269" s="1428"/>
      <c r="ED269" s="1428"/>
      <c r="EE269" s="1428"/>
      <c r="EF269" s="1428"/>
      <c r="EG269" s="1428"/>
      <c r="EH269" s="1428"/>
      <c r="EI269" s="1428"/>
      <c r="EJ269" s="1428"/>
      <c r="EK269" s="1428"/>
      <c r="EL269" s="1428"/>
      <c r="EM269" s="1428"/>
      <c r="EN269" s="1428"/>
      <c r="EO269" s="1428"/>
      <c r="EP269" s="1428"/>
      <c r="EQ269" s="1428"/>
      <c r="ER269" s="1428"/>
      <c r="ES269" s="1428"/>
      <c r="ET269" s="1428"/>
      <c r="EU269" s="1428"/>
    </row>
    <row r="270" spans="1:151" s="1440" customFormat="1" ht="30" customHeight="1">
      <c r="A270" s="1834"/>
      <c r="I270" s="1600" t="s">
        <v>1603</v>
      </c>
      <c r="J270" s="1845">
        <f t="shared" si="366"/>
        <v>0</v>
      </c>
      <c r="K270" s="1845">
        <f t="shared" si="367"/>
        <v>0</v>
      </c>
      <c r="L270" s="1720"/>
      <c r="M270" s="1720"/>
      <c r="N270" s="1430"/>
      <c r="O270" s="1430"/>
      <c r="P270" s="1430"/>
      <c r="Q270" s="1430"/>
      <c r="R270" s="1430"/>
      <c r="S270" s="1430"/>
      <c r="T270" s="1430"/>
      <c r="U270" s="1430"/>
      <c r="V270" s="1430"/>
      <c r="W270" s="1430"/>
      <c r="X270" s="1430"/>
      <c r="Y270" s="1430"/>
      <c r="Z270" s="1430"/>
      <c r="AA270" s="1430"/>
      <c r="AB270" s="1430"/>
      <c r="AC270" s="1430"/>
      <c r="AD270" s="1430"/>
      <c r="AE270" s="1430"/>
      <c r="AF270" s="1430"/>
      <c r="AG270" s="1430"/>
      <c r="AH270" s="1430"/>
      <c r="AI270" s="1430"/>
      <c r="AJ270" s="1430"/>
      <c r="AK270" s="1430"/>
      <c r="AL270" s="1430"/>
      <c r="AM270" s="1430"/>
      <c r="AN270" s="1430"/>
      <c r="AO270" s="1430"/>
      <c r="AP270" s="1430"/>
      <c r="AQ270" s="1430"/>
      <c r="AR270" s="1430"/>
      <c r="AS270" s="1430"/>
      <c r="AT270" s="1430"/>
      <c r="AU270" s="1430"/>
      <c r="AV270" s="1704"/>
      <c r="AW270" s="1430"/>
      <c r="AX270" s="1430"/>
      <c r="AY270" s="1430"/>
      <c r="AZ270" s="1430"/>
      <c r="BA270" s="1430"/>
      <c r="BB270" s="1430"/>
      <c r="BC270" s="1430"/>
      <c r="BD270" s="1475"/>
      <c r="BE270" s="1571" t="s">
        <v>1216</v>
      </c>
      <c r="BF270" s="1436">
        <v>22</v>
      </c>
      <c r="BG270" s="1436">
        <v>8</v>
      </c>
      <c r="BH270" s="1436">
        <v>3</v>
      </c>
      <c r="BI270" s="1495" t="b">
        <f t="shared" si="318"/>
        <v>1</v>
      </c>
      <c r="BJ270" s="1450" t="b">
        <f t="shared" si="368"/>
        <v>0</v>
      </c>
      <c r="BK270" s="1572">
        <f t="shared" si="369"/>
        <v>0</v>
      </c>
      <c r="BL270" s="1581">
        <f>IF(SUM(BL$263:BL269,BK270)&gt;$BR$4,0,BK270)</f>
        <v>0</v>
      </c>
      <c r="BM270" s="1436">
        <f t="shared" si="303"/>
        <v>0</v>
      </c>
      <c r="BN270" s="1495">
        <f t="shared" si="304"/>
        <v>0</v>
      </c>
      <c r="BO270" s="1437">
        <f t="shared" si="324"/>
        <v>0</v>
      </c>
      <c r="BP270" s="1762">
        <f t="shared" si="370"/>
        <v>0</v>
      </c>
      <c r="BQ270" s="1577">
        <f t="shared" si="371"/>
        <v>0</v>
      </c>
      <c r="BR270" s="1576">
        <f t="shared" si="305"/>
        <v>0</v>
      </c>
      <c r="BS270" s="1574">
        <f t="shared" si="372"/>
        <v>0</v>
      </c>
      <c r="BT270" s="1577">
        <f t="shared" si="373"/>
        <v>0</v>
      </c>
      <c r="BU270" s="1576">
        <f t="shared" si="306"/>
        <v>0</v>
      </c>
      <c r="BV270" s="1574">
        <f t="shared" si="374"/>
        <v>0</v>
      </c>
      <c r="BW270" s="1577">
        <f t="shared" si="375"/>
        <v>0</v>
      </c>
      <c r="BX270" s="1576">
        <f t="shared" si="307"/>
        <v>0</v>
      </c>
      <c r="BY270" s="1574">
        <f t="shared" si="376"/>
        <v>0</v>
      </c>
      <c r="BZ270" s="1577">
        <f t="shared" si="377"/>
        <v>0</v>
      </c>
      <c r="CA270" s="1576">
        <f t="shared" si="308"/>
        <v>0</v>
      </c>
      <c r="CB270" s="1495">
        <f t="shared" si="378"/>
        <v>0</v>
      </c>
      <c r="CC270" s="1577">
        <f t="shared" si="379"/>
        <v>0</v>
      </c>
      <c r="CD270" s="1576">
        <f t="shared" si="309"/>
        <v>0</v>
      </c>
      <c r="CE270" s="1495">
        <f t="shared" si="380"/>
        <v>0</v>
      </c>
      <c r="CF270" s="1577">
        <f t="shared" si="381"/>
        <v>0</v>
      </c>
      <c r="CG270" s="1576">
        <f t="shared" si="310"/>
        <v>0</v>
      </c>
      <c r="CH270" s="1495">
        <f t="shared" si="382"/>
        <v>0</v>
      </c>
      <c r="CI270" s="1577">
        <f t="shared" si="383"/>
        <v>0</v>
      </c>
      <c r="CJ270" s="1576">
        <f t="shared" si="311"/>
        <v>0</v>
      </c>
      <c r="CK270" s="1495">
        <f t="shared" si="384"/>
        <v>0</v>
      </c>
      <c r="CL270" s="1577">
        <f t="shared" si="385"/>
        <v>0</v>
      </c>
      <c r="CM270" s="1576">
        <f t="shared" si="312"/>
        <v>0</v>
      </c>
      <c r="CN270" s="1495">
        <f t="shared" si="386"/>
        <v>0</v>
      </c>
      <c r="CO270" s="1577">
        <f t="shared" si="387"/>
        <v>0</v>
      </c>
      <c r="CP270" s="1576">
        <f t="shared" si="313"/>
        <v>0</v>
      </c>
      <c r="CQ270" s="1495">
        <f t="shared" si="388"/>
        <v>0</v>
      </c>
      <c r="CR270" s="1577">
        <f t="shared" si="389"/>
        <v>0</v>
      </c>
      <c r="CS270" s="1576">
        <f t="shared" si="314"/>
        <v>0</v>
      </c>
      <c r="CT270" s="1495">
        <f t="shared" si="390"/>
        <v>0</v>
      </c>
      <c r="CU270" s="1577">
        <f t="shared" si="391"/>
        <v>0</v>
      </c>
      <c r="CV270" s="1576">
        <f t="shared" si="315"/>
        <v>0</v>
      </c>
      <c r="CW270" s="1495">
        <f t="shared" si="392"/>
        <v>0</v>
      </c>
      <c r="CX270" s="1577">
        <f t="shared" si="393"/>
        <v>0</v>
      </c>
      <c r="CY270" s="1576">
        <f t="shared" si="316"/>
        <v>0</v>
      </c>
      <c r="CZ270" s="1574">
        <f t="shared" si="317"/>
        <v>0</v>
      </c>
      <c r="DA270" s="1578">
        <f t="shared" si="319"/>
        <v>0</v>
      </c>
      <c r="DB270" s="1579">
        <f t="shared" si="320"/>
        <v>0</v>
      </c>
      <c r="DC270" s="1578">
        <f t="shared" si="321"/>
        <v>0</v>
      </c>
      <c r="DD270" s="1578">
        <f t="shared" si="321"/>
        <v>0</v>
      </c>
      <c r="DE270" s="1578">
        <f t="shared" si="321"/>
        <v>0</v>
      </c>
      <c r="DF270" s="1578">
        <f t="shared" si="322"/>
        <v>0</v>
      </c>
      <c r="DG270" s="1538"/>
      <c r="DH270" s="1538"/>
      <c r="DI270" s="1422"/>
      <c r="DJ270" s="1428"/>
      <c r="DK270" s="1428"/>
      <c r="DL270" s="1428"/>
      <c r="DM270" s="1428"/>
      <c r="DN270" s="1428"/>
      <c r="DO270" s="1428"/>
      <c r="DP270" s="1428"/>
      <c r="DQ270" s="1422"/>
      <c r="DR270" s="1428"/>
      <c r="DS270" s="1428"/>
      <c r="DT270" s="1428"/>
      <c r="DU270" s="1428"/>
      <c r="DV270" s="1428"/>
      <c r="DW270" s="1428"/>
      <c r="DX270" s="1428"/>
      <c r="DY270" s="1428"/>
      <c r="DZ270" s="1428"/>
      <c r="EA270" s="1428"/>
      <c r="EB270" s="1428"/>
      <c r="EC270" s="1428"/>
      <c r="ED270" s="1428"/>
      <c r="EE270" s="1428"/>
      <c r="EF270" s="1428"/>
      <c r="EG270" s="1428"/>
      <c r="EH270" s="1428"/>
      <c r="EI270" s="1428"/>
      <c r="EJ270" s="1428"/>
      <c r="EK270" s="1428"/>
      <c r="EL270" s="1428"/>
      <c r="EM270" s="1428"/>
      <c r="EN270" s="1428"/>
      <c r="EO270" s="1428"/>
      <c r="EP270" s="1428"/>
      <c r="EQ270" s="1428"/>
      <c r="ER270" s="1428"/>
      <c r="ES270" s="1428"/>
      <c r="ET270" s="1428"/>
      <c r="EU270" s="1428"/>
    </row>
    <row r="271" spans="1:151" s="1440" customFormat="1" ht="15" customHeight="1">
      <c r="A271" s="1834"/>
      <c r="J271" s="1729">
        <f>SUM(J259:J270)</f>
        <v>0</v>
      </c>
      <c r="K271" s="1729">
        <f>SUM(K259:K270)</f>
        <v>0</v>
      </c>
      <c r="L271" s="1720"/>
      <c r="M271" s="1720"/>
      <c r="N271" s="1430"/>
      <c r="O271" s="1430"/>
      <c r="P271" s="1430"/>
      <c r="Q271" s="1430"/>
      <c r="R271" s="1430"/>
      <c r="S271" s="1430"/>
      <c r="T271" s="1430"/>
      <c r="U271" s="1430"/>
      <c r="V271" s="1430"/>
      <c r="W271" s="1430"/>
      <c r="X271" s="1430"/>
      <c r="Y271" s="1430"/>
      <c r="Z271" s="1430"/>
      <c r="AA271" s="1430"/>
      <c r="AB271" s="1430"/>
      <c r="AC271" s="1430"/>
      <c r="AD271" s="1430"/>
      <c r="AE271" s="1430"/>
      <c r="AF271" s="1430"/>
      <c r="AG271" s="1430"/>
      <c r="AH271" s="1430"/>
      <c r="AI271" s="1430"/>
      <c r="AJ271" s="1430"/>
      <c r="AK271" s="1430"/>
      <c r="AL271" s="1430"/>
      <c r="AM271" s="1430"/>
      <c r="AN271" s="1430"/>
      <c r="AO271" s="1430"/>
      <c r="AP271" s="1430"/>
      <c r="AQ271" s="1430"/>
      <c r="AR271" s="1430"/>
      <c r="AS271" s="1430"/>
      <c r="AT271" s="1430"/>
      <c r="AU271" s="1430"/>
      <c r="AV271" s="1704"/>
      <c r="AW271" s="1430"/>
      <c r="AX271" s="1430"/>
      <c r="AY271" s="1430"/>
      <c r="AZ271" s="1430"/>
      <c r="BA271" s="1430"/>
      <c r="BB271" s="1430"/>
      <c r="BC271" s="1430"/>
      <c r="BD271" s="1475"/>
      <c r="BE271" s="1571" t="s">
        <v>1216</v>
      </c>
      <c r="BF271" s="1436">
        <v>22</v>
      </c>
      <c r="BG271" s="1436">
        <v>9</v>
      </c>
      <c r="BH271" s="1436">
        <v>4</v>
      </c>
      <c r="BI271" s="1495" t="b">
        <f t="shared" si="318"/>
        <v>1</v>
      </c>
      <c r="BJ271" s="1450" t="b">
        <f t="shared" si="368"/>
        <v>0</v>
      </c>
      <c r="BK271" s="1572">
        <f t="shared" si="369"/>
        <v>0</v>
      </c>
      <c r="BL271" s="1581">
        <f>IF(SUM(BL$263:BL270,BK271)&gt;$BR$4,0,BK271)</f>
        <v>0</v>
      </c>
      <c r="BM271" s="1436">
        <f t="shared" si="303"/>
        <v>0</v>
      </c>
      <c r="BN271" s="1495">
        <f t="shared" si="304"/>
        <v>0</v>
      </c>
      <c r="BO271" s="1437">
        <f t="shared" si="324"/>
        <v>0</v>
      </c>
      <c r="BP271" s="1762">
        <f t="shared" si="370"/>
        <v>0</v>
      </c>
      <c r="BQ271" s="1577">
        <f t="shared" si="371"/>
        <v>0</v>
      </c>
      <c r="BR271" s="1576">
        <f t="shared" si="305"/>
        <v>0</v>
      </c>
      <c r="BS271" s="1574">
        <f t="shared" si="372"/>
        <v>0</v>
      </c>
      <c r="BT271" s="1577">
        <f t="shared" si="373"/>
        <v>0</v>
      </c>
      <c r="BU271" s="1576">
        <f t="shared" si="306"/>
        <v>0</v>
      </c>
      <c r="BV271" s="1574">
        <f t="shared" si="374"/>
        <v>0</v>
      </c>
      <c r="BW271" s="1577">
        <f t="shared" si="375"/>
        <v>0</v>
      </c>
      <c r="BX271" s="1576">
        <f t="shared" si="307"/>
        <v>0</v>
      </c>
      <c r="BY271" s="1574">
        <f t="shared" si="376"/>
        <v>0</v>
      </c>
      <c r="BZ271" s="1577">
        <f t="shared" si="377"/>
        <v>0</v>
      </c>
      <c r="CA271" s="1576">
        <f t="shared" si="308"/>
        <v>0</v>
      </c>
      <c r="CB271" s="1495">
        <f t="shared" si="378"/>
        <v>0</v>
      </c>
      <c r="CC271" s="1577">
        <f t="shared" si="379"/>
        <v>0</v>
      </c>
      <c r="CD271" s="1576">
        <f t="shared" si="309"/>
        <v>0</v>
      </c>
      <c r="CE271" s="1495">
        <f t="shared" si="380"/>
        <v>0</v>
      </c>
      <c r="CF271" s="1577">
        <f t="shared" si="381"/>
        <v>0</v>
      </c>
      <c r="CG271" s="1576">
        <f t="shared" si="310"/>
        <v>0</v>
      </c>
      <c r="CH271" s="1495">
        <f t="shared" si="382"/>
        <v>0</v>
      </c>
      <c r="CI271" s="1577">
        <f t="shared" si="383"/>
        <v>0</v>
      </c>
      <c r="CJ271" s="1576">
        <f t="shared" si="311"/>
        <v>0</v>
      </c>
      <c r="CK271" s="1495">
        <f t="shared" si="384"/>
        <v>0</v>
      </c>
      <c r="CL271" s="1577">
        <f t="shared" si="385"/>
        <v>0</v>
      </c>
      <c r="CM271" s="1576">
        <f t="shared" si="312"/>
        <v>0</v>
      </c>
      <c r="CN271" s="1495">
        <f t="shared" si="386"/>
        <v>0</v>
      </c>
      <c r="CO271" s="1577">
        <f t="shared" si="387"/>
        <v>0</v>
      </c>
      <c r="CP271" s="1576">
        <f t="shared" si="313"/>
        <v>0</v>
      </c>
      <c r="CQ271" s="1495">
        <f t="shared" si="388"/>
        <v>0</v>
      </c>
      <c r="CR271" s="1577">
        <f t="shared" si="389"/>
        <v>0</v>
      </c>
      <c r="CS271" s="1576">
        <f t="shared" si="314"/>
        <v>0</v>
      </c>
      <c r="CT271" s="1495">
        <f t="shared" si="390"/>
        <v>0</v>
      </c>
      <c r="CU271" s="1577">
        <f t="shared" si="391"/>
        <v>0</v>
      </c>
      <c r="CV271" s="1576">
        <f t="shared" si="315"/>
        <v>0</v>
      </c>
      <c r="CW271" s="1495">
        <f t="shared" si="392"/>
        <v>0</v>
      </c>
      <c r="CX271" s="1577">
        <f t="shared" si="393"/>
        <v>0</v>
      </c>
      <c r="CY271" s="1576">
        <f t="shared" si="316"/>
        <v>0</v>
      </c>
      <c r="CZ271" s="1574">
        <f t="shared" si="317"/>
        <v>0</v>
      </c>
      <c r="DA271" s="1578">
        <f t="shared" si="319"/>
        <v>0</v>
      </c>
      <c r="DB271" s="1579">
        <f t="shared" si="320"/>
        <v>0</v>
      </c>
      <c r="DC271" s="1578">
        <f t="shared" si="321"/>
        <v>0</v>
      </c>
      <c r="DD271" s="1578">
        <f t="shared" si="321"/>
        <v>0</v>
      </c>
      <c r="DE271" s="1578">
        <f t="shared" si="321"/>
        <v>0</v>
      </c>
      <c r="DF271" s="1578">
        <f>IF(DA271-(DE270+CZ271)&lt;0,0,DA271-(DE270+CZ271))</f>
        <v>0</v>
      </c>
      <c r="DG271" s="1538"/>
      <c r="DH271" s="1538"/>
      <c r="DI271" s="1422"/>
      <c r="DJ271" s="1428"/>
      <c r="DK271" s="1428"/>
      <c r="DL271" s="1428"/>
      <c r="DM271" s="1428"/>
      <c r="DN271" s="1428"/>
      <c r="DO271" s="1428"/>
      <c r="DP271" s="1428"/>
      <c r="DQ271" s="1422"/>
      <c r="DR271" s="1428"/>
      <c r="DS271" s="1428"/>
      <c r="DT271" s="1428"/>
      <c r="DU271" s="1428"/>
      <c r="DV271" s="1428"/>
      <c r="DW271" s="1428"/>
      <c r="DX271" s="1428"/>
      <c r="DY271" s="1428"/>
      <c r="DZ271" s="1428"/>
      <c r="EA271" s="1428"/>
      <c r="EB271" s="1428"/>
      <c r="EC271" s="1428"/>
      <c r="ED271" s="1428"/>
      <c r="EE271" s="1428"/>
      <c r="EF271" s="1428"/>
      <c r="EG271" s="1428"/>
      <c r="EH271" s="1428"/>
      <c r="EI271" s="1428"/>
      <c r="EJ271" s="1428"/>
      <c r="EK271" s="1428"/>
      <c r="EL271" s="1428"/>
      <c r="EM271" s="1428"/>
      <c r="EN271" s="1428"/>
      <c r="EO271" s="1428"/>
      <c r="EP271" s="1428"/>
      <c r="EQ271" s="1428"/>
      <c r="ER271" s="1428"/>
      <c r="ES271" s="1428"/>
      <c r="ET271" s="1428"/>
      <c r="EU271" s="1428"/>
    </row>
    <row r="272" spans="1:151" s="1440" customFormat="1" ht="15" customHeight="1">
      <c r="A272" s="1834"/>
      <c r="D272" s="1848"/>
      <c r="K272" s="1720"/>
      <c r="L272" s="1720"/>
      <c r="M272" s="1720"/>
      <c r="N272" s="1430"/>
      <c r="O272" s="1430"/>
      <c r="P272" s="1430"/>
      <c r="Q272" s="1430"/>
      <c r="R272" s="1430"/>
      <c r="S272" s="1430"/>
      <c r="T272" s="1430"/>
      <c r="U272" s="1430"/>
      <c r="V272" s="1430"/>
      <c r="W272" s="1430"/>
      <c r="X272" s="1430"/>
      <c r="Y272" s="1430"/>
      <c r="Z272" s="1430"/>
      <c r="AA272" s="1430"/>
      <c r="AB272" s="1430"/>
      <c r="AC272" s="1430"/>
      <c r="AD272" s="1430"/>
      <c r="AE272" s="1430"/>
      <c r="AF272" s="1430"/>
      <c r="AG272" s="1430"/>
      <c r="AH272" s="1430"/>
      <c r="AI272" s="1430"/>
      <c r="AJ272" s="1430"/>
      <c r="AK272" s="1430"/>
      <c r="AL272" s="1430"/>
      <c r="AM272" s="1430"/>
      <c r="AN272" s="1430"/>
      <c r="AO272" s="1430"/>
      <c r="AP272" s="1430"/>
      <c r="AQ272" s="1430"/>
      <c r="AR272" s="1430"/>
      <c r="AS272" s="1430"/>
      <c r="AT272" s="1430"/>
      <c r="AU272" s="1430"/>
      <c r="AV272" s="1704"/>
      <c r="AW272" s="1430"/>
      <c r="AX272" s="1430"/>
      <c r="AY272" s="1430"/>
      <c r="AZ272" s="1430"/>
      <c r="BA272" s="1430"/>
      <c r="BB272" s="1430"/>
      <c r="BC272" s="1430"/>
      <c r="BD272" s="1475"/>
      <c r="BE272" s="1571" t="s">
        <v>1216</v>
      </c>
      <c r="BF272" s="1436">
        <v>22</v>
      </c>
      <c r="BG272" s="1436">
        <v>10</v>
      </c>
      <c r="BH272" s="1436">
        <v>5</v>
      </c>
      <c r="BI272" s="1495" t="b">
        <f t="shared" si="318"/>
        <v>1</v>
      </c>
      <c r="BJ272" s="1450" t="b">
        <f t="shared" si="368"/>
        <v>0</v>
      </c>
      <c r="BK272" s="1572">
        <f t="shared" si="369"/>
        <v>0</v>
      </c>
      <c r="BL272" s="1581">
        <f>IF(SUM(BL$263:BL271,BK272)&gt;$BR$4,0,BK272)</f>
        <v>0</v>
      </c>
      <c r="BM272" s="1436">
        <f t="shared" si="303"/>
        <v>0</v>
      </c>
      <c r="BN272" s="1495">
        <f t="shared" si="304"/>
        <v>0</v>
      </c>
      <c r="BO272" s="1437">
        <f t="shared" si="324"/>
        <v>0</v>
      </c>
      <c r="BP272" s="1762">
        <f t="shared" si="370"/>
        <v>0</v>
      </c>
      <c r="BQ272" s="1577">
        <f t="shared" si="371"/>
        <v>0</v>
      </c>
      <c r="BR272" s="1576">
        <f t="shared" si="305"/>
        <v>0</v>
      </c>
      <c r="BS272" s="1574">
        <f t="shared" si="372"/>
        <v>0</v>
      </c>
      <c r="BT272" s="1577">
        <f t="shared" si="373"/>
        <v>0</v>
      </c>
      <c r="BU272" s="1576">
        <f t="shared" si="306"/>
        <v>0</v>
      </c>
      <c r="BV272" s="1574">
        <f t="shared" si="374"/>
        <v>0</v>
      </c>
      <c r="BW272" s="1577">
        <f t="shared" si="375"/>
        <v>0</v>
      </c>
      <c r="BX272" s="1576">
        <f t="shared" si="307"/>
        <v>0</v>
      </c>
      <c r="BY272" s="1574">
        <f t="shared" si="376"/>
        <v>0</v>
      </c>
      <c r="BZ272" s="1577">
        <f t="shared" si="377"/>
        <v>0</v>
      </c>
      <c r="CA272" s="1576">
        <f t="shared" si="308"/>
        <v>0</v>
      </c>
      <c r="CB272" s="1495">
        <f t="shared" si="378"/>
        <v>0</v>
      </c>
      <c r="CC272" s="1577">
        <f t="shared" si="379"/>
        <v>0</v>
      </c>
      <c r="CD272" s="1576">
        <f t="shared" si="309"/>
        <v>0</v>
      </c>
      <c r="CE272" s="1495">
        <f t="shared" si="380"/>
        <v>0</v>
      </c>
      <c r="CF272" s="1577">
        <f t="shared" si="381"/>
        <v>0</v>
      </c>
      <c r="CG272" s="1576">
        <f t="shared" si="310"/>
        <v>0</v>
      </c>
      <c r="CH272" s="1495">
        <f t="shared" si="382"/>
        <v>0</v>
      </c>
      <c r="CI272" s="1577">
        <f t="shared" si="383"/>
        <v>0</v>
      </c>
      <c r="CJ272" s="1576">
        <f t="shared" si="311"/>
        <v>0</v>
      </c>
      <c r="CK272" s="1495">
        <f t="shared" si="384"/>
        <v>0</v>
      </c>
      <c r="CL272" s="1577">
        <f t="shared" si="385"/>
        <v>0</v>
      </c>
      <c r="CM272" s="1576">
        <f t="shared" si="312"/>
        <v>0</v>
      </c>
      <c r="CN272" s="1495">
        <f t="shared" si="386"/>
        <v>0</v>
      </c>
      <c r="CO272" s="1577">
        <f t="shared" si="387"/>
        <v>0</v>
      </c>
      <c r="CP272" s="1576">
        <f t="shared" si="313"/>
        <v>0</v>
      </c>
      <c r="CQ272" s="1495">
        <f t="shared" si="388"/>
        <v>0</v>
      </c>
      <c r="CR272" s="1577">
        <f t="shared" si="389"/>
        <v>0</v>
      </c>
      <c r="CS272" s="1576">
        <f t="shared" si="314"/>
        <v>0</v>
      </c>
      <c r="CT272" s="1495">
        <f t="shared" si="390"/>
        <v>0</v>
      </c>
      <c r="CU272" s="1577">
        <f t="shared" si="391"/>
        <v>0</v>
      </c>
      <c r="CV272" s="1576">
        <f t="shared" si="315"/>
        <v>0</v>
      </c>
      <c r="CW272" s="1495">
        <f t="shared" si="392"/>
        <v>0</v>
      </c>
      <c r="CX272" s="1577">
        <f t="shared" si="393"/>
        <v>0</v>
      </c>
      <c r="CY272" s="1576">
        <f t="shared" si="316"/>
        <v>0</v>
      </c>
      <c r="CZ272" s="1574">
        <f t="shared" si="317"/>
        <v>0</v>
      </c>
      <c r="DA272" s="1578">
        <f t="shared" si="319"/>
        <v>0</v>
      </c>
      <c r="DB272" s="1579">
        <f t="shared" si="320"/>
        <v>0</v>
      </c>
      <c r="DC272" s="1578">
        <f t="shared" si="321"/>
        <v>0</v>
      </c>
      <c r="DD272" s="1578">
        <f t="shared" si="321"/>
        <v>0</v>
      </c>
      <c r="DE272" s="1578">
        <f t="shared" si="321"/>
        <v>0</v>
      </c>
      <c r="DF272" s="1578">
        <f t="shared" si="322"/>
        <v>0</v>
      </c>
      <c r="DG272" s="1538"/>
      <c r="DH272" s="1538"/>
      <c r="DI272" s="1422"/>
      <c r="DJ272" s="1428"/>
      <c r="DK272" s="1428"/>
      <c r="DL272" s="1428"/>
      <c r="DM272" s="1428"/>
      <c r="DN272" s="1428"/>
      <c r="DO272" s="1428"/>
      <c r="DP272" s="1428"/>
      <c r="DQ272" s="1422"/>
      <c r="DR272" s="1428"/>
      <c r="DS272" s="1428"/>
      <c r="DT272" s="1428"/>
      <c r="DU272" s="1428"/>
      <c r="DV272" s="1428"/>
      <c r="DW272" s="1428"/>
      <c r="DX272" s="1428"/>
      <c r="DY272" s="1428"/>
      <c r="DZ272" s="1428"/>
      <c r="EA272" s="1428"/>
      <c r="EB272" s="1428"/>
      <c r="EC272" s="1428"/>
      <c r="ED272" s="1428"/>
      <c r="EE272" s="1428"/>
      <c r="EF272" s="1428"/>
      <c r="EG272" s="1428"/>
      <c r="EH272" s="1428"/>
      <c r="EI272" s="1428"/>
      <c r="EJ272" s="1428"/>
      <c r="EK272" s="1428"/>
      <c r="EL272" s="1428"/>
      <c r="EM272" s="1428"/>
      <c r="EN272" s="1428"/>
      <c r="EO272" s="1428"/>
      <c r="EP272" s="1428"/>
      <c r="EQ272" s="1428"/>
      <c r="ER272" s="1428"/>
      <c r="ES272" s="1428"/>
      <c r="ET272" s="1428"/>
      <c r="EU272" s="1428"/>
    </row>
    <row r="273" spans="1:151" s="1440" customFormat="1" ht="15" customHeight="1">
      <c r="A273" s="1834"/>
      <c r="B273" s="1829"/>
      <c r="C273" s="1700" t="s">
        <v>1822</v>
      </c>
      <c r="D273" s="1736" t="s">
        <v>1823</v>
      </c>
      <c r="J273" s="1816"/>
      <c r="K273" s="1720"/>
      <c r="L273" s="1720"/>
      <c r="M273" s="1720"/>
      <c r="N273" s="1430"/>
      <c r="O273" s="1430"/>
      <c r="P273" s="1430"/>
      <c r="Q273" s="1430"/>
      <c r="R273" s="1430"/>
      <c r="S273" s="1430"/>
      <c r="T273" s="1430"/>
      <c r="U273" s="1430"/>
      <c r="V273" s="1430"/>
      <c r="W273" s="1430"/>
      <c r="X273" s="1430"/>
      <c r="Y273" s="1430"/>
      <c r="Z273" s="1430"/>
      <c r="AA273" s="1430"/>
      <c r="AB273" s="1430"/>
      <c r="AC273" s="1430"/>
      <c r="AD273" s="1430"/>
      <c r="AE273" s="1430"/>
      <c r="AF273" s="1430"/>
      <c r="AG273" s="1430"/>
      <c r="AH273" s="1430"/>
      <c r="AI273" s="1430"/>
      <c r="AJ273" s="1430"/>
      <c r="AK273" s="1430"/>
      <c r="AL273" s="1430"/>
      <c r="AM273" s="1430"/>
      <c r="AN273" s="1430"/>
      <c r="AO273" s="1430"/>
      <c r="AP273" s="1430"/>
      <c r="AQ273" s="1430"/>
      <c r="AR273" s="1430"/>
      <c r="AS273" s="1430"/>
      <c r="AT273" s="1430"/>
      <c r="AU273" s="1430"/>
      <c r="AV273" s="1704"/>
      <c r="AW273" s="1430"/>
      <c r="AX273" s="1430"/>
      <c r="AY273" s="1430"/>
      <c r="AZ273" s="1430"/>
      <c r="BA273" s="1430"/>
      <c r="BB273" s="1430"/>
      <c r="BC273" s="1430"/>
      <c r="BD273" s="1475"/>
      <c r="BE273" s="1571" t="s">
        <v>1216</v>
      </c>
      <c r="BF273" s="1436">
        <v>22</v>
      </c>
      <c r="BG273" s="1436">
        <v>11</v>
      </c>
      <c r="BH273" s="1436">
        <v>6</v>
      </c>
      <c r="BI273" s="1495" t="b">
        <f t="shared" si="318"/>
        <v>0</v>
      </c>
      <c r="BJ273" s="1450" t="b">
        <f t="shared" si="368"/>
        <v>0</v>
      </c>
      <c r="BK273" s="1572">
        <f t="shared" si="369"/>
        <v>0</v>
      </c>
      <c r="BL273" s="1581">
        <f>IF(SUM(BL$263:BL272,BK273)&gt;$BR$4,0,BK273)</f>
        <v>0</v>
      </c>
      <c r="BM273" s="1436">
        <f t="shared" si="303"/>
        <v>0</v>
      </c>
      <c r="BN273" s="1495">
        <f t="shared" si="304"/>
        <v>0</v>
      </c>
      <c r="BO273" s="1437">
        <f t="shared" si="324"/>
        <v>0</v>
      </c>
      <c r="BP273" s="1762">
        <f t="shared" si="370"/>
        <v>0</v>
      </c>
      <c r="BQ273" s="1577">
        <f t="shared" si="371"/>
        <v>0</v>
      </c>
      <c r="BR273" s="1576">
        <f t="shared" si="305"/>
        <v>0</v>
      </c>
      <c r="BS273" s="1574">
        <f t="shared" si="372"/>
        <v>0</v>
      </c>
      <c r="BT273" s="1577">
        <f t="shared" si="373"/>
        <v>0</v>
      </c>
      <c r="BU273" s="1576">
        <f t="shared" si="306"/>
        <v>0</v>
      </c>
      <c r="BV273" s="1574">
        <f t="shared" si="374"/>
        <v>0</v>
      </c>
      <c r="BW273" s="1577">
        <f t="shared" si="375"/>
        <v>0</v>
      </c>
      <c r="BX273" s="1576">
        <f t="shared" si="307"/>
        <v>0</v>
      </c>
      <c r="BY273" s="1574">
        <f t="shared" si="376"/>
        <v>0</v>
      </c>
      <c r="BZ273" s="1577">
        <f t="shared" si="377"/>
        <v>0</v>
      </c>
      <c r="CA273" s="1576">
        <f t="shared" si="308"/>
        <v>0</v>
      </c>
      <c r="CB273" s="1495">
        <f t="shared" si="378"/>
        <v>0</v>
      </c>
      <c r="CC273" s="1577">
        <f t="shared" si="379"/>
        <v>0</v>
      </c>
      <c r="CD273" s="1576">
        <f t="shared" si="309"/>
        <v>0</v>
      </c>
      <c r="CE273" s="1495">
        <f t="shared" si="380"/>
        <v>0</v>
      </c>
      <c r="CF273" s="1577">
        <f t="shared" si="381"/>
        <v>0</v>
      </c>
      <c r="CG273" s="1576">
        <f t="shared" si="310"/>
        <v>0</v>
      </c>
      <c r="CH273" s="1495">
        <f t="shared" si="382"/>
        <v>0</v>
      </c>
      <c r="CI273" s="1577">
        <f t="shared" si="383"/>
        <v>0</v>
      </c>
      <c r="CJ273" s="1576">
        <f t="shared" si="311"/>
        <v>0</v>
      </c>
      <c r="CK273" s="1495">
        <f t="shared" si="384"/>
        <v>0</v>
      </c>
      <c r="CL273" s="1577">
        <f t="shared" si="385"/>
        <v>0</v>
      </c>
      <c r="CM273" s="1576">
        <f t="shared" si="312"/>
        <v>0</v>
      </c>
      <c r="CN273" s="1495">
        <f t="shared" si="386"/>
        <v>0</v>
      </c>
      <c r="CO273" s="1577">
        <f t="shared" si="387"/>
        <v>0</v>
      </c>
      <c r="CP273" s="1576">
        <f t="shared" si="313"/>
        <v>0</v>
      </c>
      <c r="CQ273" s="1495">
        <f t="shared" si="388"/>
        <v>0</v>
      </c>
      <c r="CR273" s="1577">
        <f t="shared" si="389"/>
        <v>0</v>
      </c>
      <c r="CS273" s="1576">
        <f t="shared" si="314"/>
        <v>0</v>
      </c>
      <c r="CT273" s="1495">
        <f t="shared" si="390"/>
        <v>0</v>
      </c>
      <c r="CU273" s="1577">
        <f t="shared" si="391"/>
        <v>0</v>
      </c>
      <c r="CV273" s="1576">
        <f t="shared" si="315"/>
        <v>0</v>
      </c>
      <c r="CW273" s="1495">
        <f t="shared" si="392"/>
        <v>0</v>
      </c>
      <c r="CX273" s="1577">
        <f t="shared" si="393"/>
        <v>0</v>
      </c>
      <c r="CY273" s="1576">
        <f t="shared" si="316"/>
        <v>0</v>
      </c>
      <c r="CZ273" s="1574">
        <f t="shared" si="317"/>
        <v>0</v>
      </c>
      <c r="DA273" s="1578">
        <f t="shared" si="319"/>
        <v>0</v>
      </c>
      <c r="DB273" s="1579">
        <f t="shared" si="320"/>
        <v>0</v>
      </c>
      <c r="DC273" s="1578">
        <f t="shared" si="321"/>
        <v>0</v>
      </c>
      <c r="DD273" s="1578">
        <f t="shared" si="321"/>
        <v>0</v>
      </c>
      <c r="DE273" s="1578">
        <f t="shared" si="321"/>
        <v>0</v>
      </c>
      <c r="DF273" s="1578">
        <f>IF(DA273-(DE272+CZ273)&lt;0,0,DA273-(DE272+CZ273))</f>
        <v>0</v>
      </c>
      <c r="DG273" s="1538"/>
      <c r="DH273" s="1538"/>
      <c r="DI273" s="1422"/>
      <c r="DJ273" s="1428"/>
      <c r="DK273" s="1428"/>
      <c r="DL273" s="1428"/>
      <c r="DM273" s="1428"/>
      <c r="DN273" s="1428"/>
      <c r="DO273" s="1428"/>
      <c r="DP273" s="1428"/>
      <c r="DQ273" s="1422"/>
      <c r="DR273" s="1428"/>
      <c r="DS273" s="1428"/>
      <c r="DT273" s="1428"/>
      <c r="DU273" s="1428"/>
      <c r="DV273" s="1428"/>
      <c r="DW273" s="1428"/>
      <c r="DX273" s="1428"/>
      <c r="DY273" s="1428"/>
      <c r="DZ273" s="1428"/>
      <c r="EA273" s="1428"/>
      <c r="EB273" s="1428"/>
      <c r="EC273" s="1428"/>
      <c r="ED273" s="1428"/>
      <c r="EE273" s="1428"/>
      <c r="EF273" s="1428"/>
      <c r="EG273" s="1428"/>
      <c r="EH273" s="1428"/>
      <c r="EI273" s="1428"/>
      <c r="EJ273" s="1428"/>
      <c r="EK273" s="1428"/>
      <c r="EL273" s="1428"/>
      <c r="EM273" s="1428"/>
      <c r="EN273" s="1428"/>
      <c r="EO273" s="1428"/>
      <c r="EP273" s="1428"/>
      <c r="EQ273" s="1428"/>
      <c r="ER273" s="1428"/>
      <c r="ES273" s="1428"/>
      <c r="ET273" s="1428"/>
      <c r="EU273" s="1428"/>
    </row>
    <row r="274" spans="1:151" s="1440" customFormat="1" ht="17.25" customHeight="1">
      <c r="A274" s="1834"/>
      <c r="B274" s="1849" t="s">
        <v>2247</v>
      </c>
      <c r="C274" s="1601">
        <f>J271*N251</f>
        <v>0</v>
      </c>
      <c r="D274" s="1601">
        <f>K271*N251</f>
        <v>0</v>
      </c>
      <c r="J274" s="1816"/>
      <c r="K274" s="1720"/>
      <c r="L274" s="1720"/>
      <c r="M274" s="1720"/>
      <c r="N274" s="1430"/>
      <c r="O274" s="1430"/>
      <c r="P274" s="1430"/>
      <c r="Q274" s="1430"/>
      <c r="R274" s="1430"/>
      <c r="S274" s="1430"/>
      <c r="T274" s="1430"/>
      <c r="U274" s="1430"/>
      <c r="V274" s="1430"/>
      <c r="W274" s="1430"/>
      <c r="X274" s="1430"/>
      <c r="Y274" s="1430"/>
      <c r="Z274" s="1430"/>
      <c r="AA274" s="1430"/>
      <c r="AB274" s="1430"/>
      <c r="AC274" s="1430"/>
      <c r="AD274" s="1430"/>
      <c r="AE274" s="1430"/>
      <c r="AF274" s="1430"/>
      <c r="AG274" s="1430"/>
      <c r="AH274" s="1430"/>
      <c r="AI274" s="1430"/>
      <c r="AJ274" s="1430"/>
      <c r="AK274" s="1430"/>
      <c r="AL274" s="1430"/>
      <c r="AM274" s="1430"/>
      <c r="AN274" s="1430"/>
      <c r="AO274" s="1430"/>
      <c r="AP274" s="1430"/>
      <c r="AQ274" s="1430"/>
      <c r="AR274" s="1430"/>
      <c r="AS274" s="1430"/>
      <c r="AT274" s="1430"/>
      <c r="AU274" s="1430"/>
      <c r="AV274" s="1704"/>
      <c r="AW274" s="1430"/>
      <c r="AX274" s="1430"/>
      <c r="AY274" s="1430"/>
      <c r="AZ274" s="1430"/>
      <c r="BA274" s="1430"/>
      <c r="BB274" s="1430"/>
      <c r="BC274" s="1430"/>
      <c r="BD274" s="1475"/>
      <c r="BE274" s="1571" t="s">
        <v>1216</v>
      </c>
      <c r="BF274" s="1436">
        <v>22</v>
      </c>
      <c r="BG274" s="1436">
        <v>12</v>
      </c>
      <c r="BH274" s="1436">
        <v>7</v>
      </c>
      <c r="BI274" s="1495" t="b">
        <f t="shared" si="318"/>
        <v>0</v>
      </c>
      <c r="BJ274" s="1450" t="b">
        <f t="shared" si="368"/>
        <v>0</v>
      </c>
      <c r="BK274" s="1572">
        <f t="shared" si="369"/>
        <v>0</v>
      </c>
      <c r="BL274" s="1581">
        <f>IF(SUM(BL$263:BL273,BK274)&gt;$BR$4,0,BK274)</f>
        <v>0</v>
      </c>
      <c r="BM274" s="1436">
        <f t="shared" si="303"/>
        <v>0</v>
      </c>
      <c r="BN274" s="1495">
        <f t="shared" si="304"/>
        <v>0</v>
      </c>
      <c r="BO274" s="1437">
        <f t="shared" si="324"/>
        <v>0</v>
      </c>
      <c r="BP274" s="1762">
        <f t="shared" si="370"/>
        <v>0</v>
      </c>
      <c r="BQ274" s="1577">
        <f t="shared" si="371"/>
        <v>0</v>
      </c>
      <c r="BR274" s="1576">
        <f t="shared" si="305"/>
        <v>0</v>
      </c>
      <c r="BS274" s="1574">
        <f t="shared" si="372"/>
        <v>0</v>
      </c>
      <c r="BT274" s="1577">
        <f t="shared" si="373"/>
        <v>0</v>
      </c>
      <c r="BU274" s="1576">
        <f t="shared" si="306"/>
        <v>0</v>
      </c>
      <c r="BV274" s="1574">
        <f t="shared" si="374"/>
        <v>0</v>
      </c>
      <c r="BW274" s="1577">
        <f t="shared" si="375"/>
        <v>0</v>
      </c>
      <c r="BX274" s="1576">
        <f t="shared" si="307"/>
        <v>0</v>
      </c>
      <c r="BY274" s="1574">
        <f t="shared" si="376"/>
        <v>0</v>
      </c>
      <c r="BZ274" s="1577">
        <f t="shared" si="377"/>
        <v>0</v>
      </c>
      <c r="CA274" s="1576">
        <f t="shared" si="308"/>
        <v>0</v>
      </c>
      <c r="CB274" s="1495">
        <f t="shared" si="378"/>
        <v>0</v>
      </c>
      <c r="CC274" s="1577">
        <f t="shared" si="379"/>
        <v>0</v>
      </c>
      <c r="CD274" s="1576">
        <f t="shared" si="309"/>
        <v>0</v>
      </c>
      <c r="CE274" s="1495">
        <f t="shared" si="380"/>
        <v>0</v>
      </c>
      <c r="CF274" s="1577">
        <f t="shared" si="381"/>
        <v>0</v>
      </c>
      <c r="CG274" s="1576">
        <f t="shared" si="310"/>
        <v>0</v>
      </c>
      <c r="CH274" s="1495">
        <f t="shared" si="382"/>
        <v>0</v>
      </c>
      <c r="CI274" s="1577">
        <f t="shared" si="383"/>
        <v>0</v>
      </c>
      <c r="CJ274" s="1576">
        <f t="shared" si="311"/>
        <v>0</v>
      </c>
      <c r="CK274" s="1495">
        <f t="shared" si="384"/>
        <v>0</v>
      </c>
      <c r="CL274" s="1577">
        <f t="shared" si="385"/>
        <v>0</v>
      </c>
      <c r="CM274" s="1576">
        <f t="shared" si="312"/>
        <v>0</v>
      </c>
      <c r="CN274" s="1495">
        <f t="shared" si="386"/>
        <v>0</v>
      </c>
      <c r="CO274" s="1577">
        <f t="shared" si="387"/>
        <v>0</v>
      </c>
      <c r="CP274" s="1576">
        <f t="shared" si="313"/>
        <v>0</v>
      </c>
      <c r="CQ274" s="1495">
        <f t="shared" si="388"/>
        <v>0</v>
      </c>
      <c r="CR274" s="1577">
        <f t="shared" si="389"/>
        <v>0</v>
      </c>
      <c r="CS274" s="1576">
        <f t="shared" si="314"/>
        <v>0</v>
      </c>
      <c r="CT274" s="1495">
        <f t="shared" si="390"/>
        <v>0</v>
      </c>
      <c r="CU274" s="1577">
        <f t="shared" si="391"/>
        <v>0</v>
      </c>
      <c r="CV274" s="1576">
        <f t="shared" si="315"/>
        <v>0</v>
      </c>
      <c r="CW274" s="1495">
        <f t="shared" si="392"/>
        <v>0</v>
      </c>
      <c r="CX274" s="1577">
        <f t="shared" si="393"/>
        <v>0</v>
      </c>
      <c r="CY274" s="1576">
        <f t="shared" si="316"/>
        <v>0</v>
      </c>
      <c r="CZ274" s="1574">
        <f t="shared" si="317"/>
        <v>0</v>
      </c>
      <c r="DA274" s="1578">
        <f t="shared" si="319"/>
        <v>0</v>
      </c>
      <c r="DB274" s="1579">
        <f t="shared" si="320"/>
        <v>0</v>
      </c>
      <c r="DC274" s="1578">
        <f t="shared" si="321"/>
        <v>0</v>
      </c>
      <c r="DD274" s="1578">
        <f t="shared" si="321"/>
        <v>0</v>
      </c>
      <c r="DE274" s="1578">
        <f t="shared" si="321"/>
        <v>0</v>
      </c>
      <c r="DF274" s="1578">
        <f t="shared" si="322"/>
        <v>0</v>
      </c>
      <c r="DG274" s="1538"/>
      <c r="DH274" s="1538"/>
      <c r="DI274" s="1422"/>
      <c r="DJ274" s="1428"/>
      <c r="DK274" s="1428"/>
      <c r="DL274" s="1428"/>
      <c r="DM274" s="1428"/>
      <c r="DN274" s="1428"/>
      <c r="DO274" s="1428"/>
      <c r="DP274" s="1428"/>
      <c r="DQ274" s="1422"/>
      <c r="DR274" s="1428"/>
      <c r="DS274" s="1428"/>
      <c r="DT274" s="1428"/>
      <c r="DU274" s="1428"/>
      <c r="DV274" s="1428"/>
      <c r="DW274" s="1428"/>
      <c r="DX274" s="1428"/>
      <c r="DY274" s="1428"/>
      <c r="DZ274" s="1428"/>
      <c r="EA274" s="1428"/>
      <c r="EB274" s="1428"/>
      <c r="EC274" s="1428"/>
      <c r="ED274" s="1428"/>
      <c r="EE274" s="1428"/>
      <c r="EF274" s="1428"/>
      <c r="EG274" s="1428"/>
      <c r="EH274" s="1428"/>
      <c r="EI274" s="1428"/>
      <c r="EJ274" s="1428"/>
      <c r="EK274" s="1428"/>
      <c r="EL274" s="1428"/>
      <c r="EM274" s="1428"/>
      <c r="EN274" s="1428"/>
      <c r="EO274" s="1428"/>
      <c r="EP274" s="1428"/>
      <c r="EQ274" s="1428"/>
      <c r="ER274" s="1428"/>
      <c r="ES274" s="1428"/>
      <c r="ET274" s="1428"/>
      <c r="EU274" s="1428"/>
    </row>
    <row r="275" spans="1:151" s="1440" customFormat="1" ht="15" customHeight="1">
      <c r="A275" s="1834"/>
      <c r="B275" s="1850"/>
      <c r="C275" s="1684">
        <f>C274</f>
        <v>0</v>
      </c>
      <c r="D275" s="1682">
        <f>D274</f>
        <v>0</v>
      </c>
      <c r="J275" s="1816"/>
      <c r="K275" s="1720"/>
      <c r="L275" s="1720"/>
      <c r="M275" s="1720"/>
      <c r="N275" s="1628" t="str">
        <f>B277</f>
        <v>Building Specific Major Water Uses - Large Kitchen Water Demand</v>
      </c>
      <c r="O275" s="1624"/>
      <c r="P275" s="1624"/>
      <c r="Q275" s="1624"/>
      <c r="R275" s="1624"/>
      <c r="S275" s="1624"/>
      <c r="T275" s="1624"/>
      <c r="U275" s="1624"/>
      <c r="V275" s="1624"/>
      <c r="W275" s="1624"/>
      <c r="X275" s="1624"/>
      <c r="Y275" s="1624"/>
      <c r="Z275" s="1624"/>
      <c r="AA275" s="1624"/>
      <c r="AB275" s="1624"/>
      <c r="AC275" s="1624"/>
      <c r="AD275" s="1624"/>
      <c r="AE275" s="1624"/>
      <c r="AF275" s="1624"/>
      <c r="AG275" s="1624"/>
      <c r="AH275" s="1624"/>
      <c r="AI275" s="1624"/>
      <c r="AJ275" s="1624"/>
      <c r="AK275" s="1624"/>
      <c r="AL275" s="1624"/>
      <c r="AM275" s="1624"/>
      <c r="AN275" s="1624"/>
      <c r="AO275" s="1624"/>
      <c r="AP275" s="1624"/>
      <c r="AQ275" s="1624"/>
      <c r="AR275" s="1624"/>
      <c r="AS275" s="1624"/>
      <c r="AT275" s="1624"/>
      <c r="AU275" s="1624"/>
      <c r="AV275" s="1624"/>
      <c r="AW275" s="1624"/>
      <c r="AX275" s="1624"/>
      <c r="AY275" s="1624"/>
      <c r="AZ275" s="1624"/>
      <c r="BA275" s="1624"/>
      <c r="BB275" s="1624"/>
      <c r="BC275" s="1624"/>
      <c r="BD275" s="1475"/>
      <c r="BE275" s="1571" t="s">
        <v>1216</v>
      </c>
      <c r="BF275" s="1436">
        <v>22</v>
      </c>
      <c r="BG275" s="1436">
        <v>13</v>
      </c>
      <c r="BH275" s="1436">
        <v>1</v>
      </c>
      <c r="BI275" s="1495" t="b">
        <f t="shared" si="318"/>
        <v>1</v>
      </c>
      <c r="BJ275" s="1450" t="b">
        <f t="shared" si="368"/>
        <v>0</v>
      </c>
      <c r="BK275" s="1572">
        <f t="shared" si="369"/>
        <v>0</v>
      </c>
      <c r="BL275" s="1581">
        <f>IF(SUM(BL$263:BL274,BK275)&gt;$BR$4,0,BK275)</f>
        <v>0</v>
      </c>
      <c r="BM275" s="1436">
        <f t="shared" si="303"/>
        <v>0</v>
      </c>
      <c r="BN275" s="1495">
        <f t="shared" si="304"/>
        <v>0</v>
      </c>
      <c r="BO275" s="1437">
        <f t="shared" si="324"/>
        <v>0</v>
      </c>
      <c r="BP275" s="1762">
        <f t="shared" si="370"/>
        <v>0</v>
      </c>
      <c r="BQ275" s="1577">
        <f t="shared" si="371"/>
        <v>0</v>
      </c>
      <c r="BR275" s="1576">
        <f t="shared" si="305"/>
        <v>0</v>
      </c>
      <c r="BS275" s="1574">
        <f t="shared" si="372"/>
        <v>0</v>
      </c>
      <c r="BT275" s="1577">
        <f t="shared" si="373"/>
        <v>0</v>
      </c>
      <c r="BU275" s="1576">
        <f t="shared" si="306"/>
        <v>0</v>
      </c>
      <c r="BV275" s="1574">
        <f t="shared" si="374"/>
        <v>0</v>
      </c>
      <c r="BW275" s="1577">
        <f t="shared" si="375"/>
        <v>0</v>
      </c>
      <c r="BX275" s="1576">
        <f t="shared" si="307"/>
        <v>0</v>
      </c>
      <c r="BY275" s="1574">
        <f t="shared" si="376"/>
        <v>0</v>
      </c>
      <c r="BZ275" s="1577">
        <f t="shared" si="377"/>
        <v>0</v>
      </c>
      <c r="CA275" s="1576">
        <f t="shared" si="308"/>
        <v>0</v>
      </c>
      <c r="CB275" s="1495">
        <f t="shared" si="378"/>
        <v>0</v>
      </c>
      <c r="CC275" s="1577">
        <f t="shared" si="379"/>
        <v>0</v>
      </c>
      <c r="CD275" s="1576">
        <f t="shared" si="309"/>
        <v>0</v>
      </c>
      <c r="CE275" s="1495">
        <f t="shared" si="380"/>
        <v>0</v>
      </c>
      <c r="CF275" s="1577">
        <f t="shared" si="381"/>
        <v>0</v>
      </c>
      <c r="CG275" s="1576">
        <f t="shared" si="310"/>
        <v>0</v>
      </c>
      <c r="CH275" s="1495">
        <f t="shared" si="382"/>
        <v>0</v>
      </c>
      <c r="CI275" s="1577">
        <f t="shared" si="383"/>
        <v>0</v>
      </c>
      <c r="CJ275" s="1576">
        <f t="shared" si="311"/>
        <v>0</v>
      </c>
      <c r="CK275" s="1495">
        <f t="shared" si="384"/>
        <v>0</v>
      </c>
      <c r="CL275" s="1577">
        <f t="shared" si="385"/>
        <v>0</v>
      </c>
      <c r="CM275" s="1576">
        <f t="shared" si="312"/>
        <v>0</v>
      </c>
      <c r="CN275" s="1495">
        <f t="shared" si="386"/>
        <v>0</v>
      </c>
      <c r="CO275" s="1577">
        <f t="shared" si="387"/>
        <v>0</v>
      </c>
      <c r="CP275" s="1576">
        <f t="shared" si="313"/>
        <v>0</v>
      </c>
      <c r="CQ275" s="1495">
        <f t="shared" si="388"/>
        <v>0</v>
      </c>
      <c r="CR275" s="1577">
        <f t="shared" si="389"/>
        <v>0</v>
      </c>
      <c r="CS275" s="1576">
        <f t="shared" si="314"/>
        <v>0</v>
      </c>
      <c r="CT275" s="1495">
        <f t="shared" si="390"/>
        <v>0</v>
      </c>
      <c r="CU275" s="1577">
        <f t="shared" si="391"/>
        <v>0</v>
      </c>
      <c r="CV275" s="1576">
        <f t="shared" si="315"/>
        <v>0</v>
      </c>
      <c r="CW275" s="1495">
        <f t="shared" si="392"/>
        <v>0</v>
      </c>
      <c r="CX275" s="1577">
        <f t="shared" si="393"/>
        <v>0</v>
      </c>
      <c r="CY275" s="1576">
        <f t="shared" si="316"/>
        <v>0</v>
      </c>
      <c r="CZ275" s="1574">
        <f t="shared" si="317"/>
        <v>0</v>
      </c>
      <c r="DA275" s="1578">
        <f t="shared" si="319"/>
        <v>0</v>
      </c>
      <c r="DB275" s="1579">
        <f t="shared" si="320"/>
        <v>0</v>
      </c>
      <c r="DC275" s="1578">
        <f t="shared" si="321"/>
        <v>0</v>
      </c>
      <c r="DD275" s="1578">
        <f t="shared" si="321"/>
        <v>0</v>
      </c>
      <c r="DE275" s="1578">
        <f t="shared" si="321"/>
        <v>0</v>
      </c>
      <c r="DF275" s="1578">
        <f t="shared" si="322"/>
        <v>0</v>
      </c>
      <c r="DG275" s="1538"/>
      <c r="DH275" s="1538"/>
      <c r="DI275" s="1422"/>
      <c r="DJ275" s="1428"/>
      <c r="DK275" s="1428"/>
      <c r="DL275" s="1428"/>
      <c r="DM275" s="1428"/>
      <c r="DN275" s="1428"/>
      <c r="DO275" s="1428"/>
      <c r="DP275" s="1428"/>
      <c r="DQ275" s="1422"/>
      <c r="DR275" s="1428"/>
      <c r="DS275" s="1428"/>
      <c r="DT275" s="1428"/>
      <c r="DU275" s="1428"/>
      <c r="DV275" s="1428"/>
      <c r="DW275" s="1428"/>
      <c r="DX275" s="1428"/>
      <c r="DY275" s="1428"/>
      <c r="DZ275" s="1428"/>
      <c r="EA275" s="1428"/>
      <c r="EB275" s="1428"/>
      <c r="EC275" s="1428"/>
      <c r="ED275" s="1428"/>
      <c r="EE275" s="1428"/>
      <c r="EF275" s="1428"/>
      <c r="EG275" s="1428"/>
      <c r="EH275" s="1428"/>
      <c r="EI275" s="1428"/>
      <c r="EJ275" s="1428"/>
      <c r="EK275" s="1428"/>
      <c r="EL275" s="1428"/>
      <c r="EM275" s="1428"/>
      <c r="EN275" s="1428"/>
      <c r="EO275" s="1428"/>
      <c r="EP275" s="1428"/>
      <c r="EQ275" s="1428"/>
      <c r="ER275" s="1428"/>
      <c r="ES275" s="1428"/>
      <c r="ET275" s="1428"/>
      <c r="EU275" s="1428"/>
    </row>
    <row r="276" spans="1:151" s="1440" customFormat="1" ht="15" customHeight="1">
      <c r="A276" s="1834"/>
      <c r="J276" s="1816"/>
      <c r="K276" s="1720"/>
      <c r="L276" s="1720"/>
      <c r="M276" s="1720"/>
      <c r="N276" s="1430"/>
      <c r="O276" s="1430"/>
      <c r="P276" s="1430"/>
      <c r="Q276" s="1430"/>
      <c r="R276" s="1430"/>
      <c r="S276" s="1430"/>
      <c r="T276" s="1430"/>
      <c r="U276" s="1430"/>
      <c r="V276" s="1430"/>
      <c r="W276" s="1430"/>
      <c r="X276" s="1430"/>
      <c r="Y276" s="1430"/>
      <c r="Z276" s="1430"/>
      <c r="AA276" s="1430"/>
      <c r="AB276" s="1430"/>
      <c r="AC276" s="1430"/>
      <c r="AD276" s="1430"/>
      <c r="AE276" s="1430"/>
      <c r="AF276" s="1430"/>
      <c r="AG276" s="1430"/>
      <c r="AH276" s="1430"/>
      <c r="AI276" s="1430"/>
      <c r="AJ276" s="1430"/>
      <c r="AK276" s="1430"/>
      <c r="AL276" s="1430"/>
      <c r="AM276" s="1430"/>
      <c r="AN276" s="1430"/>
      <c r="AO276" s="1430"/>
      <c r="AP276" s="1430"/>
      <c r="AQ276" s="1430"/>
      <c r="AR276" s="1430"/>
      <c r="AS276" s="1430"/>
      <c r="AT276" s="1430"/>
      <c r="AU276" s="1430"/>
      <c r="AV276" s="1704"/>
      <c r="AW276" s="1430"/>
      <c r="AX276" s="1430"/>
      <c r="AY276" s="1430"/>
      <c r="AZ276" s="1430"/>
      <c r="BA276" s="1430"/>
      <c r="BB276" s="1430"/>
      <c r="BC276" s="1430"/>
      <c r="BD276" s="1475"/>
      <c r="BE276" s="1571" t="s">
        <v>1216</v>
      </c>
      <c r="BF276" s="1436">
        <v>22</v>
      </c>
      <c r="BG276" s="1436">
        <v>14</v>
      </c>
      <c r="BH276" s="1436">
        <v>2</v>
      </c>
      <c r="BI276" s="1495" t="b">
        <f t="shared" si="318"/>
        <v>1</v>
      </c>
      <c r="BJ276" s="1450" t="b">
        <f t="shared" si="368"/>
        <v>0</v>
      </c>
      <c r="BK276" s="1572">
        <f t="shared" si="369"/>
        <v>0</v>
      </c>
      <c r="BL276" s="1581">
        <f>IF(SUM(BL$263:BL275,BK276)&gt;$BR$4,0,BK276)</f>
        <v>0</v>
      </c>
      <c r="BM276" s="1436">
        <f t="shared" ref="BM276:BM339" si="394">BL276*$BJ$13</f>
        <v>0</v>
      </c>
      <c r="BN276" s="1495">
        <f t="shared" ref="BN276:BN339" si="395">$BJ$14*(BL276&gt;0)</f>
        <v>0</v>
      </c>
      <c r="BO276" s="1437">
        <f t="shared" si="324"/>
        <v>0</v>
      </c>
      <c r="BP276" s="1762">
        <f t="shared" si="370"/>
        <v>0</v>
      </c>
      <c r="BQ276" s="1577">
        <f t="shared" si="371"/>
        <v>0</v>
      </c>
      <c r="BR276" s="1576">
        <f t="shared" ref="BR276:BR339" si="396">IF(BP276-(BQ276*$BR$17)&gt;0,BP276-(BQ276*$BR$17),0)</f>
        <v>0</v>
      </c>
      <c r="BS276" s="1574">
        <f t="shared" si="372"/>
        <v>0</v>
      </c>
      <c r="BT276" s="1577">
        <f t="shared" si="373"/>
        <v>0</v>
      </c>
      <c r="BU276" s="1576">
        <f t="shared" ref="BU276:BU339" si="397">IF(BS276-(BT276*BU$17)&gt;0,BS276-(BT276*BU$17),0)</f>
        <v>0</v>
      </c>
      <c r="BV276" s="1574">
        <f t="shared" si="374"/>
        <v>0</v>
      </c>
      <c r="BW276" s="1577">
        <f t="shared" si="375"/>
        <v>0</v>
      </c>
      <c r="BX276" s="1576">
        <f t="shared" ref="BX276:BX339" si="398">IF(BV276-(BW276*BX$17)&gt;0,BV276-(BW276*BX$17),0)</f>
        <v>0</v>
      </c>
      <c r="BY276" s="1574">
        <f t="shared" si="376"/>
        <v>0</v>
      </c>
      <c r="BZ276" s="1577">
        <f t="shared" si="377"/>
        <v>0</v>
      </c>
      <c r="CA276" s="1576">
        <f t="shared" ref="CA276:CA339" si="399">IF(BY276-(BZ276*CA$17)&gt;0,BY276-(BZ276*CA$17),0)</f>
        <v>0</v>
      </c>
      <c r="CB276" s="1495">
        <f t="shared" si="378"/>
        <v>0</v>
      </c>
      <c r="CC276" s="1577">
        <f t="shared" si="379"/>
        <v>0</v>
      </c>
      <c r="CD276" s="1576">
        <f t="shared" ref="CD276:CD339" si="400">IF(CB276-(CC276*CD$17)&gt;0,CB276-(CC276*CD$17),0)</f>
        <v>0</v>
      </c>
      <c r="CE276" s="1495">
        <f t="shared" si="380"/>
        <v>0</v>
      </c>
      <c r="CF276" s="1577">
        <f t="shared" si="381"/>
        <v>0</v>
      </c>
      <c r="CG276" s="1576">
        <f t="shared" ref="CG276:CG339" si="401">IF(CE276-(CF276*CG$17)&gt;0,CE276-(CF276*CG$17),0)</f>
        <v>0</v>
      </c>
      <c r="CH276" s="1495">
        <f t="shared" si="382"/>
        <v>0</v>
      </c>
      <c r="CI276" s="1577">
        <f t="shared" si="383"/>
        <v>0</v>
      </c>
      <c r="CJ276" s="1576">
        <f t="shared" ref="CJ276:CJ339" si="402">IF(CH276-(CI276*CJ$17)&gt;0,CH276-(CI276*CJ$17),0)</f>
        <v>0</v>
      </c>
      <c r="CK276" s="1495">
        <f t="shared" si="384"/>
        <v>0</v>
      </c>
      <c r="CL276" s="1577">
        <f t="shared" si="385"/>
        <v>0</v>
      </c>
      <c r="CM276" s="1576">
        <f t="shared" ref="CM276:CM339" si="403">IF(CK276-(CL276*CM$17)&gt;0,CK276-(CL276*CM$17),0)</f>
        <v>0</v>
      </c>
      <c r="CN276" s="1495">
        <f t="shared" si="386"/>
        <v>0</v>
      </c>
      <c r="CO276" s="1577">
        <f t="shared" si="387"/>
        <v>0</v>
      </c>
      <c r="CP276" s="1576">
        <f t="shared" ref="CP276:CP339" si="404">IF(CN276-(CO276*CP$17)&gt;0,CN276-(CO276*CP$17),0)</f>
        <v>0</v>
      </c>
      <c r="CQ276" s="1495">
        <f t="shared" si="388"/>
        <v>0</v>
      </c>
      <c r="CR276" s="1577">
        <f t="shared" si="389"/>
        <v>0</v>
      </c>
      <c r="CS276" s="1576">
        <f t="shared" ref="CS276:CS339" si="405">IF(CQ276-(CR276*CS$17)&gt;0,CQ276-(CR276*CS$17),0)</f>
        <v>0</v>
      </c>
      <c r="CT276" s="1495">
        <f t="shared" si="390"/>
        <v>0</v>
      </c>
      <c r="CU276" s="1577">
        <f t="shared" si="391"/>
        <v>0</v>
      </c>
      <c r="CV276" s="1576">
        <f t="shared" ref="CV276:CV339" si="406">IF(CT276-(CU276*CV$17)&gt;0,CT276-(CU276*CV$17),0)</f>
        <v>0</v>
      </c>
      <c r="CW276" s="1495">
        <f t="shared" si="392"/>
        <v>0</v>
      </c>
      <c r="CX276" s="1577">
        <f t="shared" si="393"/>
        <v>0</v>
      </c>
      <c r="CY276" s="1576">
        <f t="shared" ref="CY276:CY339" si="407">IF(CW276-(CX276*CY$17)&gt;0,CW276-(CX276*CY$17),0)</f>
        <v>0</v>
      </c>
      <c r="CZ276" s="1574">
        <f t="shared" ref="CZ276:CZ339" si="408">BO276</f>
        <v>0</v>
      </c>
      <c r="DA276" s="1578">
        <f t="shared" si="319"/>
        <v>0</v>
      </c>
      <c r="DB276" s="1579">
        <f t="shared" si="320"/>
        <v>0</v>
      </c>
      <c r="DC276" s="1578">
        <f t="shared" si="321"/>
        <v>0</v>
      </c>
      <c r="DD276" s="1578">
        <f t="shared" si="321"/>
        <v>0</v>
      </c>
      <c r="DE276" s="1578">
        <f t="shared" si="321"/>
        <v>0</v>
      </c>
      <c r="DF276" s="1578">
        <f t="shared" si="322"/>
        <v>0</v>
      </c>
      <c r="DG276" s="1538"/>
      <c r="DH276" s="1538"/>
      <c r="DI276" s="1422"/>
      <c r="DJ276" s="1428"/>
      <c r="DK276" s="1428"/>
      <c r="DL276" s="1428"/>
      <c r="DM276" s="1428"/>
      <c r="DN276" s="1428"/>
      <c r="DO276" s="1428"/>
      <c r="DP276" s="1428"/>
      <c r="DQ276" s="1422"/>
      <c r="DR276" s="1428"/>
      <c r="DS276" s="1428"/>
      <c r="DT276" s="1428"/>
      <c r="DU276" s="1428"/>
      <c r="DV276" s="1428"/>
      <c r="DW276" s="1428"/>
      <c r="DX276" s="1428"/>
      <c r="DY276" s="1428"/>
      <c r="DZ276" s="1428"/>
      <c r="EA276" s="1428"/>
      <c r="EB276" s="1428"/>
      <c r="EC276" s="1428"/>
      <c r="ED276" s="1428"/>
      <c r="EE276" s="1428"/>
      <c r="EF276" s="1428"/>
      <c r="EG276" s="1428"/>
      <c r="EH276" s="1428"/>
      <c r="EI276" s="1428"/>
      <c r="EJ276" s="1428"/>
      <c r="EK276" s="1428"/>
      <c r="EL276" s="1428"/>
      <c r="EM276" s="1428"/>
      <c r="EN276" s="1428"/>
      <c r="EO276" s="1428"/>
      <c r="EP276" s="1428"/>
      <c r="EQ276" s="1428"/>
      <c r="ER276" s="1428"/>
      <c r="ES276" s="1428"/>
      <c r="ET276" s="1428"/>
      <c r="EU276" s="1428"/>
    </row>
    <row r="277" spans="1:151" s="1440" customFormat="1" ht="15" customHeight="1">
      <c r="A277" s="1834"/>
      <c r="B277" s="1623" t="s">
        <v>2248</v>
      </c>
      <c r="C277" s="1624"/>
      <c r="D277" s="1624"/>
      <c r="E277" s="1624"/>
      <c r="F277" s="1624"/>
      <c r="G277" s="1624"/>
      <c r="H277" s="1624"/>
      <c r="I277" s="1624"/>
      <c r="J277" s="1624"/>
      <c r="K277" s="1624"/>
      <c r="L277" s="1624"/>
      <c r="M277" s="1624"/>
      <c r="N277" s="1430"/>
      <c r="O277" s="1430"/>
      <c r="P277" s="1430"/>
      <c r="Q277" s="1430"/>
      <c r="R277" s="1430"/>
      <c r="S277" s="1430"/>
      <c r="T277" s="1430"/>
      <c r="U277" s="1430"/>
      <c r="V277" s="1430"/>
      <c r="W277" s="1430"/>
      <c r="X277" s="1430"/>
      <c r="Y277" s="1430"/>
      <c r="Z277" s="1430"/>
      <c r="AA277" s="1430"/>
      <c r="AB277" s="1430"/>
      <c r="AC277" s="1430"/>
      <c r="AD277" s="1430"/>
      <c r="AE277" s="1430"/>
      <c r="AF277" s="1430"/>
      <c r="AG277" s="1430"/>
      <c r="AH277" s="1430"/>
      <c r="AI277" s="1430"/>
      <c r="AJ277" s="1430"/>
      <c r="AK277" s="1430"/>
      <c r="AL277" s="1430"/>
      <c r="AM277" s="1430"/>
      <c r="AN277" s="1430"/>
      <c r="AO277" s="1430"/>
      <c r="AP277" s="1430"/>
      <c r="AQ277" s="1430"/>
      <c r="AR277" s="1430"/>
      <c r="AS277" s="1430"/>
      <c r="AT277" s="1430"/>
      <c r="AU277" s="1430"/>
      <c r="AV277" s="1704"/>
      <c r="AW277" s="1430"/>
      <c r="AX277" s="1430"/>
      <c r="AY277" s="1430"/>
      <c r="AZ277" s="1430"/>
      <c r="BA277" s="1430"/>
      <c r="BB277" s="1430"/>
      <c r="BC277" s="1430"/>
      <c r="BD277" s="1475"/>
      <c r="BE277" s="1571" t="s">
        <v>1216</v>
      </c>
      <c r="BF277" s="1436">
        <v>22</v>
      </c>
      <c r="BG277" s="1436">
        <v>15</v>
      </c>
      <c r="BH277" s="1436">
        <v>3</v>
      </c>
      <c r="BI277" s="1495" t="b">
        <f t="shared" ref="BI277:BI340" si="409">BH277&lt;=5</f>
        <v>1</v>
      </c>
      <c r="BJ277" s="1450" t="b">
        <f t="shared" si="368"/>
        <v>1</v>
      </c>
      <c r="BK277" s="1572">
        <f t="shared" si="369"/>
        <v>8.5</v>
      </c>
      <c r="BL277" s="1581">
        <f>IF(SUM(BL$263:BL276,BK277)&gt;$BR$4,0,BK277)</f>
        <v>8.5</v>
      </c>
      <c r="BM277" s="1436">
        <f t="shared" si="394"/>
        <v>0</v>
      </c>
      <c r="BN277" s="1495">
        <f t="shared" si="395"/>
        <v>0</v>
      </c>
      <c r="BO277" s="1437">
        <f t="shared" si="324"/>
        <v>0</v>
      </c>
      <c r="BP277" s="1762">
        <f t="shared" si="370"/>
        <v>0</v>
      </c>
      <c r="BQ277" s="1577">
        <f t="shared" si="371"/>
        <v>0</v>
      </c>
      <c r="BR277" s="1576">
        <f t="shared" si="396"/>
        <v>0</v>
      </c>
      <c r="BS277" s="1574">
        <f t="shared" si="372"/>
        <v>0</v>
      </c>
      <c r="BT277" s="1577">
        <f t="shared" si="373"/>
        <v>0</v>
      </c>
      <c r="BU277" s="1576">
        <f t="shared" si="397"/>
        <v>0</v>
      </c>
      <c r="BV277" s="1574">
        <f t="shared" si="374"/>
        <v>0</v>
      </c>
      <c r="BW277" s="1577">
        <f t="shared" si="375"/>
        <v>0</v>
      </c>
      <c r="BX277" s="1576">
        <f t="shared" si="398"/>
        <v>0</v>
      </c>
      <c r="BY277" s="1574">
        <f t="shared" si="376"/>
        <v>0</v>
      </c>
      <c r="BZ277" s="1577">
        <f t="shared" si="377"/>
        <v>0</v>
      </c>
      <c r="CA277" s="1576">
        <f t="shared" si="399"/>
        <v>0</v>
      </c>
      <c r="CB277" s="1495">
        <f t="shared" si="378"/>
        <v>0</v>
      </c>
      <c r="CC277" s="1577">
        <f t="shared" si="379"/>
        <v>0</v>
      </c>
      <c r="CD277" s="1576">
        <f t="shared" si="400"/>
        <v>0</v>
      </c>
      <c r="CE277" s="1495">
        <f t="shared" si="380"/>
        <v>0</v>
      </c>
      <c r="CF277" s="1577">
        <f t="shared" si="381"/>
        <v>0</v>
      </c>
      <c r="CG277" s="1576">
        <f t="shared" si="401"/>
        <v>0</v>
      </c>
      <c r="CH277" s="1495">
        <f t="shared" si="382"/>
        <v>0</v>
      </c>
      <c r="CI277" s="1577">
        <f t="shared" si="383"/>
        <v>0</v>
      </c>
      <c r="CJ277" s="1576">
        <f t="shared" si="402"/>
        <v>0</v>
      </c>
      <c r="CK277" s="1495">
        <f t="shared" si="384"/>
        <v>0</v>
      </c>
      <c r="CL277" s="1577">
        <f t="shared" si="385"/>
        <v>0</v>
      </c>
      <c r="CM277" s="1576">
        <f t="shared" si="403"/>
        <v>0</v>
      </c>
      <c r="CN277" s="1495">
        <f t="shared" si="386"/>
        <v>0</v>
      </c>
      <c r="CO277" s="1577">
        <f t="shared" si="387"/>
        <v>0</v>
      </c>
      <c r="CP277" s="1576">
        <f t="shared" si="404"/>
        <v>0</v>
      </c>
      <c r="CQ277" s="1495">
        <f t="shared" si="388"/>
        <v>0</v>
      </c>
      <c r="CR277" s="1577">
        <f t="shared" si="389"/>
        <v>0</v>
      </c>
      <c r="CS277" s="1576">
        <f t="shared" si="405"/>
        <v>0</v>
      </c>
      <c r="CT277" s="1495">
        <f t="shared" si="390"/>
        <v>0</v>
      </c>
      <c r="CU277" s="1577">
        <f t="shared" si="391"/>
        <v>0</v>
      </c>
      <c r="CV277" s="1576">
        <f t="shared" si="406"/>
        <v>0</v>
      </c>
      <c r="CW277" s="1495">
        <f t="shared" si="392"/>
        <v>0</v>
      </c>
      <c r="CX277" s="1577">
        <f t="shared" si="393"/>
        <v>0</v>
      </c>
      <c r="CY277" s="1576">
        <f t="shared" si="407"/>
        <v>0</v>
      </c>
      <c r="CZ277" s="1574">
        <f t="shared" si="408"/>
        <v>0</v>
      </c>
      <c r="DA277" s="1578">
        <f t="shared" ref="DA277:DA340" si="410">BR277+BU277+BX277+CA277+CD277+CG277+CJ277+CM277+CP277+CS277+CV277+CY277</f>
        <v>0</v>
      </c>
      <c r="DB277" s="1579">
        <f t="shared" ref="DB277:DB340" si="411">CZ277-DA277</f>
        <v>0</v>
      </c>
      <c r="DC277" s="1578">
        <f t="shared" ref="DC277:DE340" si="412">IF(DC276+$DB277&lt;0,0,IF(DC276+$DB277&gt;$F$405,$F$405,DC276+$DB277))</f>
        <v>0</v>
      </c>
      <c r="DD277" s="1578">
        <f t="shared" si="412"/>
        <v>0</v>
      </c>
      <c r="DE277" s="1578">
        <f t="shared" si="412"/>
        <v>0</v>
      </c>
      <c r="DF277" s="1578">
        <f t="shared" si="322"/>
        <v>0</v>
      </c>
      <c r="DG277" s="1538"/>
      <c r="DH277" s="1538"/>
      <c r="DI277" s="1422"/>
      <c r="DJ277" s="1428"/>
      <c r="DK277" s="1428"/>
      <c r="DL277" s="1428"/>
      <c r="DM277" s="1428"/>
      <c r="DN277" s="1428"/>
      <c r="DO277" s="1428"/>
      <c r="DP277" s="1428"/>
      <c r="DQ277" s="1422"/>
      <c r="DR277" s="1428"/>
      <c r="DS277" s="1428"/>
      <c r="DT277" s="1428"/>
      <c r="DU277" s="1428"/>
      <c r="DV277" s="1428"/>
      <c r="DW277" s="1428"/>
      <c r="DX277" s="1428"/>
      <c r="DY277" s="1428"/>
      <c r="DZ277" s="1428"/>
      <c r="EA277" s="1428"/>
      <c r="EB277" s="1428"/>
      <c r="EC277" s="1428"/>
      <c r="ED277" s="1428"/>
      <c r="EE277" s="1428"/>
      <c r="EF277" s="1428"/>
      <c r="EG277" s="1428"/>
      <c r="EH277" s="1428"/>
      <c r="EI277" s="1428"/>
      <c r="EJ277" s="1428"/>
      <c r="EK277" s="1428"/>
      <c r="EL277" s="1428"/>
      <c r="EM277" s="1428"/>
      <c r="EN277" s="1428"/>
      <c r="EO277" s="1428"/>
      <c r="EP277" s="1428"/>
      <c r="EQ277" s="1428"/>
      <c r="ER277" s="1428"/>
      <c r="ES277" s="1428"/>
      <c r="ET277" s="1428"/>
      <c r="EU277" s="1428"/>
    </row>
    <row r="278" spans="1:151" s="1440" customFormat="1" ht="15" customHeight="1">
      <c r="A278" s="1834"/>
      <c r="B278" s="1688" t="s">
        <v>2327</v>
      </c>
      <c r="J278" s="1816"/>
      <c r="K278" s="1720"/>
      <c r="L278" s="1720"/>
      <c r="M278" s="1720"/>
      <c r="N278" s="1430"/>
      <c r="O278" s="1430"/>
      <c r="P278" s="1430"/>
      <c r="Q278" s="1430"/>
      <c r="R278" s="1430"/>
      <c r="S278" s="1430"/>
      <c r="T278" s="1430"/>
      <c r="U278" s="1430"/>
      <c r="V278" s="1430"/>
      <c r="W278" s="1430"/>
      <c r="X278" s="1430"/>
      <c r="Y278" s="1430"/>
      <c r="Z278" s="1430"/>
      <c r="AA278" s="1430"/>
      <c r="AB278" s="1430"/>
      <c r="AC278" s="1430"/>
      <c r="AD278" s="1430"/>
      <c r="AE278" s="1430"/>
      <c r="AF278" s="1430"/>
      <c r="AG278" s="1430"/>
      <c r="AH278" s="1430"/>
      <c r="AI278" s="1430"/>
      <c r="AJ278" s="1430"/>
      <c r="AK278" s="1430"/>
      <c r="AL278" s="1430"/>
      <c r="AM278" s="1430"/>
      <c r="AN278" s="1430"/>
      <c r="AO278" s="1430"/>
      <c r="AP278" s="1430"/>
      <c r="AQ278" s="1430"/>
      <c r="AR278" s="1430"/>
      <c r="AS278" s="1430"/>
      <c r="AT278" s="1430"/>
      <c r="AU278" s="1430"/>
      <c r="AV278" s="1704"/>
      <c r="AW278" s="1430"/>
      <c r="AX278" s="1430"/>
      <c r="AY278" s="1430"/>
      <c r="AZ278" s="1430"/>
      <c r="BA278" s="1430"/>
      <c r="BB278" s="1430"/>
      <c r="BC278" s="1430"/>
      <c r="BD278" s="1475"/>
      <c r="BE278" s="1571" t="s">
        <v>1216</v>
      </c>
      <c r="BF278" s="1436">
        <v>22</v>
      </c>
      <c r="BG278" s="1436">
        <v>16</v>
      </c>
      <c r="BH278" s="1436">
        <v>4</v>
      </c>
      <c r="BI278" s="1495" t="b">
        <f t="shared" si="409"/>
        <v>1</v>
      </c>
      <c r="BJ278" s="1450" t="b">
        <f t="shared" si="368"/>
        <v>0</v>
      </c>
      <c r="BK278" s="1572">
        <f t="shared" si="369"/>
        <v>0</v>
      </c>
      <c r="BL278" s="1581">
        <f>IF(SUM(BL$263:BL277,BK278)&gt;$BR$4,0,BK278)</f>
        <v>0</v>
      </c>
      <c r="BM278" s="1436">
        <f t="shared" si="394"/>
        <v>0</v>
      </c>
      <c r="BN278" s="1495">
        <f t="shared" si="395"/>
        <v>0</v>
      </c>
      <c r="BO278" s="1437">
        <f t="shared" si="324"/>
        <v>0</v>
      </c>
      <c r="BP278" s="1762">
        <f t="shared" si="370"/>
        <v>0</v>
      </c>
      <c r="BQ278" s="1577">
        <f t="shared" si="371"/>
        <v>0</v>
      </c>
      <c r="BR278" s="1576">
        <f t="shared" si="396"/>
        <v>0</v>
      </c>
      <c r="BS278" s="1574">
        <f t="shared" si="372"/>
        <v>0</v>
      </c>
      <c r="BT278" s="1577">
        <f t="shared" si="373"/>
        <v>0</v>
      </c>
      <c r="BU278" s="1576">
        <f t="shared" si="397"/>
        <v>0</v>
      </c>
      <c r="BV278" s="1574">
        <f t="shared" si="374"/>
        <v>0</v>
      </c>
      <c r="BW278" s="1577">
        <f t="shared" si="375"/>
        <v>0</v>
      </c>
      <c r="BX278" s="1576">
        <f t="shared" si="398"/>
        <v>0</v>
      </c>
      <c r="BY278" s="1574">
        <f t="shared" si="376"/>
        <v>0</v>
      </c>
      <c r="BZ278" s="1577">
        <f t="shared" si="377"/>
        <v>0</v>
      </c>
      <c r="CA278" s="1576">
        <f t="shared" si="399"/>
        <v>0</v>
      </c>
      <c r="CB278" s="1495">
        <f t="shared" si="378"/>
        <v>0</v>
      </c>
      <c r="CC278" s="1577">
        <f t="shared" si="379"/>
        <v>0</v>
      </c>
      <c r="CD278" s="1576">
        <f t="shared" si="400"/>
        <v>0</v>
      </c>
      <c r="CE278" s="1495">
        <f t="shared" si="380"/>
        <v>0</v>
      </c>
      <c r="CF278" s="1577">
        <f t="shared" si="381"/>
        <v>0</v>
      </c>
      <c r="CG278" s="1576">
        <f t="shared" si="401"/>
        <v>0</v>
      </c>
      <c r="CH278" s="1495">
        <f t="shared" si="382"/>
        <v>0</v>
      </c>
      <c r="CI278" s="1577">
        <f t="shared" si="383"/>
        <v>0</v>
      </c>
      <c r="CJ278" s="1576">
        <f t="shared" si="402"/>
        <v>0</v>
      </c>
      <c r="CK278" s="1495">
        <f t="shared" si="384"/>
        <v>0</v>
      </c>
      <c r="CL278" s="1577">
        <f t="shared" si="385"/>
        <v>0</v>
      </c>
      <c r="CM278" s="1576">
        <f t="shared" si="403"/>
        <v>0</v>
      </c>
      <c r="CN278" s="1495">
        <f t="shared" si="386"/>
        <v>0</v>
      </c>
      <c r="CO278" s="1577">
        <f t="shared" si="387"/>
        <v>0</v>
      </c>
      <c r="CP278" s="1576">
        <f t="shared" si="404"/>
        <v>0</v>
      </c>
      <c r="CQ278" s="1495">
        <f t="shared" si="388"/>
        <v>0</v>
      </c>
      <c r="CR278" s="1577">
        <f t="shared" si="389"/>
        <v>0</v>
      </c>
      <c r="CS278" s="1576">
        <f t="shared" si="405"/>
        <v>0</v>
      </c>
      <c r="CT278" s="1495">
        <f t="shared" si="390"/>
        <v>0</v>
      </c>
      <c r="CU278" s="1577">
        <f t="shared" si="391"/>
        <v>0</v>
      </c>
      <c r="CV278" s="1576">
        <f t="shared" si="406"/>
        <v>0</v>
      </c>
      <c r="CW278" s="1495">
        <f t="shared" si="392"/>
        <v>0</v>
      </c>
      <c r="CX278" s="1577">
        <f t="shared" si="393"/>
        <v>0</v>
      </c>
      <c r="CY278" s="1576">
        <f t="shared" si="407"/>
        <v>0</v>
      </c>
      <c r="CZ278" s="1574">
        <f t="shared" si="408"/>
        <v>0</v>
      </c>
      <c r="DA278" s="1578">
        <f t="shared" si="410"/>
        <v>0</v>
      </c>
      <c r="DB278" s="1579">
        <f t="shared" si="411"/>
        <v>0</v>
      </c>
      <c r="DC278" s="1578">
        <f t="shared" si="412"/>
        <v>0</v>
      </c>
      <c r="DD278" s="1578">
        <f t="shared" si="412"/>
        <v>0</v>
      </c>
      <c r="DE278" s="1578">
        <f t="shared" si="412"/>
        <v>0</v>
      </c>
      <c r="DF278" s="1578">
        <f t="shared" ref="DF278:DF341" si="413">IF(DA278-(DE277+CZ278)&lt;0,0,DA278-(DE277+CZ278))</f>
        <v>0</v>
      </c>
      <c r="DG278" s="1538"/>
      <c r="DH278" s="1538"/>
      <c r="DI278" s="1422"/>
      <c r="DJ278" s="1428"/>
      <c r="DK278" s="1428"/>
      <c r="DL278" s="1428"/>
      <c r="DM278" s="1428"/>
      <c r="DN278" s="1428"/>
      <c r="DO278" s="1428"/>
      <c r="DP278" s="1428"/>
      <c r="DQ278" s="1422"/>
      <c r="DR278" s="1428"/>
      <c r="DS278" s="1428"/>
      <c r="DT278" s="1428"/>
      <c r="DU278" s="1428"/>
      <c r="DV278" s="1428"/>
      <c r="DW278" s="1428"/>
      <c r="DX278" s="1428"/>
      <c r="DY278" s="1428"/>
      <c r="DZ278" s="1428"/>
      <c r="EA278" s="1428"/>
      <c r="EB278" s="1428"/>
      <c r="EC278" s="1428"/>
      <c r="ED278" s="1428"/>
      <c r="EE278" s="1428"/>
      <c r="EF278" s="1428"/>
      <c r="EG278" s="1428"/>
      <c r="EH278" s="1428"/>
      <c r="EI278" s="1428"/>
      <c r="EJ278" s="1428"/>
      <c r="EK278" s="1428"/>
      <c r="EL278" s="1428"/>
      <c r="EM278" s="1428"/>
      <c r="EN278" s="1428"/>
      <c r="EO278" s="1428"/>
      <c r="EP278" s="1428"/>
      <c r="EQ278" s="1428"/>
      <c r="ER278" s="1428"/>
      <c r="ES278" s="1428"/>
      <c r="ET278" s="1428"/>
      <c r="EU278" s="1428"/>
    </row>
    <row r="279" spans="1:151" s="1440" customFormat="1" ht="15" customHeight="1">
      <c r="A279" s="1834"/>
      <c r="B279" s="1841" t="s">
        <v>2249</v>
      </c>
      <c r="C279" s="1667"/>
      <c r="D279" s="1667"/>
      <c r="E279" s="1637" t="s">
        <v>368</v>
      </c>
      <c r="J279" s="1816"/>
      <c r="K279" s="1720"/>
      <c r="L279" s="1720"/>
      <c r="M279" s="1720"/>
      <c r="N279" s="1430" t="s">
        <v>2226</v>
      </c>
      <c r="O279" s="1430"/>
      <c r="P279" s="1430"/>
      <c r="Q279" s="1430"/>
      <c r="R279" s="1430"/>
      <c r="S279" s="1430"/>
      <c r="T279" s="1430"/>
      <c r="U279" s="1430"/>
      <c r="V279" s="1430"/>
      <c r="W279" s="1430"/>
      <c r="X279" s="1430"/>
      <c r="Y279" s="1430"/>
      <c r="Z279" s="1430"/>
      <c r="AA279" s="1430"/>
      <c r="AB279" s="1430"/>
      <c r="AC279" s="1430"/>
      <c r="AD279" s="1430"/>
      <c r="AE279" s="1430"/>
      <c r="AF279" s="1430"/>
      <c r="AG279" s="1430"/>
      <c r="AH279" s="1430"/>
      <c r="AI279" s="1430"/>
      <c r="AJ279" s="1430"/>
      <c r="AK279" s="1430"/>
      <c r="AL279" s="1430"/>
      <c r="AM279" s="1430"/>
      <c r="AN279" s="1430"/>
      <c r="AO279" s="1430"/>
      <c r="AP279" s="1430"/>
      <c r="AQ279" s="1430"/>
      <c r="AR279" s="1430"/>
      <c r="AS279" s="1430"/>
      <c r="AT279" s="1430"/>
      <c r="AU279" s="1430"/>
      <c r="AV279" s="1704"/>
      <c r="AW279" s="1430"/>
      <c r="AX279" s="1430"/>
      <c r="AY279" s="1430"/>
      <c r="AZ279" s="1430"/>
      <c r="BA279" s="1430"/>
      <c r="BB279" s="1430"/>
      <c r="BC279" s="1430"/>
      <c r="BD279" s="1475"/>
      <c r="BE279" s="1571" t="s">
        <v>1216</v>
      </c>
      <c r="BF279" s="1436">
        <v>22</v>
      </c>
      <c r="BG279" s="1436">
        <v>17</v>
      </c>
      <c r="BH279" s="1436">
        <v>5</v>
      </c>
      <c r="BI279" s="1495" t="b">
        <f t="shared" si="409"/>
        <v>1</v>
      </c>
      <c r="BJ279" s="1450" t="b">
        <f t="shared" si="368"/>
        <v>0</v>
      </c>
      <c r="BK279" s="1572">
        <f t="shared" si="369"/>
        <v>0</v>
      </c>
      <c r="BL279" s="1581">
        <f>IF(SUM(BL$263:BL278,BK279)&gt;$BR$4,0,BK279)</f>
        <v>0</v>
      </c>
      <c r="BM279" s="1436">
        <f t="shared" si="394"/>
        <v>0</v>
      </c>
      <c r="BN279" s="1495">
        <f t="shared" si="395"/>
        <v>0</v>
      </c>
      <c r="BO279" s="1437">
        <f t="shared" si="324"/>
        <v>0</v>
      </c>
      <c r="BP279" s="1762">
        <f t="shared" si="370"/>
        <v>0</v>
      </c>
      <c r="BQ279" s="1577">
        <f t="shared" si="371"/>
        <v>0</v>
      </c>
      <c r="BR279" s="1576">
        <f t="shared" si="396"/>
        <v>0</v>
      </c>
      <c r="BS279" s="1574">
        <f t="shared" si="372"/>
        <v>0</v>
      </c>
      <c r="BT279" s="1577">
        <f t="shared" si="373"/>
        <v>0</v>
      </c>
      <c r="BU279" s="1576">
        <f t="shared" si="397"/>
        <v>0</v>
      </c>
      <c r="BV279" s="1574">
        <f t="shared" si="374"/>
        <v>0</v>
      </c>
      <c r="BW279" s="1577">
        <f t="shared" si="375"/>
        <v>0</v>
      </c>
      <c r="BX279" s="1576">
        <f t="shared" si="398"/>
        <v>0</v>
      </c>
      <c r="BY279" s="1574">
        <f t="shared" si="376"/>
        <v>0</v>
      </c>
      <c r="BZ279" s="1577">
        <f t="shared" si="377"/>
        <v>0</v>
      </c>
      <c r="CA279" s="1576">
        <f t="shared" si="399"/>
        <v>0</v>
      </c>
      <c r="CB279" s="1495">
        <f t="shared" si="378"/>
        <v>0</v>
      </c>
      <c r="CC279" s="1577">
        <f t="shared" si="379"/>
        <v>0</v>
      </c>
      <c r="CD279" s="1576">
        <f t="shared" si="400"/>
        <v>0</v>
      </c>
      <c r="CE279" s="1495">
        <f t="shared" si="380"/>
        <v>0</v>
      </c>
      <c r="CF279" s="1577">
        <f t="shared" si="381"/>
        <v>0</v>
      </c>
      <c r="CG279" s="1576">
        <f t="shared" si="401"/>
        <v>0</v>
      </c>
      <c r="CH279" s="1495">
        <f t="shared" si="382"/>
        <v>0</v>
      </c>
      <c r="CI279" s="1577">
        <f t="shared" si="383"/>
        <v>0</v>
      </c>
      <c r="CJ279" s="1576">
        <f t="shared" si="402"/>
        <v>0</v>
      </c>
      <c r="CK279" s="1495">
        <f t="shared" si="384"/>
        <v>0</v>
      </c>
      <c r="CL279" s="1577">
        <f t="shared" si="385"/>
        <v>0</v>
      </c>
      <c r="CM279" s="1576">
        <f t="shared" si="403"/>
        <v>0</v>
      </c>
      <c r="CN279" s="1495">
        <f t="shared" si="386"/>
        <v>0</v>
      </c>
      <c r="CO279" s="1577">
        <f t="shared" si="387"/>
        <v>0</v>
      </c>
      <c r="CP279" s="1576">
        <f t="shared" si="404"/>
        <v>0</v>
      </c>
      <c r="CQ279" s="1495">
        <f t="shared" si="388"/>
        <v>0</v>
      </c>
      <c r="CR279" s="1577">
        <f t="shared" si="389"/>
        <v>0</v>
      </c>
      <c r="CS279" s="1576">
        <f t="shared" si="405"/>
        <v>0</v>
      </c>
      <c r="CT279" s="1495">
        <f t="shared" si="390"/>
        <v>0</v>
      </c>
      <c r="CU279" s="1577">
        <f t="shared" si="391"/>
        <v>0</v>
      </c>
      <c r="CV279" s="1576">
        <f t="shared" si="406"/>
        <v>0</v>
      </c>
      <c r="CW279" s="1495">
        <f t="shared" si="392"/>
        <v>0</v>
      </c>
      <c r="CX279" s="1577">
        <f t="shared" si="393"/>
        <v>0</v>
      </c>
      <c r="CY279" s="1576">
        <f t="shared" si="407"/>
        <v>0</v>
      </c>
      <c r="CZ279" s="1574">
        <f t="shared" si="408"/>
        <v>0</v>
      </c>
      <c r="DA279" s="1578">
        <f t="shared" si="410"/>
        <v>0</v>
      </c>
      <c r="DB279" s="1579">
        <f t="shared" si="411"/>
        <v>0</v>
      </c>
      <c r="DC279" s="1578">
        <f t="shared" si="412"/>
        <v>0</v>
      </c>
      <c r="DD279" s="1578">
        <f t="shared" si="412"/>
        <v>0</v>
      </c>
      <c r="DE279" s="1578">
        <f t="shared" si="412"/>
        <v>0</v>
      </c>
      <c r="DF279" s="1578">
        <f t="shared" si="413"/>
        <v>0</v>
      </c>
      <c r="DG279" s="1538"/>
      <c r="DH279" s="1538"/>
      <c r="DI279" s="1422"/>
      <c r="DJ279" s="1428"/>
      <c r="DK279" s="1428"/>
      <c r="DL279" s="1428"/>
      <c r="DM279" s="1428"/>
      <c r="DN279" s="1428"/>
      <c r="DO279" s="1428"/>
      <c r="DP279" s="1428"/>
      <c r="DQ279" s="1422"/>
      <c r="DR279" s="1428"/>
      <c r="DS279" s="1428"/>
      <c r="DT279" s="1428"/>
      <c r="DU279" s="1428"/>
      <c r="DV279" s="1428"/>
      <c r="DW279" s="1428"/>
      <c r="DX279" s="1428"/>
      <c r="DY279" s="1428"/>
      <c r="DZ279" s="1428"/>
      <c r="EA279" s="1428"/>
      <c r="EB279" s="1428"/>
      <c r="EC279" s="1428"/>
      <c r="ED279" s="1428"/>
      <c r="EE279" s="1428"/>
      <c r="EF279" s="1428"/>
      <c r="EG279" s="1428"/>
      <c r="EH279" s="1428"/>
      <c r="EI279" s="1428"/>
      <c r="EJ279" s="1428"/>
      <c r="EK279" s="1428"/>
      <c r="EL279" s="1428"/>
      <c r="EM279" s="1428"/>
      <c r="EN279" s="1428"/>
      <c r="EO279" s="1428"/>
      <c r="EP279" s="1428"/>
      <c r="EQ279" s="1428"/>
      <c r="ER279" s="1428"/>
      <c r="ES279" s="1428"/>
      <c r="ET279" s="1428"/>
      <c r="EU279" s="1428"/>
    </row>
    <row r="280" spans="1:151" s="1440" customFormat="1" ht="15" customHeight="1">
      <c r="A280" s="1834"/>
      <c r="J280" s="1816"/>
      <c r="K280" s="1720"/>
      <c r="L280" s="1720"/>
      <c r="M280" s="1720"/>
      <c r="N280" s="1430" t="b">
        <f>E279="Yes"</f>
        <v>0</v>
      </c>
      <c r="O280" s="1430"/>
      <c r="P280" s="1430"/>
      <c r="Q280" s="1430"/>
      <c r="R280" s="1430"/>
      <c r="S280" s="1430"/>
      <c r="T280" s="1430"/>
      <c r="U280" s="1430"/>
      <c r="V280" s="1430"/>
      <c r="W280" s="1430"/>
      <c r="X280" s="1430"/>
      <c r="Y280" s="1430"/>
      <c r="Z280" s="1430"/>
      <c r="AA280" s="1430"/>
      <c r="AB280" s="1430"/>
      <c r="AC280" s="1430"/>
      <c r="AD280" s="1430"/>
      <c r="AE280" s="1430"/>
      <c r="AF280" s="1430"/>
      <c r="AG280" s="1430"/>
      <c r="AH280" s="1430"/>
      <c r="AI280" s="1430"/>
      <c r="AJ280" s="1430"/>
      <c r="AK280" s="1430"/>
      <c r="AL280" s="1430"/>
      <c r="AM280" s="1430"/>
      <c r="AN280" s="1430"/>
      <c r="AO280" s="1430"/>
      <c r="AP280" s="1430"/>
      <c r="AQ280" s="1430"/>
      <c r="AR280" s="1430"/>
      <c r="AS280" s="1430"/>
      <c r="AT280" s="1430"/>
      <c r="AU280" s="1430"/>
      <c r="AV280" s="1704"/>
      <c r="AW280" s="1430"/>
      <c r="AX280" s="1430"/>
      <c r="AY280" s="1430"/>
      <c r="AZ280" s="1430"/>
      <c r="BA280" s="1430"/>
      <c r="BB280" s="1430"/>
      <c r="BC280" s="1430"/>
      <c r="BD280" s="1475"/>
      <c r="BE280" s="1571" t="s">
        <v>1216</v>
      </c>
      <c r="BF280" s="1436">
        <v>22</v>
      </c>
      <c r="BG280" s="1436">
        <v>18</v>
      </c>
      <c r="BH280" s="1436">
        <v>6</v>
      </c>
      <c r="BI280" s="1495" t="b">
        <f t="shared" si="409"/>
        <v>0</v>
      </c>
      <c r="BJ280" s="1450" t="b">
        <f t="shared" si="368"/>
        <v>0</v>
      </c>
      <c r="BK280" s="1572">
        <f t="shared" si="369"/>
        <v>0</v>
      </c>
      <c r="BL280" s="1581">
        <f>IF(SUM(BL$263:BL279,BK280)&gt;$BR$4,0,BK280)</f>
        <v>0</v>
      </c>
      <c r="BM280" s="1436">
        <f t="shared" si="394"/>
        <v>0</v>
      </c>
      <c r="BN280" s="1495">
        <f t="shared" si="395"/>
        <v>0</v>
      </c>
      <c r="BO280" s="1437">
        <f t="shared" si="324"/>
        <v>0</v>
      </c>
      <c r="BP280" s="1762">
        <f t="shared" si="370"/>
        <v>0</v>
      </c>
      <c r="BQ280" s="1577">
        <f t="shared" si="371"/>
        <v>0</v>
      </c>
      <c r="BR280" s="1576">
        <f t="shared" si="396"/>
        <v>0</v>
      </c>
      <c r="BS280" s="1574">
        <f t="shared" si="372"/>
        <v>0</v>
      </c>
      <c r="BT280" s="1577">
        <f t="shared" si="373"/>
        <v>0</v>
      </c>
      <c r="BU280" s="1576">
        <f t="shared" si="397"/>
        <v>0</v>
      </c>
      <c r="BV280" s="1574">
        <f t="shared" si="374"/>
        <v>0</v>
      </c>
      <c r="BW280" s="1577">
        <f t="shared" si="375"/>
        <v>0</v>
      </c>
      <c r="BX280" s="1576">
        <f t="shared" si="398"/>
        <v>0</v>
      </c>
      <c r="BY280" s="1574">
        <f t="shared" si="376"/>
        <v>0</v>
      </c>
      <c r="BZ280" s="1577">
        <f t="shared" si="377"/>
        <v>0</v>
      </c>
      <c r="CA280" s="1576">
        <f t="shared" si="399"/>
        <v>0</v>
      </c>
      <c r="CB280" s="1495">
        <f t="shared" si="378"/>
        <v>0</v>
      </c>
      <c r="CC280" s="1577">
        <f t="shared" si="379"/>
        <v>0</v>
      </c>
      <c r="CD280" s="1576">
        <f t="shared" si="400"/>
        <v>0</v>
      </c>
      <c r="CE280" s="1495">
        <f t="shared" si="380"/>
        <v>0</v>
      </c>
      <c r="CF280" s="1577">
        <f t="shared" si="381"/>
        <v>0</v>
      </c>
      <c r="CG280" s="1576">
        <f t="shared" si="401"/>
        <v>0</v>
      </c>
      <c r="CH280" s="1495">
        <f t="shared" si="382"/>
        <v>0</v>
      </c>
      <c r="CI280" s="1577">
        <f t="shared" si="383"/>
        <v>0</v>
      </c>
      <c r="CJ280" s="1576">
        <f t="shared" si="402"/>
        <v>0</v>
      </c>
      <c r="CK280" s="1495">
        <f t="shared" si="384"/>
        <v>0</v>
      </c>
      <c r="CL280" s="1577">
        <f t="shared" si="385"/>
        <v>0</v>
      </c>
      <c r="CM280" s="1576">
        <f t="shared" si="403"/>
        <v>0</v>
      </c>
      <c r="CN280" s="1495">
        <f t="shared" si="386"/>
        <v>0</v>
      </c>
      <c r="CO280" s="1577">
        <f t="shared" si="387"/>
        <v>0</v>
      </c>
      <c r="CP280" s="1576">
        <f t="shared" si="404"/>
        <v>0</v>
      </c>
      <c r="CQ280" s="1495">
        <f t="shared" si="388"/>
        <v>0</v>
      </c>
      <c r="CR280" s="1577">
        <f t="shared" si="389"/>
        <v>0</v>
      </c>
      <c r="CS280" s="1576">
        <f t="shared" si="405"/>
        <v>0</v>
      </c>
      <c r="CT280" s="1495">
        <f t="shared" si="390"/>
        <v>0</v>
      </c>
      <c r="CU280" s="1577">
        <f t="shared" si="391"/>
        <v>0</v>
      </c>
      <c r="CV280" s="1576">
        <f t="shared" si="406"/>
        <v>0</v>
      </c>
      <c r="CW280" s="1495">
        <f t="shared" si="392"/>
        <v>0</v>
      </c>
      <c r="CX280" s="1577">
        <f t="shared" si="393"/>
        <v>0</v>
      </c>
      <c r="CY280" s="1576">
        <f t="shared" si="407"/>
        <v>0</v>
      </c>
      <c r="CZ280" s="1574">
        <f t="shared" si="408"/>
        <v>0</v>
      </c>
      <c r="DA280" s="1578">
        <f t="shared" si="410"/>
        <v>0</v>
      </c>
      <c r="DB280" s="1579">
        <f t="shared" si="411"/>
        <v>0</v>
      </c>
      <c r="DC280" s="1578">
        <f t="shared" si="412"/>
        <v>0</v>
      </c>
      <c r="DD280" s="1578">
        <f t="shared" si="412"/>
        <v>0</v>
      </c>
      <c r="DE280" s="1578">
        <f t="shared" si="412"/>
        <v>0</v>
      </c>
      <c r="DF280" s="1578">
        <f t="shared" si="413"/>
        <v>0</v>
      </c>
      <c r="DG280" s="1538"/>
      <c r="DH280" s="1538"/>
      <c r="DI280" s="1422"/>
      <c r="DJ280" s="1428"/>
      <c r="DK280" s="1428"/>
      <c r="DL280" s="1428"/>
      <c r="DM280" s="1428"/>
      <c r="DN280" s="1428"/>
      <c r="DO280" s="1428"/>
      <c r="DP280" s="1428"/>
      <c r="DQ280" s="1422"/>
      <c r="DR280" s="1428"/>
      <c r="DS280" s="1428"/>
      <c r="DT280" s="1428"/>
      <c r="DU280" s="1428"/>
      <c r="DV280" s="1428"/>
      <c r="DW280" s="1428"/>
      <c r="DX280" s="1428"/>
      <c r="DY280" s="1428"/>
      <c r="DZ280" s="1428"/>
      <c r="EA280" s="1428"/>
      <c r="EB280" s="1428"/>
      <c r="EC280" s="1428"/>
      <c r="ED280" s="1428"/>
      <c r="EE280" s="1428"/>
      <c r="EF280" s="1428"/>
      <c r="EG280" s="1428"/>
      <c r="EH280" s="1428"/>
      <c r="EI280" s="1428"/>
      <c r="EJ280" s="1428"/>
      <c r="EK280" s="1428"/>
      <c r="EL280" s="1428"/>
      <c r="EM280" s="1428"/>
      <c r="EN280" s="1428"/>
      <c r="EO280" s="1428"/>
      <c r="EP280" s="1428"/>
      <c r="EQ280" s="1428"/>
      <c r="ER280" s="1428"/>
      <c r="ES280" s="1428"/>
      <c r="ET280" s="1428"/>
      <c r="EU280" s="1428"/>
    </row>
    <row r="281" spans="1:151" s="1440" customFormat="1" ht="28.5" customHeight="1">
      <c r="A281" s="1834"/>
      <c r="J281" s="1816"/>
      <c r="K281" s="1720"/>
      <c r="L281" s="1720"/>
      <c r="M281" s="1720"/>
      <c r="N281" s="1430"/>
      <c r="O281" s="1430"/>
      <c r="P281" s="1430"/>
      <c r="Q281" s="1430"/>
      <c r="R281" s="1430"/>
      <c r="S281" s="1430"/>
      <c r="T281" s="1430"/>
      <c r="U281" s="1430"/>
      <c r="V281" s="1430"/>
      <c r="W281" s="1430"/>
      <c r="X281" s="1430"/>
      <c r="Y281" s="1430"/>
      <c r="Z281" s="1430"/>
      <c r="AA281" s="1430"/>
      <c r="AB281" s="1430"/>
      <c r="AC281" s="1430"/>
      <c r="AD281" s="1430"/>
      <c r="AE281" s="1430"/>
      <c r="AF281" s="1430"/>
      <c r="AG281" s="1430"/>
      <c r="AH281" s="1430"/>
      <c r="AI281" s="1430"/>
      <c r="AJ281" s="1430"/>
      <c r="AK281" s="1430"/>
      <c r="AL281" s="1430"/>
      <c r="AM281" s="1430"/>
      <c r="AN281" s="1430"/>
      <c r="AO281" s="1430"/>
      <c r="AP281" s="1430"/>
      <c r="AQ281" s="1430"/>
      <c r="AR281" s="1430"/>
      <c r="AS281" s="1430"/>
      <c r="AT281" s="1430"/>
      <c r="AU281" s="1430"/>
      <c r="AV281" s="1704"/>
      <c r="AW281" s="1430"/>
      <c r="AX281" s="1430"/>
      <c r="AY281" s="1430"/>
      <c r="AZ281" s="1430"/>
      <c r="BA281" s="1430"/>
      <c r="BB281" s="1430"/>
      <c r="BC281" s="1430"/>
      <c r="BD281" s="1475"/>
      <c r="BE281" s="1571" t="s">
        <v>1216</v>
      </c>
      <c r="BF281" s="1436">
        <v>22</v>
      </c>
      <c r="BG281" s="1436">
        <v>19</v>
      </c>
      <c r="BH281" s="1436">
        <v>7</v>
      </c>
      <c r="BI281" s="1495" t="b">
        <f t="shared" si="409"/>
        <v>0</v>
      </c>
      <c r="BJ281" s="1450" t="b">
        <f t="shared" si="368"/>
        <v>0</v>
      </c>
      <c r="BK281" s="1572">
        <f t="shared" si="369"/>
        <v>0</v>
      </c>
      <c r="BL281" s="1581">
        <f>IF(SUM(BL$263:BL280,BK281)&gt;$BR$4,0,BK281)</f>
        <v>0</v>
      </c>
      <c r="BM281" s="1436">
        <f t="shared" si="394"/>
        <v>0</v>
      </c>
      <c r="BN281" s="1495">
        <f t="shared" si="395"/>
        <v>0</v>
      </c>
      <c r="BO281" s="1437">
        <f t="shared" ref="BO281:BO344" si="414">BM281-BN281</f>
        <v>0</v>
      </c>
      <c r="BP281" s="1762">
        <f t="shared" si="370"/>
        <v>0</v>
      </c>
      <c r="BQ281" s="1577">
        <f t="shared" si="371"/>
        <v>0</v>
      </c>
      <c r="BR281" s="1576">
        <f t="shared" si="396"/>
        <v>0</v>
      </c>
      <c r="BS281" s="1574">
        <f t="shared" si="372"/>
        <v>0</v>
      </c>
      <c r="BT281" s="1577">
        <f t="shared" si="373"/>
        <v>0</v>
      </c>
      <c r="BU281" s="1576">
        <f t="shared" si="397"/>
        <v>0</v>
      </c>
      <c r="BV281" s="1574">
        <f t="shared" si="374"/>
        <v>0</v>
      </c>
      <c r="BW281" s="1577">
        <f t="shared" si="375"/>
        <v>0</v>
      </c>
      <c r="BX281" s="1576">
        <f t="shared" si="398"/>
        <v>0</v>
      </c>
      <c r="BY281" s="1574">
        <f t="shared" si="376"/>
        <v>0</v>
      </c>
      <c r="BZ281" s="1577">
        <f t="shared" si="377"/>
        <v>0</v>
      </c>
      <c r="CA281" s="1576">
        <f t="shared" si="399"/>
        <v>0</v>
      </c>
      <c r="CB281" s="1495">
        <f t="shared" si="378"/>
        <v>0</v>
      </c>
      <c r="CC281" s="1577">
        <f t="shared" si="379"/>
        <v>0</v>
      </c>
      <c r="CD281" s="1576">
        <f t="shared" si="400"/>
        <v>0</v>
      </c>
      <c r="CE281" s="1495">
        <f t="shared" si="380"/>
        <v>0</v>
      </c>
      <c r="CF281" s="1577">
        <f t="shared" si="381"/>
        <v>0</v>
      </c>
      <c r="CG281" s="1576">
        <f t="shared" si="401"/>
        <v>0</v>
      </c>
      <c r="CH281" s="1495">
        <f t="shared" si="382"/>
        <v>0</v>
      </c>
      <c r="CI281" s="1577">
        <f t="shared" si="383"/>
        <v>0</v>
      </c>
      <c r="CJ281" s="1576">
        <f t="shared" si="402"/>
        <v>0</v>
      </c>
      <c r="CK281" s="1495">
        <f t="shared" si="384"/>
        <v>0</v>
      </c>
      <c r="CL281" s="1577">
        <f t="shared" si="385"/>
        <v>0</v>
      </c>
      <c r="CM281" s="1576">
        <f t="shared" si="403"/>
        <v>0</v>
      </c>
      <c r="CN281" s="1495">
        <f t="shared" si="386"/>
        <v>0</v>
      </c>
      <c r="CO281" s="1577">
        <f t="shared" si="387"/>
        <v>0</v>
      </c>
      <c r="CP281" s="1576">
        <f t="shared" si="404"/>
        <v>0</v>
      </c>
      <c r="CQ281" s="1495">
        <f t="shared" si="388"/>
        <v>0</v>
      </c>
      <c r="CR281" s="1577">
        <f t="shared" si="389"/>
        <v>0</v>
      </c>
      <c r="CS281" s="1576">
        <f t="shared" si="405"/>
        <v>0</v>
      </c>
      <c r="CT281" s="1495">
        <f t="shared" si="390"/>
        <v>0</v>
      </c>
      <c r="CU281" s="1577">
        <f t="shared" si="391"/>
        <v>0</v>
      </c>
      <c r="CV281" s="1576">
        <f t="shared" si="406"/>
        <v>0</v>
      </c>
      <c r="CW281" s="1495">
        <f t="shared" si="392"/>
        <v>0</v>
      </c>
      <c r="CX281" s="1577">
        <f t="shared" si="393"/>
        <v>0</v>
      </c>
      <c r="CY281" s="1576">
        <f t="shared" si="407"/>
        <v>0</v>
      </c>
      <c r="CZ281" s="1574">
        <f t="shared" si="408"/>
        <v>0</v>
      </c>
      <c r="DA281" s="1578">
        <f t="shared" si="410"/>
        <v>0</v>
      </c>
      <c r="DB281" s="1579">
        <f t="shared" si="411"/>
        <v>0</v>
      </c>
      <c r="DC281" s="1578">
        <f t="shared" si="412"/>
        <v>0</v>
      </c>
      <c r="DD281" s="1578">
        <f t="shared" si="412"/>
        <v>0</v>
      </c>
      <c r="DE281" s="1578">
        <f t="shared" si="412"/>
        <v>0</v>
      </c>
      <c r="DF281" s="1578">
        <f t="shared" si="413"/>
        <v>0</v>
      </c>
      <c r="DG281" s="1538"/>
      <c r="DH281" s="1538"/>
      <c r="DI281" s="1422"/>
      <c r="DJ281" s="1428"/>
      <c r="DK281" s="1428"/>
      <c r="DL281" s="1428"/>
      <c r="DM281" s="1428"/>
      <c r="DN281" s="1428"/>
      <c r="DO281" s="1428"/>
      <c r="DP281" s="1428"/>
      <c r="DQ281" s="1422"/>
      <c r="DR281" s="1428"/>
      <c r="DS281" s="1428"/>
      <c r="DT281" s="1428"/>
      <c r="DU281" s="1428"/>
      <c r="DV281" s="1428"/>
      <c r="DW281" s="1428"/>
      <c r="DX281" s="1428"/>
      <c r="DY281" s="1428"/>
      <c r="DZ281" s="1428"/>
      <c r="EA281" s="1428"/>
      <c r="EB281" s="1428"/>
      <c r="EC281" s="1428"/>
      <c r="ED281" s="1428"/>
      <c r="EE281" s="1428"/>
      <c r="EF281" s="1428"/>
      <c r="EG281" s="1428"/>
      <c r="EH281" s="1428"/>
      <c r="EI281" s="1428"/>
      <c r="EJ281" s="1428"/>
      <c r="EK281" s="1428"/>
      <c r="EL281" s="1428"/>
      <c r="EM281" s="1428"/>
      <c r="EN281" s="1428"/>
      <c r="EO281" s="1428"/>
      <c r="EP281" s="1428"/>
      <c r="EQ281" s="1428"/>
      <c r="ER281" s="1428"/>
      <c r="ES281" s="1428"/>
      <c r="ET281" s="1428"/>
      <c r="EU281" s="1428"/>
    </row>
    <row r="282" spans="1:151" s="1440" customFormat="1" ht="14.25" customHeight="1">
      <c r="A282" s="1834"/>
      <c r="I282" s="2474" t="s">
        <v>2229</v>
      </c>
      <c r="J282" s="2474"/>
      <c r="K282" s="2484" t="s">
        <v>588</v>
      </c>
      <c r="L282" s="1720"/>
      <c r="M282" s="1720"/>
      <c r="N282" s="1430" t="s">
        <v>2227</v>
      </c>
      <c r="O282" s="1430"/>
      <c r="P282" s="1430" t="b">
        <f>G294&lt;N295</f>
        <v>0</v>
      </c>
      <c r="Q282" s="1430"/>
      <c r="R282" s="1430"/>
      <c r="S282" s="1430"/>
      <c r="T282" s="1430"/>
      <c r="U282" s="1430"/>
      <c r="V282" s="1430"/>
      <c r="W282" s="1430"/>
      <c r="X282" s="1430"/>
      <c r="Y282" s="1430"/>
      <c r="Z282" s="1430"/>
      <c r="AA282" s="1430"/>
      <c r="AB282" s="1430"/>
      <c r="AC282" s="1430"/>
      <c r="AD282" s="1430"/>
      <c r="AE282" s="1430"/>
      <c r="AF282" s="1430"/>
      <c r="AG282" s="1430"/>
      <c r="AH282" s="1430"/>
      <c r="AI282" s="1430"/>
      <c r="AJ282" s="1430"/>
      <c r="AK282" s="1430"/>
      <c r="AL282" s="1430"/>
      <c r="AM282" s="1430"/>
      <c r="AN282" s="1430"/>
      <c r="AO282" s="1430"/>
      <c r="AP282" s="1430"/>
      <c r="AQ282" s="1430"/>
      <c r="AR282" s="1430"/>
      <c r="AS282" s="1430"/>
      <c r="AT282" s="1430"/>
      <c r="AU282" s="1430"/>
      <c r="AV282" s="1704"/>
      <c r="AW282" s="1430"/>
      <c r="AX282" s="1430"/>
      <c r="AY282" s="1430"/>
      <c r="AZ282" s="1430"/>
      <c r="BA282" s="1430"/>
      <c r="BB282" s="1430"/>
      <c r="BC282" s="1430"/>
      <c r="BD282" s="1475"/>
      <c r="BE282" s="1571" t="s">
        <v>1216</v>
      </c>
      <c r="BF282" s="1436">
        <v>22</v>
      </c>
      <c r="BG282" s="1436">
        <v>20</v>
      </c>
      <c r="BH282" s="1436">
        <v>1</v>
      </c>
      <c r="BI282" s="1495" t="b">
        <f t="shared" si="409"/>
        <v>1</v>
      </c>
      <c r="BJ282" s="1450" t="b">
        <f t="shared" si="368"/>
        <v>0</v>
      </c>
      <c r="BK282" s="1572">
        <f t="shared" si="369"/>
        <v>0</v>
      </c>
      <c r="BL282" s="1581">
        <f>IF(SUM(BL$263:BL281,BK282)&gt;$BR$4,0,BK282)</f>
        <v>0</v>
      </c>
      <c r="BM282" s="1436">
        <f t="shared" si="394"/>
        <v>0</v>
      </c>
      <c r="BN282" s="1495">
        <f t="shared" si="395"/>
        <v>0</v>
      </c>
      <c r="BO282" s="1437">
        <f t="shared" si="414"/>
        <v>0</v>
      </c>
      <c r="BP282" s="1762">
        <f t="shared" si="370"/>
        <v>0</v>
      </c>
      <c r="BQ282" s="1577">
        <f t="shared" si="371"/>
        <v>0</v>
      </c>
      <c r="BR282" s="1576">
        <f t="shared" si="396"/>
        <v>0</v>
      </c>
      <c r="BS282" s="1574">
        <f t="shared" si="372"/>
        <v>0</v>
      </c>
      <c r="BT282" s="1577">
        <f t="shared" si="373"/>
        <v>0</v>
      </c>
      <c r="BU282" s="1576">
        <f t="shared" si="397"/>
        <v>0</v>
      </c>
      <c r="BV282" s="1574">
        <f t="shared" si="374"/>
        <v>0</v>
      </c>
      <c r="BW282" s="1577">
        <f t="shared" si="375"/>
        <v>0</v>
      </c>
      <c r="BX282" s="1576">
        <f t="shared" si="398"/>
        <v>0</v>
      </c>
      <c r="BY282" s="1574">
        <f t="shared" si="376"/>
        <v>0</v>
      </c>
      <c r="BZ282" s="1577">
        <f t="shared" si="377"/>
        <v>0</v>
      </c>
      <c r="CA282" s="1576">
        <f t="shared" si="399"/>
        <v>0</v>
      </c>
      <c r="CB282" s="1495">
        <f t="shared" si="378"/>
        <v>0</v>
      </c>
      <c r="CC282" s="1577">
        <f t="shared" si="379"/>
        <v>0</v>
      </c>
      <c r="CD282" s="1576">
        <f t="shared" si="400"/>
        <v>0</v>
      </c>
      <c r="CE282" s="1495">
        <f t="shared" si="380"/>
        <v>0</v>
      </c>
      <c r="CF282" s="1577">
        <f t="shared" si="381"/>
        <v>0</v>
      </c>
      <c r="CG282" s="1576">
        <f t="shared" si="401"/>
        <v>0</v>
      </c>
      <c r="CH282" s="1495">
        <f t="shared" si="382"/>
        <v>0</v>
      </c>
      <c r="CI282" s="1577">
        <f t="shared" si="383"/>
        <v>0</v>
      </c>
      <c r="CJ282" s="1576">
        <f t="shared" si="402"/>
        <v>0</v>
      </c>
      <c r="CK282" s="1495">
        <f t="shared" si="384"/>
        <v>0</v>
      </c>
      <c r="CL282" s="1577">
        <f t="shared" si="385"/>
        <v>0</v>
      </c>
      <c r="CM282" s="1576">
        <f t="shared" si="403"/>
        <v>0</v>
      </c>
      <c r="CN282" s="1495">
        <f t="shared" si="386"/>
        <v>0</v>
      </c>
      <c r="CO282" s="1577">
        <f t="shared" si="387"/>
        <v>0</v>
      </c>
      <c r="CP282" s="1576">
        <f t="shared" si="404"/>
        <v>0</v>
      </c>
      <c r="CQ282" s="1495">
        <f t="shared" si="388"/>
        <v>0</v>
      </c>
      <c r="CR282" s="1577">
        <f t="shared" si="389"/>
        <v>0</v>
      </c>
      <c r="CS282" s="1576">
        <f t="shared" si="405"/>
        <v>0</v>
      </c>
      <c r="CT282" s="1495">
        <f t="shared" si="390"/>
        <v>0</v>
      </c>
      <c r="CU282" s="1577">
        <f t="shared" si="391"/>
        <v>0</v>
      </c>
      <c r="CV282" s="1576">
        <f t="shared" si="406"/>
        <v>0</v>
      </c>
      <c r="CW282" s="1495">
        <f t="shared" si="392"/>
        <v>0</v>
      </c>
      <c r="CX282" s="1577">
        <f t="shared" si="393"/>
        <v>0</v>
      </c>
      <c r="CY282" s="1576">
        <f t="shared" si="407"/>
        <v>0</v>
      </c>
      <c r="CZ282" s="1574">
        <f t="shared" si="408"/>
        <v>0</v>
      </c>
      <c r="DA282" s="1578">
        <f t="shared" si="410"/>
        <v>0</v>
      </c>
      <c r="DB282" s="1579">
        <f t="shared" si="411"/>
        <v>0</v>
      </c>
      <c r="DC282" s="1578">
        <f t="shared" si="412"/>
        <v>0</v>
      </c>
      <c r="DD282" s="1578">
        <f t="shared" si="412"/>
        <v>0</v>
      </c>
      <c r="DE282" s="1578">
        <f t="shared" si="412"/>
        <v>0</v>
      </c>
      <c r="DF282" s="1578">
        <f t="shared" si="413"/>
        <v>0</v>
      </c>
      <c r="DG282" s="1538"/>
      <c r="DH282" s="1538"/>
      <c r="DI282" s="1422"/>
      <c r="DJ282" s="1428"/>
      <c r="DK282" s="1428"/>
      <c r="DL282" s="1428"/>
      <c r="DM282" s="1428"/>
      <c r="DN282" s="1428"/>
      <c r="DO282" s="1428"/>
      <c r="DP282" s="1428"/>
      <c r="DQ282" s="1422"/>
      <c r="DR282" s="1428"/>
      <c r="DS282" s="1428"/>
      <c r="DT282" s="1428"/>
      <c r="DU282" s="1428"/>
      <c r="DV282" s="1428"/>
      <c r="DW282" s="1428"/>
      <c r="DX282" s="1428"/>
      <c r="DY282" s="1428"/>
      <c r="DZ282" s="1428"/>
      <c r="EA282" s="1428"/>
      <c r="EB282" s="1428"/>
      <c r="EC282" s="1428"/>
      <c r="ED282" s="1428"/>
      <c r="EE282" s="1428"/>
      <c r="EF282" s="1428"/>
      <c r="EG282" s="1428"/>
      <c r="EH282" s="1428"/>
      <c r="EI282" s="1428"/>
      <c r="EJ282" s="1428"/>
      <c r="EK282" s="1428"/>
      <c r="EL282" s="1428"/>
      <c r="EM282" s="1428"/>
      <c r="EN282" s="1428"/>
      <c r="EO282" s="1428"/>
      <c r="EP282" s="1428"/>
      <c r="EQ282" s="1428"/>
      <c r="ER282" s="1428"/>
      <c r="ES282" s="1428"/>
      <c r="ET282" s="1428"/>
      <c r="EU282" s="1428"/>
    </row>
    <row r="283" spans="1:151" s="1440" customFormat="1" ht="15" customHeight="1">
      <c r="A283" s="1834"/>
      <c r="B283" s="1627" t="s">
        <v>2250</v>
      </c>
      <c r="C283" s="1842"/>
      <c r="D283" s="1842"/>
      <c r="E283" s="1627" t="s">
        <v>2251</v>
      </c>
      <c r="I283" s="2474"/>
      <c r="J283" s="2474"/>
      <c r="K283" s="2485"/>
      <c r="L283" s="1720"/>
      <c r="M283" s="1720"/>
      <c r="N283" s="1430" t="s">
        <v>2230</v>
      </c>
      <c r="O283" s="1430"/>
      <c r="P283" s="1430" t="b">
        <f>G294&gt;=N295</f>
        <v>1</v>
      </c>
      <c r="Q283" s="1430"/>
      <c r="R283" s="1430"/>
      <c r="S283" s="1430"/>
      <c r="T283" s="1430"/>
      <c r="U283" s="1430"/>
      <c r="V283" s="1430"/>
      <c r="W283" s="1430"/>
      <c r="X283" s="1430"/>
      <c r="Y283" s="1430"/>
      <c r="Z283" s="1430"/>
      <c r="AA283" s="1430"/>
      <c r="AB283" s="1430"/>
      <c r="AC283" s="1430"/>
      <c r="AD283" s="1430"/>
      <c r="AE283" s="1430"/>
      <c r="AF283" s="1430"/>
      <c r="AG283" s="1430"/>
      <c r="AH283" s="1430"/>
      <c r="AI283" s="1430"/>
      <c r="AJ283" s="1430"/>
      <c r="AK283" s="1430"/>
      <c r="AL283" s="1430"/>
      <c r="AM283" s="1430"/>
      <c r="AN283" s="1430"/>
      <c r="AO283" s="1430"/>
      <c r="AP283" s="1430"/>
      <c r="AQ283" s="1430"/>
      <c r="AR283" s="1430"/>
      <c r="AS283" s="1430"/>
      <c r="AT283" s="1430"/>
      <c r="AU283" s="1430"/>
      <c r="AV283" s="1704"/>
      <c r="AW283" s="1430"/>
      <c r="AX283" s="1430"/>
      <c r="AY283" s="1430"/>
      <c r="AZ283" s="1430"/>
      <c r="BA283" s="1430"/>
      <c r="BB283" s="1430"/>
      <c r="BC283" s="1430"/>
      <c r="BD283" s="1475"/>
      <c r="BE283" s="1571" t="s">
        <v>1216</v>
      </c>
      <c r="BF283" s="1436">
        <v>22</v>
      </c>
      <c r="BG283" s="1436">
        <v>21</v>
      </c>
      <c r="BH283" s="1436">
        <v>2</v>
      </c>
      <c r="BI283" s="1495" t="b">
        <f t="shared" si="409"/>
        <v>1</v>
      </c>
      <c r="BJ283" s="1450" t="b">
        <f t="shared" si="368"/>
        <v>0</v>
      </c>
      <c r="BK283" s="1572">
        <f t="shared" si="369"/>
        <v>0</v>
      </c>
      <c r="BL283" s="1581">
        <f>IF(SUM(BL$263:BL282,BK283)&gt;$BR$4,0,BK283)</f>
        <v>0</v>
      </c>
      <c r="BM283" s="1436">
        <f t="shared" si="394"/>
        <v>0</v>
      </c>
      <c r="BN283" s="1495">
        <f t="shared" si="395"/>
        <v>0</v>
      </c>
      <c r="BO283" s="1437">
        <f t="shared" si="414"/>
        <v>0</v>
      </c>
      <c r="BP283" s="1762">
        <f t="shared" si="370"/>
        <v>0</v>
      </c>
      <c r="BQ283" s="1577">
        <f t="shared" si="371"/>
        <v>0</v>
      </c>
      <c r="BR283" s="1576">
        <f t="shared" si="396"/>
        <v>0</v>
      </c>
      <c r="BS283" s="1574">
        <f t="shared" si="372"/>
        <v>0</v>
      </c>
      <c r="BT283" s="1577">
        <f t="shared" si="373"/>
        <v>0</v>
      </c>
      <c r="BU283" s="1576">
        <f t="shared" si="397"/>
        <v>0</v>
      </c>
      <c r="BV283" s="1574">
        <f t="shared" si="374"/>
        <v>0</v>
      </c>
      <c r="BW283" s="1577">
        <f t="shared" si="375"/>
        <v>0</v>
      </c>
      <c r="BX283" s="1576">
        <f t="shared" si="398"/>
        <v>0</v>
      </c>
      <c r="BY283" s="1574">
        <f t="shared" si="376"/>
        <v>0</v>
      </c>
      <c r="BZ283" s="1577">
        <f t="shared" si="377"/>
        <v>0</v>
      </c>
      <c r="CA283" s="1576">
        <f t="shared" si="399"/>
        <v>0</v>
      </c>
      <c r="CB283" s="1495">
        <f t="shared" si="378"/>
        <v>0</v>
      </c>
      <c r="CC283" s="1577">
        <f t="shared" si="379"/>
        <v>0</v>
      </c>
      <c r="CD283" s="1576">
        <f t="shared" si="400"/>
        <v>0</v>
      </c>
      <c r="CE283" s="1495">
        <f t="shared" si="380"/>
        <v>0</v>
      </c>
      <c r="CF283" s="1577">
        <f t="shared" si="381"/>
        <v>0</v>
      </c>
      <c r="CG283" s="1576">
        <f t="shared" si="401"/>
        <v>0</v>
      </c>
      <c r="CH283" s="1495">
        <f t="shared" si="382"/>
        <v>0</v>
      </c>
      <c r="CI283" s="1577">
        <f t="shared" si="383"/>
        <v>0</v>
      </c>
      <c r="CJ283" s="1576">
        <f t="shared" si="402"/>
        <v>0</v>
      </c>
      <c r="CK283" s="1495">
        <f t="shared" si="384"/>
        <v>0</v>
      </c>
      <c r="CL283" s="1577">
        <f t="shared" si="385"/>
        <v>0</v>
      </c>
      <c r="CM283" s="1576">
        <f t="shared" si="403"/>
        <v>0</v>
      </c>
      <c r="CN283" s="1495">
        <f t="shared" si="386"/>
        <v>0</v>
      </c>
      <c r="CO283" s="1577">
        <f t="shared" si="387"/>
        <v>0</v>
      </c>
      <c r="CP283" s="1576">
        <f t="shared" si="404"/>
        <v>0</v>
      </c>
      <c r="CQ283" s="1495">
        <f t="shared" si="388"/>
        <v>0</v>
      </c>
      <c r="CR283" s="1577">
        <f t="shared" si="389"/>
        <v>0</v>
      </c>
      <c r="CS283" s="1576">
        <f t="shared" si="405"/>
        <v>0</v>
      </c>
      <c r="CT283" s="1495">
        <f t="shared" si="390"/>
        <v>0</v>
      </c>
      <c r="CU283" s="1577">
        <f t="shared" si="391"/>
        <v>0</v>
      </c>
      <c r="CV283" s="1576">
        <f t="shared" si="406"/>
        <v>0</v>
      </c>
      <c r="CW283" s="1495">
        <f t="shared" si="392"/>
        <v>0</v>
      </c>
      <c r="CX283" s="1577">
        <f t="shared" si="393"/>
        <v>0</v>
      </c>
      <c r="CY283" s="1576">
        <f t="shared" si="407"/>
        <v>0</v>
      </c>
      <c r="CZ283" s="1574">
        <f t="shared" si="408"/>
        <v>0</v>
      </c>
      <c r="DA283" s="1578">
        <f t="shared" si="410"/>
        <v>0</v>
      </c>
      <c r="DB283" s="1579">
        <f t="shared" si="411"/>
        <v>0</v>
      </c>
      <c r="DC283" s="1578">
        <f t="shared" si="412"/>
        <v>0</v>
      </c>
      <c r="DD283" s="1578">
        <f t="shared" si="412"/>
        <v>0</v>
      </c>
      <c r="DE283" s="1578">
        <f t="shared" si="412"/>
        <v>0</v>
      </c>
      <c r="DF283" s="1578">
        <f t="shared" si="413"/>
        <v>0</v>
      </c>
      <c r="DG283" s="1538"/>
      <c r="DH283" s="1538"/>
      <c r="DI283" s="1422"/>
      <c r="DJ283" s="1428"/>
      <c r="DK283" s="1428"/>
      <c r="DL283" s="1428"/>
      <c r="DM283" s="1428"/>
      <c r="DN283" s="1428"/>
      <c r="DO283" s="1428"/>
      <c r="DP283" s="1428"/>
      <c r="DQ283" s="1422"/>
      <c r="DR283" s="1428"/>
      <c r="DS283" s="1428"/>
      <c r="DT283" s="1428"/>
      <c r="DU283" s="1428"/>
      <c r="DV283" s="1428"/>
      <c r="DW283" s="1428"/>
      <c r="DX283" s="1428"/>
      <c r="DY283" s="1428"/>
      <c r="DZ283" s="1428"/>
      <c r="EA283" s="1428"/>
      <c r="EB283" s="1428"/>
      <c r="EC283" s="1428"/>
      <c r="ED283" s="1428"/>
      <c r="EE283" s="1428"/>
      <c r="EF283" s="1428"/>
      <c r="EG283" s="1428"/>
      <c r="EH283" s="1428"/>
      <c r="EI283" s="1428"/>
      <c r="EJ283" s="1428"/>
      <c r="EK283" s="1428"/>
      <c r="EL283" s="1428"/>
      <c r="EM283" s="1428"/>
      <c r="EN283" s="1428"/>
      <c r="EO283" s="1428"/>
      <c r="EP283" s="1428"/>
      <c r="EQ283" s="1428"/>
      <c r="ER283" s="1428"/>
      <c r="ES283" s="1428"/>
      <c r="ET283" s="1428"/>
      <c r="EU283" s="1428"/>
    </row>
    <row r="284" spans="1:151" s="1440" customFormat="1" ht="42.75" customHeight="1">
      <c r="A284" s="1834"/>
      <c r="B284" s="1475"/>
      <c r="C284" s="1596" t="s">
        <v>2252</v>
      </c>
      <c r="I284" s="2474" t="s">
        <v>2253</v>
      </c>
      <c r="J284" s="2475"/>
      <c r="K284" s="1851"/>
      <c r="L284" s="1852" t="s">
        <v>2254</v>
      </c>
      <c r="M284" s="1720"/>
      <c r="N284" s="1430" t="s">
        <v>2232</v>
      </c>
      <c r="O284" s="1430"/>
      <c r="P284" s="1430" t="b">
        <f>K282="Yes"</f>
        <v>1</v>
      </c>
      <c r="Q284" s="1430"/>
      <c r="R284" s="1430"/>
      <c r="S284" s="1430"/>
      <c r="T284" s="1430"/>
      <c r="U284" s="1430"/>
      <c r="V284" s="1430"/>
      <c r="W284" s="1430"/>
      <c r="X284" s="1430"/>
      <c r="Y284" s="1430"/>
      <c r="Z284" s="1430"/>
      <c r="AA284" s="1430"/>
      <c r="AB284" s="1430"/>
      <c r="AC284" s="1430"/>
      <c r="AD284" s="1430"/>
      <c r="AE284" s="1430"/>
      <c r="AF284" s="1430"/>
      <c r="AG284" s="1430"/>
      <c r="AH284" s="1430"/>
      <c r="AI284" s="1430"/>
      <c r="AJ284" s="1430"/>
      <c r="AK284" s="1430"/>
      <c r="AL284" s="1430"/>
      <c r="AM284" s="1430"/>
      <c r="AN284" s="1430"/>
      <c r="AO284" s="1430"/>
      <c r="AP284" s="1430"/>
      <c r="AQ284" s="1430"/>
      <c r="AR284" s="1430"/>
      <c r="AS284" s="1430"/>
      <c r="AT284" s="1430"/>
      <c r="AU284" s="1430"/>
      <c r="AV284" s="1704"/>
      <c r="AW284" s="1430"/>
      <c r="AX284" s="1430"/>
      <c r="AY284" s="1430"/>
      <c r="AZ284" s="1430"/>
      <c r="BA284" s="1430"/>
      <c r="BB284" s="1430"/>
      <c r="BC284" s="1430"/>
      <c r="BD284" s="1475"/>
      <c r="BE284" s="1571" t="s">
        <v>1216</v>
      </c>
      <c r="BF284" s="1571">
        <v>22</v>
      </c>
      <c r="BG284" s="1571">
        <v>22</v>
      </c>
      <c r="BH284" s="1571">
        <v>3</v>
      </c>
      <c r="BI284" s="1853" t="b">
        <f t="shared" si="409"/>
        <v>1</v>
      </c>
      <c r="BJ284" s="1854" t="b">
        <f t="shared" si="368"/>
        <v>0</v>
      </c>
      <c r="BK284" s="1855">
        <f t="shared" si="369"/>
        <v>0</v>
      </c>
      <c r="BL284" s="1856">
        <f>IF(SUM(BL$263:BL283,BK284)&gt;$BR$4,0,BK284)</f>
        <v>0</v>
      </c>
      <c r="BM284" s="1571">
        <f t="shared" si="394"/>
        <v>0</v>
      </c>
      <c r="BN284" s="1853">
        <f t="shared" si="395"/>
        <v>0</v>
      </c>
      <c r="BO284" s="1857">
        <f t="shared" si="414"/>
        <v>0</v>
      </c>
      <c r="BP284" s="1762">
        <f t="shared" si="370"/>
        <v>0</v>
      </c>
      <c r="BQ284" s="1577">
        <f t="shared" si="371"/>
        <v>0</v>
      </c>
      <c r="BR284" s="1576">
        <f t="shared" si="396"/>
        <v>0</v>
      </c>
      <c r="BS284" s="1574">
        <f t="shared" si="372"/>
        <v>0</v>
      </c>
      <c r="BT284" s="1577">
        <f t="shared" si="373"/>
        <v>0</v>
      </c>
      <c r="BU284" s="1576">
        <f t="shared" si="397"/>
        <v>0</v>
      </c>
      <c r="BV284" s="1574">
        <f t="shared" si="374"/>
        <v>0</v>
      </c>
      <c r="BW284" s="1577">
        <f t="shared" si="375"/>
        <v>0</v>
      </c>
      <c r="BX284" s="1576">
        <f t="shared" si="398"/>
        <v>0</v>
      </c>
      <c r="BY284" s="1574">
        <f t="shared" si="376"/>
        <v>0</v>
      </c>
      <c r="BZ284" s="1577">
        <f t="shared" si="377"/>
        <v>0</v>
      </c>
      <c r="CA284" s="1576">
        <f t="shared" si="399"/>
        <v>0</v>
      </c>
      <c r="CB284" s="1853">
        <f t="shared" si="378"/>
        <v>0</v>
      </c>
      <c r="CC284" s="1577">
        <f t="shared" si="379"/>
        <v>0</v>
      </c>
      <c r="CD284" s="1576">
        <f t="shared" si="400"/>
        <v>0</v>
      </c>
      <c r="CE284" s="1853">
        <f t="shared" si="380"/>
        <v>0</v>
      </c>
      <c r="CF284" s="1577">
        <f t="shared" si="381"/>
        <v>0</v>
      </c>
      <c r="CG284" s="1576">
        <f t="shared" si="401"/>
        <v>0</v>
      </c>
      <c r="CH284" s="1853">
        <f t="shared" si="382"/>
        <v>0</v>
      </c>
      <c r="CI284" s="1577">
        <f t="shared" si="383"/>
        <v>0</v>
      </c>
      <c r="CJ284" s="1576">
        <f t="shared" si="402"/>
        <v>0</v>
      </c>
      <c r="CK284" s="1495">
        <f t="shared" si="384"/>
        <v>0</v>
      </c>
      <c r="CL284" s="1577">
        <f t="shared" si="385"/>
        <v>0</v>
      </c>
      <c r="CM284" s="1576">
        <f t="shared" si="403"/>
        <v>0</v>
      </c>
      <c r="CN284" s="1495">
        <f t="shared" si="386"/>
        <v>0</v>
      </c>
      <c r="CO284" s="1577">
        <f t="shared" si="387"/>
        <v>0</v>
      </c>
      <c r="CP284" s="1576">
        <f t="shared" si="404"/>
        <v>0</v>
      </c>
      <c r="CQ284" s="1495">
        <f t="shared" si="388"/>
        <v>0</v>
      </c>
      <c r="CR284" s="1577">
        <f t="shared" si="389"/>
        <v>0</v>
      </c>
      <c r="CS284" s="1576">
        <f t="shared" si="405"/>
        <v>0</v>
      </c>
      <c r="CT284" s="1495">
        <f t="shared" si="390"/>
        <v>0</v>
      </c>
      <c r="CU284" s="1577">
        <f t="shared" si="391"/>
        <v>0</v>
      </c>
      <c r="CV284" s="1576">
        <f t="shared" si="406"/>
        <v>0</v>
      </c>
      <c r="CW284" s="1495">
        <f t="shared" si="392"/>
        <v>0</v>
      </c>
      <c r="CX284" s="1577">
        <f t="shared" si="393"/>
        <v>0</v>
      </c>
      <c r="CY284" s="1576">
        <f t="shared" si="407"/>
        <v>0</v>
      </c>
      <c r="CZ284" s="1858">
        <f t="shared" si="408"/>
        <v>0</v>
      </c>
      <c r="DA284" s="1578">
        <f t="shared" si="410"/>
        <v>0</v>
      </c>
      <c r="DB284" s="1859">
        <f t="shared" si="411"/>
        <v>0</v>
      </c>
      <c r="DC284" s="1860">
        <f t="shared" si="412"/>
        <v>0</v>
      </c>
      <c r="DD284" s="1860">
        <f t="shared" si="412"/>
        <v>0</v>
      </c>
      <c r="DE284" s="1860">
        <f t="shared" si="412"/>
        <v>0</v>
      </c>
      <c r="DF284" s="1860">
        <f t="shared" si="413"/>
        <v>0</v>
      </c>
      <c r="DG284" s="1538"/>
      <c r="DH284" s="1538"/>
      <c r="DI284" s="1422"/>
      <c r="DJ284" s="1428"/>
      <c r="DK284" s="1428"/>
      <c r="DL284" s="1428"/>
      <c r="DM284" s="1428"/>
      <c r="DN284" s="1428"/>
      <c r="DO284" s="1428"/>
      <c r="DP284" s="1428"/>
      <c r="DQ284" s="1422"/>
      <c r="DR284" s="1428"/>
      <c r="DS284" s="1428"/>
      <c r="DT284" s="1428"/>
      <c r="DU284" s="1428"/>
      <c r="DV284" s="1428"/>
      <c r="DW284" s="1428"/>
      <c r="DX284" s="1428"/>
      <c r="DY284" s="1428"/>
      <c r="DZ284" s="1428"/>
      <c r="EA284" s="1428"/>
      <c r="EB284" s="1428"/>
      <c r="EC284" s="1428"/>
      <c r="ED284" s="1428"/>
      <c r="EE284" s="1428"/>
      <c r="EF284" s="1428"/>
      <c r="EG284" s="1428"/>
      <c r="EH284" s="1428"/>
      <c r="EI284" s="1428"/>
      <c r="EJ284" s="1428"/>
      <c r="EK284" s="1428"/>
      <c r="EL284" s="1428"/>
      <c r="EM284" s="1428"/>
      <c r="EN284" s="1428"/>
      <c r="EO284" s="1428"/>
      <c r="EP284" s="1428"/>
      <c r="EQ284" s="1428"/>
      <c r="ER284" s="1428"/>
      <c r="ES284" s="1428"/>
      <c r="ET284" s="1428"/>
      <c r="EU284" s="1428"/>
    </row>
    <row r="285" spans="1:151" s="1440" customFormat="1" ht="15" customHeight="1">
      <c r="A285" s="1834"/>
      <c r="B285" s="1600" t="s">
        <v>800</v>
      </c>
      <c r="C285" s="1723"/>
      <c r="E285" s="1841" t="s">
        <v>2255</v>
      </c>
      <c r="F285" s="1637" t="s">
        <v>2256</v>
      </c>
      <c r="H285" s="1764"/>
      <c r="I285" s="1720"/>
      <c r="J285" s="2476" t="s">
        <v>2238</v>
      </c>
      <c r="K285" s="2477" t="s">
        <v>2239</v>
      </c>
      <c r="L285" s="1720"/>
      <c r="M285" s="1720"/>
      <c r="N285" s="1430" t="s">
        <v>2234</v>
      </c>
      <c r="O285" s="1430"/>
      <c r="P285" s="1476" t="b">
        <f>OR(P283,P284)</f>
        <v>1</v>
      </c>
      <c r="Q285" s="1430"/>
      <c r="R285" s="1430"/>
      <c r="S285" s="1430"/>
      <c r="T285" s="1430"/>
      <c r="U285" s="1430"/>
      <c r="V285" s="1430"/>
      <c r="W285" s="1430"/>
      <c r="X285" s="1430"/>
      <c r="Y285" s="1430"/>
      <c r="Z285" s="1430"/>
      <c r="AA285" s="1430"/>
      <c r="AB285" s="1430"/>
      <c r="AC285" s="1430"/>
      <c r="AD285" s="1430"/>
      <c r="AE285" s="1430"/>
      <c r="AF285" s="1430"/>
      <c r="AG285" s="1430"/>
      <c r="AH285" s="1430"/>
      <c r="AI285" s="1430"/>
      <c r="AJ285" s="1430"/>
      <c r="AK285" s="1430"/>
      <c r="AL285" s="1430"/>
      <c r="AM285" s="1430"/>
      <c r="AN285" s="1430"/>
      <c r="AO285" s="1430"/>
      <c r="AP285" s="1430"/>
      <c r="AQ285" s="1430"/>
      <c r="AR285" s="1430"/>
      <c r="AS285" s="1430"/>
      <c r="AT285" s="1430"/>
      <c r="AU285" s="1430"/>
      <c r="AV285" s="1704"/>
      <c r="AW285" s="1430"/>
      <c r="AX285" s="1430"/>
      <c r="AY285" s="1430"/>
      <c r="AZ285" s="1430"/>
      <c r="BA285" s="1430"/>
      <c r="BB285" s="1430"/>
      <c r="BC285" s="1430"/>
      <c r="BD285" s="1475"/>
      <c r="BE285" s="1571" t="s">
        <v>1216</v>
      </c>
      <c r="BF285" s="1436">
        <v>22</v>
      </c>
      <c r="BG285" s="1436">
        <v>23</v>
      </c>
      <c r="BH285" s="1436">
        <v>4</v>
      </c>
      <c r="BI285" s="1495" t="b">
        <f t="shared" si="409"/>
        <v>1</v>
      </c>
      <c r="BJ285" s="1450" t="b">
        <f t="shared" si="368"/>
        <v>0</v>
      </c>
      <c r="BK285" s="1572">
        <f t="shared" si="369"/>
        <v>0</v>
      </c>
      <c r="BL285" s="1581">
        <f>IF(SUM(BL$263:BL284,BK285)&gt;$BR$4,0,BK285)</f>
        <v>0</v>
      </c>
      <c r="BM285" s="1436">
        <f t="shared" si="394"/>
        <v>0</v>
      </c>
      <c r="BN285" s="1495">
        <f t="shared" si="395"/>
        <v>0</v>
      </c>
      <c r="BO285" s="1437">
        <f t="shared" si="414"/>
        <v>0</v>
      </c>
      <c r="BP285" s="1762">
        <f t="shared" si="370"/>
        <v>0</v>
      </c>
      <c r="BQ285" s="1577">
        <f t="shared" si="371"/>
        <v>0</v>
      </c>
      <c r="BR285" s="1576">
        <f t="shared" si="396"/>
        <v>0</v>
      </c>
      <c r="BS285" s="1574">
        <f t="shared" si="372"/>
        <v>0</v>
      </c>
      <c r="BT285" s="1577">
        <f t="shared" si="373"/>
        <v>0</v>
      </c>
      <c r="BU285" s="1576">
        <f t="shared" si="397"/>
        <v>0</v>
      </c>
      <c r="BV285" s="1574">
        <f t="shared" si="374"/>
        <v>0</v>
      </c>
      <c r="BW285" s="1577">
        <f t="shared" si="375"/>
        <v>0</v>
      </c>
      <c r="BX285" s="1576">
        <f t="shared" si="398"/>
        <v>0</v>
      </c>
      <c r="BY285" s="1574">
        <f t="shared" si="376"/>
        <v>0</v>
      </c>
      <c r="BZ285" s="1577">
        <f t="shared" si="377"/>
        <v>0</v>
      </c>
      <c r="CA285" s="1576">
        <f t="shared" si="399"/>
        <v>0</v>
      </c>
      <c r="CB285" s="1495">
        <f t="shared" si="378"/>
        <v>0</v>
      </c>
      <c r="CC285" s="1577">
        <f t="shared" si="379"/>
        <v>0</v>
      </c>
      <c r="CD285" s="1576">
        <f t="shared" si="400"/>
        <v>0</v>
      </c>
      <c r="CE285" s="1495">
        <f t="shared" si="380"/>
        <v>0</v>
      </c>
      <c r="CF285" s="1577">
        <f t="shared" si="381"/>
        <v>0</v>
      </c>
      <c r="CG285" s="1576">
        <f t="shared" si="401"/>
        <v>0</v>
      </c>
      <c r="CH285" s="1495">
        <f t="shared" si="382"/>
        <v>0</v>
      </c>
      <c r="CI285" s="1577">
        <f t="shared" si="383"/>
        <v>0</v>
      </c>
      <c r="CJ285" s="1576">
        <f t="shared" si="402"/>
        <v>0</v>
      </c>
      <c r="CK285" s="1495">
        <f t="shared" si="384"/>
        <v>0</v>
      </c>
      <c r="CL285" s="1577">
        <f t="shared" si="385"/>
        <v>0</v>
      </c>
      <c r="CM285" s="1576">
        <f t="shared" si="403"/>
        <v>0</v>
      </c>
      <c r="CN285" s="1495">
        <f t="shared" si="386"/>
        <v>0</v>
      </c>
      <c r="CO285" s="1577">
        <f t="shared" si="387"/>
        <v>0</v>
      </c>
      <c r="CP285" s="1576">
        <f t="shared" si="404"/>
        <v>0</v>
      </c>
      <c r="CQ285" s="1495">
        <f t="shared" si="388"/>
        <v>0</v>
      </c>
      <c r="CR285" s="1577">
        <f t="shared" si="389"/>
        <v>0</v>
      </c>
      <c r="CS285" s="1576">
        <f t="shared" si="405"/>
        <v>0</v>
      </c>
      <c r="CT285" s="1495">
        <f t="shared" si="390"/>
        <v>0</v>
      </c>
      <c r="CU285" s="1577">
        <f t="shared" si="391"/>
        <v>0</v>
      </c>
      <c r="CV285" s="1576">
        <f t="shared" si="406"/>
        <v>0</v>
      </c>
      <c r="CW285" s="1495">
        <f t="shared" si="392"/>
        <v>0</v>
      </c>
      <c r="CX285" s="1577">
        <f t="shared" si="393"/>
        <v>0</v>
      </c>
      <c r="CY285" s="1576">
        <f t="shared" si="407"/>
        <v>0</v>
      </c>
      <c r="CZ285" s="1574">
        <f t="shared" si="408"/>
        <v>0</v>
      </c>
      <c r="DA285" s="1578">
        <f t="shared" si="410"/>
        <v>0</v>
      </c>
      <c r="DB285" s="1579">
        <f t="shared" si="411"/>
        <v>0</v>
      </c>
      <c r="DC285" s="1578">
        <f t="shared" si="412"/>
        <v>0</v>
      </c>
      <c r="DD285" s="1578">
        <f t="shared" si="412"/>
        <v>0</v>
      </c>
      <c r="DE285" s="1578">
        <f t="shared" si="412"/>
        <v>0</v>
      </c>
      <c r="DF285" s="1578">
        <f>IF(DA285-(DE284+CZ285)&lt;0,0,DA285-(DE284+CZ285))</f>
        <v>0</v>
      </c>
      <c r="DG285" s="1538"/>
      <c r="DH285" s="1538"/>
      <c r="DI285" s="1422"/>
      <c r="DJ285" s="1428"/>
      <c r="DK285" s="1428"/>
      <c r="DL285" s="1428"/>
      <c r="DM285" s="1428"/>
      <c r="DN285" s="1428"/>
      <c r="DO285" s="1428"/>
      <c r="DP285" s="1428"/>
      <c r="DQ285" s="1422"/>
      <c r="DR285" s="1428"/>
      <c r="DS285" s="1428"/>
      <c r="DT285" s="1428"/>
      <c r="DU285" s="1428"/>
      <c r="DV285" s="1428"/>
      <c r="DW285" s="1428"/>
      <c r="DX285" s="1428"/>
      <c r="DY285" s="1428"/>
      <c r="DZ285" s="1428"/>
      <c r="EA285" s="1428"/>
      <c r="EB285" s="1428"/>
      <c r="EC285" s="1428"/>
      <c r="ED285" s="1428"/>
      <c r="EE285" s="1428"/>
      <c r="EF285" s="1428"/>
      <c r="EG285" s="1428"/>
      <c r="EH285" s="1428"/>
      <c r="EI285" s="1428"/>
      <c r="EJ285" s="1428"/>
      <c r="EK285" s="1428"/>
      <c r="EL285" s="1428"/>
      <c r="EM285" s="1428"/>
      <c r="EN285" s="1428"/>
      <c r="EO285" s="1428"/>
      <c r="EP285" s="1428"/>
      <c r="EQ285" s="1428"/>
      <c r="ER285" s="1428"/>
      <c r="ES285" s="1428"/>
      <c r="ET285" s="1428"/>
      <c r="EU285" s="1428"/>
    </row>
    <row r="286" spans="1:151" s="1440" customFormat="1" ht="15" customHeight="1">
      <c r="A286" s="1834"/>
      <c r="B286" s="1600" t="s">
        <v>801</v>
      </c>
      <c r="C286" s="1723"/>
      <c r="E286" s="1841" t="s">
        <v>2257</v>
      </c>
      <c r="F286" s="1637" t="s">
        <v>588</v>
      </c>
      <c r="H286" s="1764"/>
      <c r="J286" s="2476"/>
      <c r="K286" s="2478"/>
      <c r="L286" s="1720"/>
      <c r="M286" s="1720"/>
      <c r="N286" s="1430" t="s">
        <v>2258</v>
      </c>
      <c r="O286" s="1430"/>
      <c r="P286" s="1430" t="b">
        <f>AND(OR(P283,P284),N280)</f>
        <v>0</v>
      </c>
      <c r="Q286" s="1430"/>
      <c r="R286" s="1430"/>
      <c r="S286" s="1430"/>
      <c r="T286" s="1430"/>
      <c r="U286" s="1430"/>
      <c r="V286" s="1430"/>
      <c r="W286" s="1430"/>
      <c r="X286" s="1430"/>
      <c r="Y286" s="1430"/>
      <c r="Z286" s="1430"/>
      <c r="AA286" s="1430"/>
      <c r="AB286" s="1430"/>
      <c r="AC286" s="1430"/>
      <c r="AD286" s="1430"/>
      <c r="AE286" s="1430"/>
      <c r="AF286" s="1430"/>
      <c r="AG286" s="1430"/>
      <c r="AH286" s="1430"/>
      <c r="AI286" s="1430"/>
      <c r="AJ286" s="1430"/>
      <c r="AK286" s="1430"/>
      <c r="AL286" s="1430"/>
      <c r="AM286" s="1430"/>
      <c r="AN286" s="1430"/>
      <c r="AO286" s="1430"/>
      <c r="AP286" s="1430"/>
      <c r="AQ286" s="1430"/>
      <c r="AR286" s="1430"/>
      <c r="AS286" s="1430"/>
      <c r="AT286" s="1430"/>
      <c r="AU286" s="1430"/>
      <c r="AV286" s="1704"/>
      <c r="AW286" s="1430"/>
      <c r="AX286" s="1430"/>
      <c r="AY286" s="1430"/>
      <c r="AZ286" s="1430"/>
      <c r="BA286" s="1430"/>
      <c r="BB286" s="1430"/>
      <c r="BC286" s="1430"/>
      <c r="BD286" s="1475"/>
      <c r="BE286" s="1571" t="s">
        <v>1216</v>
      </c>
      <c r="BF286" s="1436">
        <v>22</v>
      </c>
      <c r="BG286" s="1436">
        <v>24</v>
      </c>
      <c r="BH286" s="1436">
        <v>5</v>
      </c>
      <c r="BI286" s="1495" t="b">
        <f t="shared" si="409"/>
        <v>1</v>
      </c>
      <c r="BJ286" s="1450" t="b">
        <f t="shared" si="368"/>
        <v>0</v>
      </c>
      <c r="BK286" s="1572">
        <f t="shared" si="369"/>
        <v>0</v>
      </c>
      <c r="BL286" s="1581">
        <f>IF(SUM(BL$263:BL285,BK286)&gt;$BR$4,0,BK286)</f>
        <v>0</v>
      </c>
      <c r="BM286" s="1436">
        <f t="shared" si="394"/>
        <v>0</v>
      </c>
      <c r="BN286" s="1495">
        <f t="shared" si="395"/>
        <v>0</v>
      </c>
      <c r="BO286" s="1437">
        <f t="shared" si="414"/>
        <v>0</v>
      </c>
      <c r="BP286" s="1762">
        <f t="shared" si="370"/>
        <v>0</v>
      </c>
      <c r="BQ286" s="1577">
        <f t="shared" si="371"/>
        <v>0</v>
      </c>
      <c r="BR286" s="1576">
        <f t="shared" si="396"/>
        <v>0</v>
      </c>
      <c r="BS286" s="1574">
        <f t="shared" si="372"/>
        <v>0</v>
      </c>
      <c r="BT286" s="1577">
        <f t="shared" si="373"/>
        <v>0</v>
      </c>
      <c r="BU286" s="1576">
        <f t="shared" si="397"/>
        <v>0</v>
      </c>
      <c r="BV286" s="1574">
        <f t="shared" si="374"/>
        <v>0</v>
      </c>
      <c r="BW286" s="1577">
        <f t="shared" si="375"/>
        <v>0</v>
      </c>
      <c r="BX286" s="1576">
        <f t="shared" si="398"/>
        <v>0</v>
      </c>
      <c r="BY286" s="1574">
        <f t="shared" si="376"/>
        <v>0</v>
      </c>
      <c r="BZ286" s="1577">
        <f t="shared" si="377"/>
        <v>0</v>
      </c>
      <c r="CA286" s="1576">
        <f t="shared" si="399"/>
        <v>0</v>
      </c>
      <c r="CB286" s="1495">
        <f t="shared" si="378"/>
        <v>0</v>
      </c>
      <c r="CC286" s="1577">
        <f t="shared" si="379"/>
        <v>0</v>
      </c>
      <c r="CD286" s="1576">
        <f t="shared" si="400"/>
        <v>0</v>
      </c>
      <c r="CE286" s="1495">
        <f t="shared" si="380"/>
        <v>0</v>
      </c>
      <c r="CF286" s="1577">
        <f t="shared" si="381"/>
        <v>0</v>
      </c>
      <c r="CG286" s="1576">
        <f t="shared" si="401"/>
        <v>0</v>
      </c>
      <c r="CH286" s="1495">
        <f t="shared" si="382"/>
        <v>0</v>
      </c>
      <c r="CI286" s="1577">
        <f t="shared" si="383"/>
        <v>0</v>
      </c>
      <c r="CJ286" s="1576">
        <f t="shared" si="402"/>
        <v>0</v>
      </c>
      <c r="CK286" s="1495">
        <f t="shared" si="384"/>
        <v>0</v>
      </c>
      <c r="CL286" s="1577">
        <f t="shared" si="385"/>
        <v>0</v>
      </c>
      <c r="CM286" s="1576">
        <f t="shared" si="403"/>
        <v>0</v>
      </c>
      <c r="CN286" s="1495">
        <f t="shared" si="386"/>
        <v>0</v>
      </c>
      <c r="CO286" s="1577">
        <f t="shared" si="387"/>
        <v>0</v>
      </c>
      <c r="CP286" s="1576">
        <f t="shared" si="404"/>
        <v>0</v>
      </c>
      <c r="CQ286" s="1495">
        <f t="shared" si="388"/>
        <v>0</v>
      </c>
      <c r="CR286" s="1577">
        <f t="shared" si="389"/>
        <v>0</v>
      </c>
      <c r="CS286" s="1576">
        <f t="shared" si="405"/>
        <v>0</v>
      </c>
      <c r="CT286" s="1495">
        <f t="shared" si="390"/>
        <v>0</v>
      </c>
      <c r="CU286" s="1577">
        <f t="shared" si="391"/>
        <v>0</v>
      </c>
      <c r="CV286" s="1576">
        <f t="shared" si="406"/>
        <v>0</v>
      </c>
      <c r="CW286" s="1495">
        <f t="shared" si="392"/>
        <v>0</v>
      </c>
      <c r="CX286" s="1577">
        <f t="shared" si="393"/>
        <v>0</v>
      </c>
      <c r="CY286" s="1576">
        <f t="shared" si="407"/>
        <v>0</v>
      </c>
      <c r="CZ286" s="1574">
        <f t="shared" si="408"/>
        <v>0</v>
      </c>
      <c r="DA286" s="1578">
        <f t="shared" si="410"/>
        <v>0</v>
      </c>
      <c r="DB286" s="1579">
        <f t="shared" si="411"/>
        <v>0</v>
      </c>
      <c r="DC286" s="1578">
        <f t="shared" si="412"/>
        <v>0</v>
      </c>
      <c r="DD286" s="1578">
        <f t="shared" si="412"/>
        <v>0</v>
      </c>
      <c r="DE286" s="1578">
        <f t="shared" si="412"/>
        <v>0</v>
      </c>
      <c r="DF286" s="1578">
        <f t="shared" si="413"/>
        <v>0</v>
      </c>
      <c r="DG286" s="1861"/>
      <c r="DH286" s="1861"/>
      <c r="DI286" s="1422"/>
      <c r="DJ286" s="1428"/>
      <c r="DK286" s="1428"/>
      <c r="DL286" s="1428"/>
      <c r="DM286" s="1428"/>
      <c r="DN286" s="1428"/>
      <c r="DO286" s="1428"/>
      <c r="DP286" s="1428"/>
      <c r="DQ286" s="1422"/>
      <c r="DR286" s="1428"/>
      <c r="DS286" s="1428"/>
      <c r="DT286" s="1428"/>
      <c r="DU286" s="1428"/>
      <c r="DV286" s="1428"/>
      <c r="DW286" s="1428"/>
      <c r="DX286" s="1428"/>
      <c r="DY286" s="1428"/>
      <c r="DZ286" s="1428"/>
      <c r="EA286" s="1428"/>
      <c r="EB286" s="1428"/>
      <c r="EC286" s="1428"/>
      <c r="ED286" s="1428"/>
      <c r="EE286" s="1428"/>
      <c r="EF286" s="1428"/>
      <c r="EG286" s="1428"/>
      <c r="EH286" s="1428"/>
      <c r="EI286" s="1428"/>
      <c r="EJ286" s="1428"/>
      <c r="EK286" s="1428"/>
      <c r="EL286" s="1428"/>
      <c r="EM286" s="1428"/>
      <c r="EN286" s="1428"/>
      <c r="EO286" s="1428"/>
      <c r="EP286" s="1428"/>
      <c r="EQ286" s="1428"/>
      <c r="ER286" s="1428"/>
      <c r="ES286" s="1428"/>
      <c r="ET286" s="1428"/>
      <c r="EU286" s="1428"/>
    </row>
    <row r="287" spans="1:151" s="1440" customFormat="1" ht="15" customHeight="1">
      <c r="A287" s="1834"/>
      <c r="B287" s="1600" t="s">
        <v>881</v>
      </c>
      <c r="C287" s="1723"/>
      <c r="E287" s="1841" t="s">
        <v>2259</v>
      </c>
      <c r="F287" s="1637" t="s">
        <v>588</v>
      </c>
      <c r="H287" s="1764"/>
      <c r="I287" s="1600" t="s">
        <v>800</v>
      </c>
      <c r="J287" s="1862">
        <f>C285*$K$284/1000*$P$286</f>
        <v>0</v>
      </c>
      <c r="K287" s="1862">
        <f t="shared" ref="K287:K298" si="415">C285*$G$291/1000*$P$286</f>
        <v>0</v>
      </c>
      <c r="L287" s="1720"/>
      <c r="M287" s="1720"/>
      <c r="N287" s="1430"/>
      <c r="O287" s="1430"/>
      <c r="P287" s="1430"/>
      <c r="Q287" s="1430"/>
      <c r="R287" s="1430"/>
      <c r="S287" s="1430"/>
      <c r="T287" s="1430"/>
      <c r="U287" s="1430"/>
      <c r="V287" s="1430"/>
      <c r="W287" s="1430"/>
      <c r="X287" s="1430"/>
      <c r="Y287" s="1430"/>
      <c r="Z287" s="1430"/>
      <c r="AA287" s="1430"/>
      <c r="AB287" s="1430"/>
      <c r="AC287" s="1430"/>
      <c r="AD287" s="1430"/>
      <c r="AE287" s="1430"/>
      <c r="AF287" s="1430"/>
      <c r="AG287" s="1430"/>
      <c r="AH287" s="1430"/>
      <c r="AI287" s="1430"/>
      <c r="AJ287" s="1430"/>
      <c r="AK287" s="1430"/>
      <c r="AL287" s="1430"/>
      <c r="AM287" s="1430"/>
      <c r="AN287" s="1430"/>
      <c r="AO287" s="1430"/>
      <c r="AP287" s="1430"/>
      <c r="AQ287" s="1430"/>
      <c r="AR287" s="1430"/>
      <c r="AS287" s="1430"/>
      <c r="AT287" s="1430"/>
      <c r="AU287" s="1430"/>
      <c r="AV287" s="1704"/>
      <c r="AW287" s="1430"/>
      <c r="AX287" s="1430"/>
      <c r="AY287" s="1430"/>
      <c r="AZ287" s="1430"/>
      <c r="BA287" s="1430"/>
      <c r="BB287" s="1430"/>
      <c r="BC287" s="1430"/>
      <c r="BD287" s="1475"/>
      <c r="BE287" s="1571" t="s">
        <v>1216</v>
      </c>
      <c r="BF287" s="1436">
        <v>22</v>
      </c>
      <c r="BG287" s="1436">
        <v>25</v>
      </c>
      <c r="BH287" s="1436">
        <v>6</v>
      </c>
      <c r="BI287" s="1495" t="b">
        <f t="shared" si="409"/>
        <v>0</v>
      </c>
      <c r="BJ287" s="1450" t="b">
        <f t="shared" si="368"/>
        <v>0</v>
      </c>
      <c r="BK287" s="1572">
        <f t="shared" si="369"/>
        <v>0</v>
      </c>
      <c r="BL287" s="1581">
        <f>IF(SUM(BL$263:BL286,BK287)&gt;$BR$4,0,BK287)</f>
        <v>0</v>
      </c>
      <c r="BM287" s="1436">
        <f t="shared" si="394"/>
        <v>0</v>
      </c>
      <c r="BN287" s="1495">
        <f t="shared" si="395"/>
        <v>0</v>
      </c>
      <c r="BO287" s="1437">
        <f t="shared" si="414"/>
        <v>0</v>
      </c>
      <c r="BP287" s="1762">
        <f t="shared" si="370"/>
        <v>0</v>
      </c>
      <c r="BQ287" s="1577">
        <f t="shared" si="371"/>
        <v>0</v>
      </c>
      <c r="BR287" s="1576">
        <f t="shared" si="396"/>
        <v>0</v>
      </c>
      <c r="BS287" s="1574">
        <f t="shared" si="372"/>
        <v>0</v>
      </c>
      <c r="BT287" s="1577">
        <f t="shared" si="373"/>
        <v>0</v>
      </c>
      <c r="BU287" s="1576">
        <f t="shared" si="397"/>
        <v>0</v>
      </c>
      <c r="BV287" s="1574">
        <f t="shared" si="374"/>
        <v>0</v>
      </c>
      <c r="BW287" s="1577">
        <f t="shared" si="375"/>
        <v>0</v>
      </c>
      <c r="BX287" s="1576">
        <f t="shared" si="398"/>
        <v>0</v>
      </c>
      <c r="BY287" s="1574">
        <f t="shared" si="376"/>
        <v>0</v>
      </c>
      <c r="BZ287" s="1577">
        <f t="shared" si="377"/>
        <v>0</v>
      </c>
      <c r="CA287" s="1576">
        <f t="shared" si="399"/>
        <v>0</v>
      </c>
      <c r="CB287" s="1495">
        <f t="shared" si="378"/>
        <v>0</v>
      </c>
      <c r="CC287" s="1577">
        <f t="shared" si="379"/>
        <v>0</v>
      </c>
      <c r="CD287" s="1576">
        <f t="shared" si="400"/>
        <v>0</v>
      </c>
      <c r="CE287" s="1495">
        <f t="shared" si="380"/>
        <v>0</v>
      </c>
      <c r="CF287" s="1577">
        <f t="shared" si="381"/>
        <v>0</v>
      </c>
      <c r="CG287" s="1576">
        <f t="shared" si="401"/>
        <v>0</v>
      </c>
      <c r="CH287" s="1495">
        <f t="shared" si="382"/>
        <v>0</v>
      </c>
      <c r="CI287" s="1577">
        <f t="shared" si="383"/>
        <v>0</v>
      </c>
      <c r="CJ287" s="1576">
        <f t="shared" si="402"/>
        <v>0</v>
      </c>
      <c r="CK287" s="1495">
        <f t="shared" si="384"/>
        <v>0</v>
      </c>
      <c r="CL287" s="1577">
        <f t="shared" si="385"/>
        <v>0</v>
      </c>
      <c r="CM287" s="1576">
        <f t="shared" si="403"/>
        <v>0</v>
      </c>
      <c r="CN287" s="1495">
        <f t="shared" si="386"/>
        <v>0</v>
      </c>
      <c r="CO287" s="1577">
        <f t="shared" si="387"/>
        <v>0</v>
      </c>
      <c r="CP287" s="1576">
        <f t="shared" si="404"/>
        <v>0</v>
      </c>
      <c r="CQ287" s="1495">
        <f t="shared" si="388"/>
        <v>0</v>
      </c>
      <c r="CR287" s="1577">
        <f t="shared" si="389"/>
        <v>0</v>
      </c>
      <c r="CS287" s="1576">
        <f t="shared" si="405"/>
        <v>0</v>
      </c>
      <c r="CT287" s="1495">
        <f t="shared" si="390"/>
        <v>0</v>
      </c>
      <c r="CU287" s="1577">
        <f t="shared" si="391"/>
        <v>0</v>
      </c>
      <c r="CV287" s="1576">
        <f t="shared" si="406"/>
        <v>0</v>
      </c>
      <c r="CW287" s="1495">
        <f t="shared" si="392"/>
        <v>0</v>
      </c>
      <c r="CX287" s="1577">
        <f t="shared" si="393"/>
        <v>0</v>
      </c>
      <c r="CY287" s="1576">
        <f t="shared" si="407"/>
        <v>0</v>
      </c>
      <c r="CZ287" s="1574">
        <f t="shared" si="408"/>
        <v>0</v>
      </c>
      <c r="DA287" s="1578">
        <f t="shared" si="410"/>
        <v>0</v>
      </c>
      <c r="DB287" s="1579">
        <f t="shared" si="411"/>
        <v>0</v>
      </c>
      <c r="DC287" s="1578">
        <f t="shared" si="412"/>
        <v>0</v>
      </c>
      <c r="DD287" s="1578">
        <f t="shared" si="412"/>
        <v>0</v>
      </c>
      <c r="DE287" s="1578">
        <f t="shared" si="412"/>
        <v>0</v>
      </c>
      <c r="DF287" s="1578">
        <f t="shared" si="413"/>
        <v>0</v>
      </c>
      <c r="DG287" s="1538"/>
      <c r="DH287" s="1538"/>
      <c r="DI287" s="1422"/>
      <c r="DJ287" s="1428"/>
      <c r="DK287" s="1428"/>
      <c r="DL287" s="1428"/>
      <c r="DM287" s="1428"/>
      <c r="DN287" s="1428"/>
      <c r="DO287" s="1428"/>
      <c r="DP287" s="1428"/>
      <c r="DQ287" s="1422"/>
      <c r="DR287" s="1428"/>
      <c r="DS287" s="1428"/>
      <c r="DT287" s="1428"/>
      <c r="DU287" s="1428"/>
      <c r="DV287" s="1428"/>
      <c r="DW287" s="1428"/>
      <c r="DX287" s="1428"/>
      <c r="DY287" s="1428"/>
      <c r="DZ287" s="1428"/>
      <c r="EA287" s="1428"/>
      <c r="EB287" s="1428"/>
      <c r="EC287" s="1428"/>
      <c r="ED287" s="1428"/>
      <c r="EE287" s="1428"/>
      <c r="EF287" s="1428"/>
      <c r="EG287" s="1428"/>
      <c r="EH287" s="1428"/>
      <c r="EI287" s="1428"/>
      <c r="EJ287" s="1428"/>
      <c r="EK287" s="1428"/>
      <c r="EL287" s="1428"/>
      <c r="EM287" s="1428"/>
      <c r="EN287" s="1428"/>
      <c r="EO287" s="1428"/>
      <c r="EP287" s="1428"/>
      <c r="EQ287" s="1428"/>
      <c r="ER287" s="1428"/>
      <c r="ES287" s="1428"/>
      <c r="ET287" s="1428"/>
      <c r="EU287" s="1428"/>
    </row>
    <row r="288" spans="1:151" s="1440" customFormat="1" ht="15" customHeight="1">
      <c r="A288" s="1834"/>
      <c r="B288" s="1600" t="s">
        <v>882</v>
      </c>
      <c r="C288" s="1723"/>
      <c r="E288" s="1841" t="s">
        <v>2260</v>
      </c>
      <c r="F288" s="1637" t="s">
        <v>588</v>
      </c>
      <c r="H288" s="1764"/>
      <c r="I288" s="1600" t="s">
        <v>801</v>
      </c>
      <c r="J288" s="1862">
        <f t="shared" ref="J288:J298" si="416">C286*$K$284/1000*$P$286</f>
        <v>0</v>
      </c>
      <c r="K288" s="1862">
        <f t="shared" si="415"/>
        <v>0</v>
      </c>
      <c r="L288" s="1720"/>
      <c r="M288" s="1720"/>
      <c r="N288" s="1430"/>
      <c r="O288" s="1430"/>
      <c r="P288" s="1430"/>
      <c r="Q288" s="1430" t="s">
        <v>2261</v>
      </c>
      <c r="R288" s="1430"/>
      <c r="S288" s="1430" t="s">
        <v>2262</v>
      </c>
      <c r="T288" s="1430"/>
      <c r="U288" s="1430"/>
      <c r="V288" s="1430"/>
      <c r="W288" s="1430"/>
      <c r="X288" s="1430"/>
      <c r="Y288" s="1430"/>
      <c r="Z288" s="1430"/>
      <c r="AA288" s="1430"/>
      <c r="AB288" s="1430"/>
      <c r="AC288" s="1430"/>
      <c r="AD288" s="1430"/>
      <c r="AE288" s="1430"/>
      <c r="AF288" s="1430"/>
      <c r="AG288" s="1430"/>
      <c r="AH288" s="1430"/>
      <c r="AI288" s="1430"/>
      <c r="AJ288" s="1430"/>
      <c r="AK288" s="1430"/>
      <c r="AL288" s="1430"/>
      <c r="AM288" s="1430"/>
      <c r="AN288" s="1430"/>
      <c r="AO288" s="1430"/>
      <c r="AP288" s="1430"/>
      <c r="AQ288" s="1430"/>
      <c r="AR288" s="1430"/>
      <c r="AS288" s="1430"/>
      <c r="AT288" s="1430"/>
      <c r="AU288" s="1430"/>
      <c r="AV288" s="1704"/>
      <c r="AW288" s="1430"/>
      <c r="AX288" s="1430"/>
      <c r="AY288" s="1430"/>
      <c r="AZ288" s="1430"/>
      <c r="BA288" s="1430"/>
      <c r="BB288" s="1430"/>
      <c r="BC288" s="1430"/>
      <c r="BD288" s="1475"/>
      <c r="BE288" s="1571" t="s">
        <v>1216</v>
      </c>
      <c r="BF288" s="1436">
        <v>22</v>
      </c>
      <c r="BG288" s="1436">
        <v>26</v>
      </c>
      <c r="BH288" s="1436">
        <v>7</v>
      </c>
      <c r="BI288" s="1495" t="b">
        <f t="shared" si="409"/>
        <v>0</v>
      </c>
      <c r="BJ288" s="1450" t="b">
        <f t="shared" si="368"/>
        <v>0</v>
      </c>
      <c r="BK288" s="1572">
        <f t="shared" si="369"/>
        <v>0</v>
      </c>
      <c r="BL288" s="1581">
        <f>IF(SUM(BL$263:BL287,BK288)&gt;$BR$4,0,BK288)</f>
        <v>0</v>
      </c>
      <c r="BM288" s="1436">
        <f t="shared" si="394"/>
        <v>0</v>
      </c>
      <c r="BN288" s="1495">
        <f t="shared" si="395"/>
        <v>0</v>
      </c>
      <c r="BO288" s="1437">
        <f t="shared" si="414"/>
        <v>0</v>
      </c>
      <c r="BP288" s="1762">
        <f t="shared" si="370"/>
        <v>0</v>
      </c>
      <c r="BQ288" s="1577">
        <f t="shared" si="371"/>
        <v>0</v>
      </c>
      <c r="BR288" s="1576">
        <f t="shared" si="396"/>
        <v>0</v>
      </c>
      <c r="BS288" s="1574">
        <f t="shared" si="372"/>
        <v>0</v>
      </c>
      <c r="BT288" s="1577">
        <f t="shared" si="373"/>
        <v>0</v>
      </c>
      <c r="BU288" s="1576">
        <f t="shared" si="397"/>
        <v>0</v>
      </c>
      <c r="BV288" s="1574">
        <f t="shared" si="374"/>
        <v>0</v>
      </c>
      <c r="BW288" s="1577">
        <f t="shared" si="375"/>
        <v>0</v>
      </c>
      <c r="BX288" s="1576">
        <f t="shared" si="398"/>
        <v>0</v>
      </c>
      <c r="BY288" s="1574">
        <f t="shared" si="376"/>
        <v>0</v>
      </c>
      <c r="BZ288" s="1577">
        <f t="shared" si="377"/>
        <v>0</v>
      </c>
      <c r="CA288" s="1576">
        <f t="shared" si="399"/>
        <v>0</v>
      </c>
      <c r="CB288" s="1495">
        <f t="shared" si="378"/>
        <v>0</v>
      </c>
      <c r="CC288" s="1577">
        <f t="shared" si="379"/>
        <v>0</v>
      </c>
      <c r="CD288" s="1576">
        <f t="shared" si="400"/>
        <v>0</v>
      </c>
      <c r="CE288" s="1495">
        <f t="shared" si="380"/>
        <v>0</v>
      </c>
      <c r="CF288" s="1577">
        <f t="shared" si="381"/>
        <v>0</v>
      </c>
      <c r="CG288" s="1576">
        <f t="shared" si="401"/>
        <v>0</v>
      </c>
      <c r="CH288" s="1495">
        <f t="shared" si="382"/>
        <v>0</v>
      </c>
      <c r="CI288" s="1577">
        <f t="shared" si="383"/>
        <v>0</v>
      </c>
      <c r="CJ288" s="1576">
        <f t="shared" si="402"/>
        <v>0</v>
      </c>
      <c r="CK288" s="1495">
        <f t="shared" si="384"/>
        <v>0</v>
      </c>
      <c r="CL288" s="1577">
        <f t="shared" si="385"/>
        <v>0</v>
      </c>
      <c r="CM288" s="1576">
        <f t="shared" si="403"/>
        <v>0</v>
      </c>
      <c r="CN288" s="1495">
        <f t="shared" si="386"/>
        <v>0</v>
      </c>
      <c r="CO288" s="1577">
        <f t="shared" si="387"/>
        <v>0</v>
      </c>
      <c r="CP288" s="1576">
        <f t="shared" si="404"/>
        <v>0</v>
      </c>
      <c r="CQ288" s="1495">
        <f t="shared" si="388"/>
        <v>0</v>
      </c>
      <c r="CR288" s="1577">
        <f t="shared" si="389"/>
        <v>0</v>
      </c>
      <c r="CS288" s="1576">
        <f t="shared" si="405"/>
        <v>0</v>
      </c>
      <c r="CT288" s="1495">
        <f t="shared" si="390"/>
        <v>0</v>
      </c>
      <c r="CU288" s="1577">
        <f t="shared" si="391"/>
        <v>0</v>
      </c>
      <c r="CV288" s="1576">
        <f t="shared" si="406"/>
        <v>0</v>
      </c>
      <c r="CW288" s="1495">
        <f t="shared" si="392"/>
        <v>0</v>
      </c>
      <c r="CX288" s="1577">
        <f t="shared" si="393"/>
        <v>0</v>
      </c>
      <c r="CY288" s="1576">
        <f t="shared" si="407"/>
        <v>0</v>
      </c>
      <c r="CZ288" s="1574">
        <f t="shared" si="408"/>
        <v>0</v>
      </c>
      <c r="DA288" s="1578">
        <f t="shared" si="410"/>
        <v>0</v>
      </c>
      <c r="DB288" s="1579">
        <f t="shared" si="411"/>
        <v>0</v>
      </c>
      <c r="DC288" s="1578">
        <f t="shared" si="412"/>
        <v>0</v>
      </c>
      <c r="DD288" s="1578">
        <f t="shared" si="412"/>
        <v>0</v>
      </c>
      <c r="DE288" s="1578">
        <f t="shared" si="412"/>
        <v>0</v>
      </c>
      <c r="DF288" s="1578">
        <f t="shared" si="413"/>
        <v>0</v>
      </c>
      <c r="DG288" s="1538"/>
      <c r="DH288" s="1538"/>
      <c r="DI288" s="1422"/>
      <c r="DJ288" s="1428"/>
      <c r="DK288" s="1428"/>
      <c r="DL288" s="1428"/>
      <c r="DM288" s="1428"/>
      <c r="DN288" s="1428"/>
      <c r="DO288" s="1428"/>
      <c r="DP288" s="1428"/>
      <c r="DQ288" s="1422"/>
      <c r="DR288" s="1428"/>
      <c r="DS288" s="1428"/>
      <c r="DT288" s="1428"/>
      <c r="DU288" s="1428"/>
      <c r="DV288" s="1428"/>
      <c r="DW288" s="1428"/>
      <c r="DX288" s="1428"/>
      <c r="DY288" s="1428"/>
      <c r="DZ288" s="1428"/>
      <c r="EA288" s="1428"/>
      <c r="EB288" s="1428"/>
      <c r="EC288" s="1428"/>
      <c r="ED288" s="1428"/>
      <c r="EE288" s="1428"/>
      <c r="EF288" s="1428"/>
      <c r="EG288" s="1428"/>
      <c r="EH288" s="1428"/>
      <c r="EI288" s="1428"/>
      <c r="EJ288" s="1428"/>
      <c r="EK288" s="1428"/>
      <c r="EL288" s="1428"/>
      <c r="EM288" s="1428"/>
      <c r="EN288" s="1428"/>
      <c r="EO288" s="1428"/>
      <c r="EP288" s="1428"/>
      <c r="EQ288" s="1428"/>
      <c r="ER288" s="1428"/>
      <c r="ES288" s="1428"/>
      <c r="ET288" s="1428"/>
      <c r="EU288" s="1428"/>
    </row>
    <row r="289" spans="1:151" s="1440" customFormat="1" ht="15" customHeight="1">
      <c r="A289" s="1834"/>
      <c r="B289" s="1600" t="s">
        <v>1212</v>
      </c>
      <c r="C289" s="1723"/>
      <c r="I289" s="1600" t="s">
        <v>881</v>
      </c>
      <c r="J289" s="1862">
        <f t="shared" si="416"/>
        <v>0</v>
      </c>
      <c r="K289" s="1862">
        <f t="shared" si="415"/>
        <v>0</v>
      </c>
      <c r="L289" s="1720"/>
      <c r="M289" s="1720"/>
      <c r="N289" s="1430" t="s">
        <v>1645</v>
      </c>
      <c r="O289" s="1430"/>
      <c r="P289" s="1430">
        <f>1-(F285="None")</f>
        <v>1</v>
      </c>
      <c r="Q289" s="1430">
        <f>VLOOKUP(F285,DJ292:DN296,5,FALSE)</f>
        <v>1.3</v>
      </c>
      <c r="R289" s="1430"/>
      <c r="S289" s="1430"/>
      <c r="T289" s="1430"/>
      <c r="U289" s="1430"/>
      <c r="V289" s="1430"/>
      <c r="W289" s="1430"/>
      <c r="X289" s="1430"/>
      <c r="Y289" s="1430"/>
      <c r="Z289" s="1430"/>
      <c r="AA289" s="1430"/>
      <c r="AB289" s="1430"/>
      <c r="AC289" s="1430"/>
      <c r="AD289" s="1430"/>
      <c r="AE289" s="1430"/>
      <c r="AF289" s="1430"/>
      <c r="AG289" s="1430"/>
      <c r="AH289" s="1430"/>
      <c r="AI289" s="1430"/>
      <c r="AJ289" s="1430"/>
      <c r="AK289" s="1430"/>
      <c r="AL289" s="1430"/>
      <c r="AM289" s="1430"/>
      <c r="AN289" s="1430"/>
      <c r="AO289" s="1430"/>
      <c r="AP289" s="1430"/>
      <c r="AQ289" s="1430"/>
      <c r="AR289" s="1430"/>
      <c r="AS289" s="1430"/>
      <c r="AT289" s="1430"/>
      <c r="AU289" s="1430"/>
      <c r="AV289" s="1704"/>
      <c r="AW289" s="1430"/>
      <c r="AX289" s="1430"/>
      <c r="AY289" s="1430"/>
      <c r="AZ289" s="1430"/>
      <c r="BA289" s="1430"/>
      <c r="BB289" s="1430"/>
      <c r="BC289" s="1430"/>
      <c r="BD289" s="1475"/>
      <c r="BE289" s="1571" t="s">
        <v>1216</v>
      </c>
      <c r="BF289" s="1436">
        <v>22</v>
      </c>
      <c r="BG289" s="1436">
        <v>27</v>
      </c>
      <c r="BH289" s="1436">
        <v>1</v>
      </c>
      <c r="BI289" s="1495" t="b">
        <f t="shared" si="409"/>
        <v>1</v>
      </c>
      <c r="BJ289" s="1450" t="b">
        <f t="shared" si="368"/>
        <v>0</v>
      </c>
      <c r="BK289" s="1572">
        <f t="shared" si="369"/>
        <v>0</v>
      </c>
      <c r="BL289" s="1581">
        <f>IF(SUM(BL$263:BL288,BK289)&gt;$BR$4,0,BK289)</f>
        <v>0</v>
      </c>
      <c r="BM289" s="1436">
        <f t="shared" si="394"/>
        <v>0</v>
      </c>
      <c r="BN289" s="1495">
        <f t="shared" si="395"/>
        <v>0</v>
      </c>
      <c r="BO289" s="1437">
        <f t="shared" si="414"/>
        <v>0</v>
      </c>
      <c r="BP289" s="1762">
        <f t="shared" si="370"/>
        <v>0</v>
      </c>
      <c r="BQ289" s="1577">
        <f t="shared" si="371"/>
        <v>0</v>
      </c>
      <c r="BR289" s="1576">
        <f t="shared" si="396"/>
        <v>0</v>
      </c>
      <c r="BS289" s="1574">
        <f t="shared" si="372"/>
        <v>0</v>
      </c>
      <c r="BT289" s="1577">
        <f t="shared" si="373"/>
        <v>0</v>
      </c>
      <c r="BU289" s="1576">
        <f t="shared" si="397"/>
        <v>0</v>
      </c>
      <c r="BV289" s="1574">
        <f t="shared" si="374"/>
        <v>0</v>
      </c>
      <c r="BW289" s="1577">
        <f t="shared" si="375"/>
        <v>0</v>
      </c>
      <c r="BX289" s="1576">
        <f t="shared" si="398"/>
        <v>0</v>
      </c>
      <c r="BY289" s="1574">
        <f t="shared" si="376"/>
        <v>0</v>
      </c>
      <c r="BZ289" s="1577">
        <f t="shared" si="377"/>
        <v>0</v>
      </c>
      <c r="CA289" s="1576">
        <f t="shared" si="399"/>
        <v>0</v>
      </c>
      <c r="CB289" s="1495">
        <f t="shared" si="378"/>
        <v>0</v>
      </c>
      <c r="CC289" s="1577">
        <f t="shared" si="379"/>
        <v>0</v>
      </c>
      <c r="CD289" s="1576">
        <f t="shared" si="400"/>
        <v>0</v>
      </c>
      <c r="CE289" s="1495">
        <f t="shared" si="380"/>
        <v>0</v>
      </c>
      <c r="CF289" s="1577">
        <f t="shared" si="381"/>
        <v>0</v>
      </c>
      <c r="CG289" s="1576">
        <f t="shared" si="401"/>
        <v>0</v>
      </c>
      <c r="CH289" s="1495">
        <f t="shared" si="382"/>
        <v>0</v>
      </c>
      <c r="CI289" s="1577">
        <f t="shared" si="383"/>
        <v>0</v>
      </c>
      <c r="CJ289" s="1576">
        <f t="shared" si="402"/>
        <v>0</v>
      </c>
      <c r="CK289" s="1495">
        <f t="shared" si="384"/>
        <v>0</v>
      </c>
      <c r="CL289" s="1577">
        <f t="shared" si="385"/>
        <v>0</v>
      </c>
      <c r="CM289" s="1576">
        <f t="shared" si="403"/>
        <v>0</v>
      </c>
      <c r="CN289" s="1495">
        <f t="shared" si="386"/>
        <v>0</v>
      </c>
      <c r="CO289" s="1577">
        <f t="shared" si="387"/>
        <v>0</v>
      </c>
      <c r="CP289" s="1576">
        <f t="shared" si="404"/>
        <v>0</v>
      </c>
      <c r="CQ289" s="1495">
        <f t="shared" si="388"/>
        <v>0</v>
      </c>
      <c r="CR289" s="1577">
        <f t="shared" si="389"/>
        <v>0</v>
      </c>
      <c r="CS289" s="1576">
        <f t="shared" si="405"/>
        <v>0</v>
      </c>
      <c r="CT289" s="1495">
        <f t="shared" si="390"/>
        <v>0</v>
      </c>
      <c r="CU289" s="1577">
        <f t="shared" si="391"/>
        <v>0</v>
      </c>
      <c r="CV289" s="1576">
        <f t="shared" si="406"/>
        <v>0</v>
      </c>
      <c r="CW289" s="1495">
        <f t="shared" si="392"/>
        <v>0</v>
      </c>
      <c r="CX289" s="1577">
        <f t="shared" si="393"/>
        <v>0</v>
      </c>
      <c r="CY289" s="1576">
        <f t="shared" si="407"/>
        <v>0</v>
      </c>
      <c r="CZ289" s="1574">
        <f t="shared" si="408"/>
        <v>0</v>
      </c>
      <c r="DA289" s="1578">
        <f t="shared" si="410"/>
        <v>0</v>
      </c>
      <c r="DB289" s="1579">
        <f t="shared" si="411"/>
        <v>0</v>
      </c>
      <c r="DC289" s="1578">
        <f t="shared" si="412"/>
        <v>0</v>
      </c>
      <c r="DD289" s="1578">
        <f t="shared" si="412"/>
        <v>0</v>
      </c>
      <c r="DE289" s="1578">
        <f t="shared" si="412"/>
        <v>0</v>
      </c>
      <c r="DF289" s="1578">
        <f t="shared" si="413"/>
        <v>0</v>
      </c>
      <c r="DG289" s="1538"/>
      <c r="DH289" s="1538"/>
      <c r="DI289" s="1422"/>
      <c r="DJ289" s="1795" t="s">
        <v>2263</v>
      </c>
      <c r="DK289" s="1827"/>
      <c r="DL289" s="1827"/>
      <c r="DM289" s="1428"/>
      <c r="DN289" s="1428"/>
      <c r="DO289" s="1428"/>
      <c r="DP289" s="1428"/>
      <c r="DQ289" s="1422"/>
      <c r="DR289" s="1428"/>
      <c r="DS289" s="1428"/>
      <c r="DT289" s="1428"/>
      <c r="DU289" s="1428"/>
      <c r="DV289" s="1428"/>
      <c r="DW289" s="1428"/>
      <c r="DX289" s="1428"/>
      <c r="DY289" s="1428"/>
      <c r="DZ289" s="1428"/>
      <c r="EA289" s="1428"/>
      <c r="EB289" s="1428"/>
      <c r="EC289" s="1428"/>
      <c r="ED289" s="1428"/>
      <c r="EE289" s="1428"/>
      <c r="EF289" s="1428"/>
      <c r="EG289" s="1428"/>
      <c r="EH289" s="1428"/>
      <c r="EI289" s="1428"/>
      <c r="EJ289" s="1428"/>
      <c r="EK289" s="1428"/>
      <c r="EL289" s="1428"/>
      <c r="EM289" s="1428"/>
      <c r="EN289" s="1428"/>
      <c r="EO289" s="1428"/>
      <c r="EP289" s="1428"/>
      <c r="EQ289" s="1428"/>
      <c r="ER289" s="1428"/>
      <c r="ES289" s="1428"/>
      <c r="ET289" s="1428"/>
      <c r="EU289" s="1428"/>
    </row>
    <row r="290" spans="1:151" s="1440" customFormat="1" ht="15" customHeight="1">
      <c r="A290" s="1834"/>
      <c r="B290" s="1600" t="s">
        <v>883</v>
      </c>
      <c r="C290" s="1723"/>
      <c r="E290" s="2479" t="s">
        <v>337</v>
      </c>
      <c r="F290" s="2479"/>
      <c r="G290" s="1736"/>
      <c r="I290" s="1600" t="s">
        <v>882</v>
      </c>
      <c r="J290" s="1862">
        <f t="shared" si="416"/>
        <v>0</v>
      </c>
      <c r="K290" s="1862">
        <f t="shared" si="415"/>
        <v>0</v>
      </c>
      <c r="L290" s="1720"/>
      <c r="M290" s="1720"/>
      <c r="N290" s="1430" t="s">
        <v>2264</v>
      </c>
      <c r="O290" s="1430"/>
      <c r="P290" s="1430" t="b">
        <f>F286="Yes"</f>
        <v>1</v>
      </c>
      <c r="Q290" s="1430">
        <f>P290*DN297</f>
        <v>4</v>
      </c>
      <c r="R290" s="1430"/>
      <c r="S290" s="1430"/>
      <c r="T290" s="1430"/>
      <c r="U290" s="1430"/>
      <c r="V290" s="1430"/>
      <c r="W290" s="1430"/>
      <c r="X290" s="1430"/>
      <c r="Y290" s="1430"/>
      <c r="Z290" s="1430"/>
      <c r="AA290" s="1430"/>
      <c r="AB290" s="1430"/>
      <c r="AC290" s="1430"/>
      <c r="AD290" s="1430"/>
      <c r="AE290" s="1430"/>
      <c r="AF290" s="1430"/>
      <c r="AG290" s="1430"/>
      <c r="AH290" s="1430"/>
      <c r="AI290" s="1430"/>
      <c r="AJ290" s="1430"/>
      <c r="AK290" s="1430"/>
      <c r="AL290" s="1430"/>
      <c r="AM290" s="1430"/>
      <c r="AN290" s="1430"/>
      <c r="AO290" s="1430"/>
      <c r="AP290" s="1430"/>
      <c r="AQ290" s="1430"/>
      <c r="AR290" s="1430"/>
      <c r="AS290" s="1430"/>
      <c r="AT290" s="1430"/>
      <c r="AU290" s="1430"/>
      <c r="AV290" s="1704"/>
      <c r="AW290" s="1430"/>
      <c r="AX290" s="1430"/>
      <c r="AY290" s="1430"/>
      <c r="AZ290" s="1430"/>
      <c r="BA290" s="1430"/>
      <c r="BB290" s="1430"/>
      <c r="BC290" s="1430"/>
      <c r="BD290" s="1475"/>
      <c r="BE290" s="1571" t="s">
        <v>1216</v>
      </c>
      <c r="BF290" s="1436">
        <v>22</v>
      </c>
      <c r="BG290" s="1436">
        <v>28</v>
      </c>
      <c r="BH290" s="1436">
        <v>2</v>
      </c>
      <c r="BI290" s="1495" t="b">
        <f t="shared" si="409"/>
        <v>1</v>
      </c>
      <c r="BJ290" s="1450" t="b">
        <f t="shared" si="368"/>
        <v>0</v>
      </c>
      <c r="BK290" s="1572">
        <f t="shared" si="369"/>
        <v>0</v>
      </c>
      <c r="BL290" s="1581">
        <f>IF(SUM(BL$263:BL289,BK290)&gt;$BR$4,0,BK290)</f>
        <v>0</v>
      </c>
      <c r="BM290" s="1436">
        <f t="shared" si="394"/>
        <v>0</v>
      </c>
      <c r="BN290" s="1495">
        <f t="shared" si="395"/>
        <v>0</v>
      </c>
      <c r="BO290" s="1437">
        <f t="shared" si="414"/>
        <v>0</v>
      </c>
      <c r="BP290" s="1762">
        <f t="shared" si="370"/>
        <v>0</v>
      </c>
      <c r="BQ290" s="1577">
        <f t="shared" si="371"/>
        <v>0</v>
      </c>
      <c r="BR290" s="1576">
        <f t="shared" si="396"/>
        <v>0</v>
      </c>
      <c r="BS290" s="1574">
        <f t="shared" si="372"/>
        <v>0</v>
      </c>
      <c r="BT290" s="1577">
        <f t="shared" si="373"/>
        <v>0</v>
      </c>
      <c r="BU290" s="1576">
        <f t="shared" si="397"/>
        <v>0</v>
      </c>
      <c r="BV290" s="1574">
        <f t="shared" si="374"/>
        <v>0</v>
      </c>
      <c r="BW290" s="1577">
        <f t="shared" si="375"/>
        <v>0</v>
      </c>
      <c r="BX290" s="1576">
        <f t="shared" si="398"/>
        <v>0</v>
      </c>
      <c r="BY290" s="1574">
        <f t="shared" si="376"/>
        <v>0</v>
      </c>
      <c r="BZ290" s="1577">
        <f t="shared" si="377"/>
        <v>0</v>
      </c>
      <c r="CA290" s="1576">
        <f t="shared" si="399"/>
        <v>0</v>
      </c>
      <c r="CB290" s="1495">
        <f t="shared" si="378"/>
        <v>0</v>
      </c>
      <c r="CC290" s="1577">
        <f t="shared" si="379"/>
        <v>0</v>
      </c>
      <c r="CD290" s="1576">
        <f t="shared" si="400"/>
        <v>0</v>
      </c>
      <c r="CE290" s="1495">
        <f t="shared" si="380"/>
        <v>0</v>
      </c>
      <c r="CF290" s="1577">
        <f t="shared" si="381"/>
        <v>0</v>
      </c>
      <c r="CG290" s="1576">
        <f t="shared" si="401"/>
        <v>0</v>
      </c>
      <c r="CH290" s="1495">
        <f t="shared" si="382"/>
        <v>0</v>
      </c>
      <c r="CI290" s="1577">
        <f t="shared" si="383"/>
        <v>0</v>
      </c>
      <c r="CJ290" s="1576">
        <f t="shared" si="402"/>
        <v>0</v>
      </c>
      <c r="CK290" s="1495">
        <f t="shared" si="384"/>
        <v>0</v>
      </c>
      <c r="CL290" s="1577">
        <f t="shared" si="385"/>
        <v>0</v>
      </c>
      <c r="CM290" s="1576">
        <f t="shared" si="403"/>
        <v>0</v>
      </c>
      <c r="CN290" s="1495">
        <f t="shared" si="386"/>
        <v>0</v>
      </c>
      <c r="CO290" s="1577">
        <f t="shared" si="387"/>
        <v>0</v>
      </c>
      <c r="CP290" s="1576">
        <f t="shared" si="404"/>
        <v>0</v>
      </c>
      <c r="CQ290" s="1495">
        <f t="shared" si="388"/>
        <v>0</v>
      </c>
      <c r="CR290" s="1577">
        <f t="shared" si="389"/>
        <v>0</v>
      </c>
      <c r="CS290" s="1576">
        <f t="shared" si="405"/>
        <v>0</v>
      </c>
      <c r="CT290" s="1495">
        <f t="shared" si="390"/>
        <v>0</v>
      </c>
      <c r="CU290" s="1577">
        <f t="shared" si="391"/>
        <v>0</v>
      </c>
      <c r="CV290" s="1576">
        <f t="shared" si="406"/>
        <v>0</v>
      </c>
      <c r="CW290" s="1495">
        <f t="shared" si="392"/>
        <v>0</v>
      </c>
      <c r="CX290" s="1577">
        <f t="shared" si="393"/>
        <v>0</v>
      </c>
      <c r="CY290" s="1576">
        <f t="shared" si="407"/>
        <v>0</v>
      </c>
      <c r="CZ290" s="1574">
        <f t="shared" si="408"/>
        <v>0</v>
      </c>
      <c r="DA290" s="1578">
        <f t="shared" si="410"/>
        <v>0</v>
      </c>
      <c r="DB290" s="1579">
        <f t="shared" si="411"/>
        <v>0</v>
      </c>
      <c r="DC290" s="1578">
        <f t="shared" si="412"/>
        <v>0</v>
      </c>
      <c r="DD290" s="1578">
        <f t="shared" si="412"/>
        <v>0</v>
      </c>
      <c r="DE290" s="1578">
        <f t="shared" si="412"/>
        <v>0</v>
      </c>
      <c r="DF290" s="1578">
        <f t="shared" si="413"/>
        <v>0</v>
      </c>
      <c r="DG290" s="1538"/>
      <c r="DH290" s="1538"/>
      <c r="DI290" s="1422"/>
      <c r="DJ290" s="1863"/>
      <c r="DK290" s="2468" t="s">
        <v>2265</v>
      </c>
      <c r="DL290" s="2469"/>
      <c r="DM290" s="1795" t="s">
        <v>2266</v>
      </c>
      <c r="DN290" s="1795" t="s">
        <v>2267</v>
      </c>
      <c r="DO290" s="1428"/>
      <c r="DP290" s="1428"/>
      <c r="DQ290" s="1422"/>
      <c r="DR290" s="1428"/>
      <c r="DS290" s="1428"/>
      <c r="DT290" s="1428"/>
      <c r="DU290" s="1428"/>
      <c r="DV290" s="1428"/>
      <c r="DW290" s="1428"/>
      <c r="DX290" s="1428"/>
      <c r="DY290" s="1428"/>
      <c r="DZ290" s="1428"/>
      <c r="EA290" s="1428"/>
      <c r="EB290" s="1428"/>
      <c r="EC290" s="1428"/>
      <c r="ED290" s="1428"/>
      <c r="EE290" s="1428"/>
      <c r="EF290" s="1428"/>
      <c r="EG290" s="1428"/>
      <c r="EH290" s="1428"/>
      <c r="EI290" s="1428"/>
      <c r="EJ290" s="1428"/>
      <c r="EK290" s="1428"/>
      <c r="EL290" s="1428"/>
      <c r="EM290" s="1428"/>
      <c r="EN290" s="1428"/>
      <c r="EO290" s="1428"/>
      <c r="EP290" s="1428"/>
      <c r="EQ290" s="1428"/>
      <c r="ER290" s="1428"/>
      <c r="ES290" s="1428"/>
      <c r="ET290" s="1428"/>
      <c r="EU290" s="1428"/>
    </row>
    <row r="291" spans="1:151" s="1440" customFormat="1" ht="15" customHeight="1">
      <c r="A291" s="1834"/>
      <c r="B291" s="1600" t="s">
        <v>884</v>
      </c>
      <c r="C291" s="1723"/>
      <c r="E291" s="2471" t="s">
        <v>2268</v>
      </c>
      <c r="F291" s="2471"/>
      <c r="G291" s="1864">
        <f>SUM(Q289:Q292)</f>
        <v>9.9799999999999986</v>
      </c>
      <c r="I291" s="1600" t="s">
        <v>1212</v>
      </c>
      <c r="J291" s="1862">
        <f t="shared" si="416"/>
        <v>0</v>
      </c>
      <c r="K291" s="1862">
        <f t="shared" si="415"/>
        <v>0</v>
      </c>
      <c r="L291" s="1720"/>
      <c r="M291" s="1720"/>
      <c r="N291" s="1430" t="s">
        <v>2269</v>
      </c>
      <c r="O291" s="1430"/>
      <c r="P291" s="1430" t="b">
        <f>F287="Yes"</f>
        <v>1</v>
      </c>
      <c r="Q291" s="1430">
        <f>P291*DN298</f>
        <v>2.4</v>
      </c>
      <c r="R291" s="1430"/>
      <c r="S291" s="1430"/>
      <c r="T291" s="1430"/>
      <c r="U291" s="1430"/>
      <c r="V291" s="1430"/>
      <c r="W291" s="1430"/>
      <c r="X291" s="1430"/>
      <c r="Y291" s="1430"/>
      <c r="Z291" s="1430"/>
      <c r="AA291" s="1430"/>
      <c r="AB291" s="1430"/>
      <c r="AC291" s="1430"/>
      <c r="AD291" s="1430"/>
      <c r="AE291" s="1430"/>
      <c r="AF291" s="1430"/>
      <c r="AG291" s="1430"/>
      <c r="AH291" s="1430"/>
      <c r="AI291" s="1430"/>
      <c r="AJ291" s="1430"/>
      <c r="AK291" s="1430"/>
      <c r="AL291" s="1430"/>
      <c r="AM291" s="1430"/>
      <c r="AN291" s="1430"/>
      <c r="AO291" s="1430"/>
      <c r="AP291" s="1430"/>
      <c r="AQ291" s="1430"/>
      <c r="AR291" s="1430"/>
      <c r="AS291" s="1430"/>
      <c r="AT291" s="1430"/>
      <c r="AU291" s="1430"/>
      <c r="AV291" s="1704"/>
      <c r="AW291" s="1430"/>
      <c r="AX291" s="1430"/>
      <c r="AY291" s="1430"/>
      <c r="AZ291" s="1430"/>
      <c r="BA291" s="1430"/>
      <c r="BB291" s="1430"/>
      <c r="BC291" s="1430"/>
      <c r="BD291" s="1475"/>
      <c r="BE291" s="1571" t="s">
        <v>1216</v>
      </c>
      <c r="BF291" s="1436">
        <v>22</v>
      </c>
      <c r="BG291" s="1436">
        <v>29</v>
      </c>
      <c r="BH291" s="1436">
        <v>3</v>
      </c>
      <c r="BI291" s="1495" t="b">
        <f t="shared" si="409"/>
        <v>1</v>
      </c>
      <c r="BJ291" s="1450" t="b">
        <f t="shared" si="368"/>
        <v>0</v>
      </c>
      <c r="BK291" s="1572">
        <f t="shared" si="369"/>
        <v>0</v>
      </c>
      <c r="BL291" s="1581">
        <f>IF(SUM(BL$263:BL290,BK291)&gt;$BR$4,0,BK291)</f>
        <v>0</v>
      </c>
      <c r="BM291" s="1436">
        <f t="shared" si="394"/>
        <v>0</v>
      </c>
      <c r="BN291" s="1495">
        <f t="shared" si="395"/>
        <v>0</v>
      </c>
      <c r="BO291" s="1437">
        <f t="shared" si="414"/>
        <v>0</v>
      </c>
      <c r="BP291" s="1762">
        <f t="shared" si="370"/>
        <v>0</v>
      </c>
      <c r="BQ291" s="1577">
        <f t="shared" si="371"/>
        <v>0</v>
      </c>
      <c r="BR291" s="1576">
        <f t="shared" si="396"/>
        <v>0</v>
      </c>
      <c r="BS291" s="1574">
        <f t="shared" si="372"/>
        <v>0</v>
      </c>
      <c r="BT291" s="1577">
        <f t="shared" si="373"/>
        <v>0</v>
      </c>
      <c r="BU291" s="1576">
        <f t="shared" si="397"/>
        <v>0</v>
      </c>
      <c r="BV291" s="1574">
        <f t="shared" si="374"/>
        <v>0</v>
      </c>
      <c r="BW291" s="1577">
        <f t="shared" si="375"/>
        <v>0</v>
      </c>
      <c r="BX291" s="1576">
        <f t="shared" si="398"/>
        <v>0</v>
      </c>
      <c r="BY291" s="1574">
        <f t="shared" si="376"/>
        <v>0</v>
      </c>
      <c r="BZ291" s="1577">
        <f t="shared" si="377"/>
        <v>0</v>
      </c>
      <c r="CA291" s="1576">
        <f t="shared" si="399"/>
        <v>0</v>
      </c>
      <c r="CB291" s="1495">
        <f t="shared" si="378"/>
        <v>0</v>
      </c>
      <c r="CC291" s="1577">
        <f t="shared" si="379"/>
        <v>0</v>
      </c>
      <c r="CD291" s="1576">
        <f t="shared" si="400"/>
        <v>0</v>
      </c>
      <c r="CE291" s="1495">
        <f t="shared" si="380"/>
        <v>0</v>
      </c>
      <c r="CF291" s="1577">
        <f t="shared" si="381"/>
        <v>0</v>
      </c>
      <c r="CG291" s="1576">
        <f t="shared" si="401"/>
        <v>0</v>
      </c>
      <c r="CH291" s="1495">
        <f t="shared" si="382"/>
        <v>0</v>
      </c>
      <c r="CI291" s="1577">
        <f t="shared" si="383"/>
        <v>0</v>
      </c>
      <c r="CJ291" s="1576">
        <f t="shared" si="402"/>
        <v>0</v>
      </c>
      <c r="CK291" s="1495">
        <f t="shared" si="384"/>
        <v>0</v>
      </c>
      <c r="CL291" s="1577">
        <f t="shared" si="385"/>
        <v>0</v>
      </c>
      <c r="CM291" s="1576">
        <f t="shared" si="403"/>
        <v>0</v>
      </c>
      <c r="CN291" s="1495">
        <f t="shared" si="386"/>
        <v>0</v>
      </c>
      <c r="CO291" s="1577">
        <f t="shared" si="387"/>
        <v>0</v>
      </c>
      <c r="CP291" s="1576">
        <f t="shared" si="404"/>
        <v>0</v>
      </c>
      <c r="CQ291" s="1495">
        <f t="shared" si="388"/>
        <v>0</v>
      </c>
      <c r="CR291" s="1577">
        <f t="shared" si="389"/>
        <v>0</v>
      </c>
      <c r="CS291" s="1576">
        <f t="shared" si="405"/>
        <v>0</v>
      </c>
      <c r="CT291" s="1495">
        <f t="shared" si="390"/>
        <v>0</v>
      </c>
      <c r="CU291" s="1577">
        <f t="shared" si="391"/>
        <v>0</v>
      </c>
      <c r="CV291" s="1576">
        <f t="shared" si="406"/>
        <v>0</v>
      </c>
      <c r="CW291" s="1495">
        <f t="shared" si="392"/>
        <v>0</v>
      </c>
      <c r="CX291" s="1577">
        <f t="shared" si="393"/>
        <v>0</v>
      </c>
      <c r="CY291" s="1576">
        <f t="shared" si="407"/>
        <v>0</v>
      </c>
      <c r="CZ291" s="1574">
        <f t="shared" si="408"/>
        <v>0</v>
      </c>
      <c r="DA291" s="1578">
        <f t="shared" si="410"/>
        <v>0</v>
      </c>
      <c r="DB291" s="1579">
        <f t="shared" si="411"/>
        <v>0</v>
      </c>
      <c r="DC291" s="1578">
        <f t="shared" si="412"/>
        <v>0</v>
      </c>
      <c r="DD291" s="1578">
        <f t="shared" si="412"/>
        <v>0</v>
      </c>
      <c r="DE291" s="1578">
        <f t="shared" si="412"/>
        <v>0</v>
      </c>
      <c r="DF291" s="1578">
        <f t="shared" si="413"/>
        <v>0</v>
      </c>
      <c r="DG291" s="1538"/>
      <c r="DH291" s="1538"/>
      <c r="DI291" s="1422"/>
      <c r="DJ291" s="1865" t="s">
        <v>2255</v>
      </c>
      <c r="DK291" s="1866"/>
      <c r="DL291" s="1866"/>
      <c r="DM291" s="1866"/>
      <c r="DN291" s="1866"/>
      <c r="DO291" s="1428"/>
      <c r="DP291" s="1428"/>
      <c r="DQ291" s="1422"/>
      <c r="DR291" s="1428"/>
      <c r="DS291" s="1428"/>
      <c r="DT291" s="1428"/>
      <c r="DU291" s="1428"/>
      <c r="DV291" s="1428"/>
      <c r="DW291" s="1428"/>
      <c r="DX291" s="1428"/>
      <c r="DY291" s="1428"/>
      <c r="DZ291" s="1428"/>
      <c r="EA291" s="1428"/>
      <c r="EB291" s="1428"/>
      <c r="EC291" s="1428"/>
      <c r="ED291" s="1428"/>
      <c r="EE291" s="1428"/>
      <c r="EF291" s="1428"/>
      <c r="EG291" s="1428"/>
      <c r="EH291" s="1428"/>
      <c r="EI291" s="1428"/>
      <c r="EJ291" s="1428"/>
      <c r="EK291" s="1428"/>
      <c r="EL291" s="1428"/>
      <c r="EM291" s="1428"/>
      <c r="EN291" s="1428"/>
      <c r="EO291" s="1428"/>
      <c r="EP291" s="1428"/>
      <c r="EQ291" s="1428"/>
      <c r="ER291" s="1428"/>
      <c r="ES291" s="1428"/>
      <c r="ET291" s="1428"/>
      <c r="EU291" s="1428"/>
    </row>
    <row r="292" spans="1:151" s="1440" customFormat="1" ht="15" customHeight="1">
      <c r="A292" s="1834"/>
      <c r="B292" s="1600" t="s">
        <v>885</v>
      </c>
      <c r="C292" s="1723"/>
      <c r="E292" s="2471" t="s">
        <v>2233</v>
      </c>
      <c r="F292" s="2472"/>
      <c r="G292" s="1601">
        <f>SUM(D337:D344)</f>
        <v>0</v>
      </c>
      <c r="I292" s="1600" t="s">
        <v>883</v>
      </c>
      <c r="J292" s="1862">
        <f t="shared" si="416"/>
        <v>0</v>
      </c>
      <c r="K292" s="1862">
        <f t="shared" si="415"/>
        <v>0</v>
      </c>
      <c r="L292" s="1720"/>
      <c r="M292" s="1720"/>
      <c r="N292" s="1430" t="s">
        <v>2270</v>
      </c>
      <c r="O292" s="1430"/>
      <c r="P292" s="1430" t="b">
        <f>F288="Yes"</f>
        <v>1</v>
      </c>
      <c r="Q292" s="1430">
        <f>P292*DN299</f>
        <v>2.2799999999999998</v>
      </c>
      <c r="R292" s="1430"/>
      <c r="S292" s="1430"/>
      <c r="T292" s="1430"/>
      <c r="U292" s="1430"/>
      <c r="V292" s="1430"/>
      <c r="W292" s="1430"/>
      <c r="X292" s="1430"/>
      <c r="Y292" s="1430"/>
      <c r="Z292" s="1430"/>
      <c r="AA292" s="1430"/>
      <c r="AB292" s="1430"/>
      <c r="AC292" s="1430"/>
      <c r="AD292" s="1430"/>
      <c r="AE292" s="1430"/>
      <c r="AF292" s="1430"/>
      <c r="AG292" s="1430"/>
      <c r="AH292" s="1430"/>
      <c r="AI292" s="1430"/>
      <c r="AJ292" s="1430"/>
      <c r="AK292" s="1430"/>
      <c r="AL292" s="1430"/>
      <c r="AM292" s="1430"/>
      <c r="AN292" s="1430"/>
      <c r="AO292" s="1430"/>
      <c r="AP292" s="1430"/>
      <c r="AQ292" s="1430"/>
      <c r="AR292" s="1430"/>
      <c r="AS292" s="1430"/>
      <c r="AT292" s="1430"/>
      <c r="AU292" s="1430"/>
      <c r="AV292" s="1704"/>
      <c r="AW292" s="1430"/>
      <c r="AX292" s="1430"/>
      <c r="AY292" s="1430"/>
      <c r="AZ292" s="1430"/>
      <c r="BA292" s="1430"/>
      <c r="BB292" s="1430"/>
      <c r="BC292" s="1430"/>
      <c r="BD292" s="1475"/>
      <c r="BE292" s="1571" t="s">
        <v>1216</v>
      </c>
      <c r="BF292" s="1436">
        <v>22</v>
      </c>
      <c r="BG292" s="1436">
        <v>30</v>
      </c>
      <c r="BH292" s="1436">
        <v>4</v>
      </c>
      <c r="BI292" s="1495" t="b">
        <f t="shared" si="409"/>
        <v>1</v>
      </c>
      <c r="BJ292" s="1450" t="b">
        <f t="shared" si="368"/>
        <v>1</v>
      </c>
      <c r="BK292" s="1572">
        <f t="shared" si="369"/>
        <v>8.5</v>
      </c>
      <c r="BL292" s="1573">
        <f>$BR$4-SUM(BL263:BL291)</f>
        <v>8.5</v>
      </c>
      <c r="BM292" s="1436">
        <f t="shared" si="394"/>
        <v>0</v>
      </c>
      <c r="BN292" s="1495">
        <f t="shared" si="395"/>
        <v>0</v>
      </c>
      <c r="BO292" s="1437">
        <f t="shared" si="414"/>
        <v>0</v>
      </c>
      <c r="BP292" s="1762">
        <f t="shared" si="370"/>
        <v>0</v>
      </c>
      <c r="BQ292" s="1577">
        <f t="shared" si="371"/>
        <v>0</v>
      </c>
      <c r="BR292" s="1576">
        <f t="shared" si="396"/>
        <v>0</v>
      </c>
      <c r="BS292" s="1574">
        <f t="shared" si="372"/>
        <v>0</v>
      </c>
      <c r="BT292" s="1577">
        <f t="shared" si="373"/>
        <v>0</v>
      </c>
      <c r="BU292" s="1576">
        <f t="shared" si="397"/>
        <v>0</v>
      </c>
      <c r="BV292" s="1574">
        <f t="shared" si="374"/>
        <v>0</v>
      </c>
      <c r="BW292" s="1577">
        <f t="shared" si="375"/>
        <v>0</v>
      </c>
      <c r="BX292" s="1576">
        <f t="shared" si="398"/>
        <v>0</v>
      </c>
      <c r="BY292" s="1574">
        <f t="shared" si="376"/>
        <v>0</v>
      </c>
      <c r="BZ292" s="1577">
        <f t="shared" si="377"/>
        <v>0</v>
      </c>
      <c r="CA292" s="1576">
        <f t="shared" si="399"/>
        <v>0</v>
      </c>
      <c r="CB292" s="1495">
        <f t="shared" si="378"/>
        <v>0</v>
      </c>
      <c r="CC292" s="1577">
        <f t="shared" si="379"/>
        <v>0</v>
      </c>
      <c r="CD292" s="1576">
        <f t="shared" si="400"/>
        <v>0</v>
      </c>
      <c r="CE292" s="1495">
        <f t="shared" si="380"/>
        <v>0</v>
      </c>
      <c r="CF292" s="1577">
        <f t="shared" si="381"/>
        <v>0</v>
      </c>
      <c r="CG292" s="1576">
        <f t="shared" si="401"/>
        <v>0</v>
      </c>
      <c r="CH292" s="1495">
        <f t="shared" si="382"/>
        <v>0</v>
      </c>
      <c r="CI292" s="1577">
        <f t="shared" si="383"/>
        <v>0</v>
      </c>
      <c r="CJ292" s="1576">
        <f t="shared" si="402"/>
        <v>0</v>
      </c>
      <c r="CK292" s="1495">
        <f t="shared" si="384"/>
        <v>0</v>
      </c>
      <c r="CL292" s="1577">
        <f t="shared" si="385"/>
        <v>0</v>
      </c>
      <c r="CM292" s="1576">
        <f t="shared" si="403"/>
        <v>0</v>
      </c>
      <c r="CN292" s="1495">
        <f t="shared" si="386"/>
        <v>0</v>
      </c>
      <c r="CO292" s="1577">
        <f t="shared" si="387"/>
        <v>0</v>
      </c>
      <c r="CP292" s="1576">
        <f t="shared" si="404"/>
        <v>0</v>
      </c>
      <c r="CQ292" s="1495">
        <f t="shared" si="388"/>
        <v>0</v>
      </c>
      <c r="CR292" s="1577">
        <f t="shared" si="389"/>
        <v>0</v>
      </c>
      <c r="CS292" s="1576">
        <f t="shared" si="405"/>
        <v>0</v>
      </c>
      <c r="CT292" s="1495">
        <f t="shared" si="390"/>
        <v>0</v>
      </c>
      <c r="CU292" s="1577">
        <f t="shared" si="391"/>
        <v>0</v>
      </c>
      <c r="CV292" s="1576">
        <f t="shared" si="406"/>
        <v>0</v>
      </c>
      <c r="CW292" s="1495">
        <f t="shared" si="392"/>
        <v>0</v>
      </c>
      <c r="CX292" s="1577">
        <f t="shared" si="393"/>
        <v>0</v>
      </c>
      <c r="CY292" s="1576">
        <f t="shared" si="407"/>
        <v>0</v>
      </c>
      <c r="CZ292" s="1574">
        <f t="shared" si="408"/>
        <v>0</v>
      </c>
      <c r="DA292" s="1578">
        <f t="shared" si="410"/>
        <v>0</v>
      </c>
      <c r="DB292" s="1579">
        <f t="shared" si="411"/>
        <v>0</v>
      </c>
      <c r="DC292" s="1578">
        <f t="shared" si="412"/>
        <v>0</v>
      </c>
      <c r="DD292" s="1578">
        <f t="shared" si="412"/>
        <v>0</v>
      </c>
      <c r="DE292" s="1578">
        <f t="shared" si="412"/>
        <v>0</v>
      </c>
      <c r="DF292" s="1578">
        <f t="shared" si="413"/>
        <v>0</v>
      </c>
      <c r="DG292" s="1538"/>
      <c r="DH292" s="1538"/>
      <c r="DI292" s="1422"/>
      <c r="DJ292" s="1865" t="s">
        <v>644</v>
      </c>
      <c r="DK292" s="1866">
        <v>0</v>
      </c>
      <c r="DL292" s="1866"/>
      <c r="DM292" s="1866"/>
      <c r="DN292" s="1866">
        <v>0</v>
      </c>
      <c r="DO292" s="1428"/>
      <c r="DP292" s="1428"/>
      <c r="DQ292" s="1422"/>
      <c r="DR292" s="1428"/>
      <c r="DS292" s="1428"/>
      <c r="DT292" s="1428"/>
      <c r="DU292" s="1428"/>
      <c r="DV292" s="1428"/>
      <c r="DW292" s="1428"/>
      <c r="DX292" s="1428"/>
      <c r="DY292" s="1428"/>
      <c r="DZ292" s="1428"/>
      <c r="EA292" s="1428"/>
      <c r="EB292" s="1428"/>
      <c r="EC292" s="1428"/>
      <c r="ED292" s="1428"/>
      <c r="EE292" s="1428"/>
      <c r="EF292" s="1428"/>
      <c r="EG292" s="1428"/>
      <c r="EH292" s="1428"/>
      <c r="EI292" s="1428"/>
      <c r="EJ292" s="1428"/>
      <c r="EK292" s="1428"/>
      <c r="EL292" s="1428"/>
      <c r="EM292" s="1428"/>
      <c r="EN292" s="1428"/>
      <c r="EO292" s="1428"/>
      <c r="EP292" s="1428"/>
      <c r="EQ292" s="1428"/>
      <c r="ER292" s="1428"/>
      <c r="ES292" s="1428"/>
      <c r="ET292" s="1428"/>
      <c r="EU292" s="1428"/>
    </row>
    <row r="293" spans="1:151" s="1440" customFormat="1" ht="15" customHeight="1">
      <c r="A293" s="1834"/>
      <c r="B293" s="1600" t="s">
        <v>802</v>
      </c>
      <c r="C293" s="1723"/>
      <c r="E293" s="2471" t="s">
        <v>2271</v>
      </c>
      <c r="F293" s="2472"/>
      <c r="G293" s="1601">
        <f>C297*G291/1000</f>
        <v>0</v>
      </c>
      <c r="I293" s="1600" t="s">
        <v>884</v>
      </c>
      <c r="J293" s="1862">
        <f t="shared" si="416"/>
        <v>0</v>
      </c>
      <c r="K293" s="1862">
        <f t="shared" si="415"/>
        <v>0</v>
      </c>
      <c r="L293" s="1720"/>
      <c r="M293" s="1720"/>
      <c r="N293" s="1430"/>
      <c r="O293" s="1430"/>
      <c r="P293" s="1430"/>
      <c r="Q293" s="1430"/>
      <c r="R293" s="1430"/>
      <c r="S293" s="1430"/>
      <c r="T293" s="1430"/>
      <c r="U293" s="1430"/>
      <c r="V293" s="1430"/>
      <c r="W293" s="1430"/>
      <c r="X293" s="1430"/>
      <c r="Y293" s="1430"/>
      <c r="Z293" s="1430"/>
      <c r="AA293" s="1430"/>
      <c r="AB293" s="1430"/>
      <c r="AC293" s="1430"/>
      <c r="AD293" s="1430"/>
      <c r="AE293" s="1430"/>
      <c r="AF293" s="1430"/>
      <c r="AG293" s="1430"/>
      <c r="AH293" s="1430"/>
      <c r="AI293" s="1430"/>
      <c r="AJ293" s="1430"/>
      <c r="AK293" s="1430"/>
      <c r="AL293" s="1430"/>
      <c r="AM293" s="1430"/>
      <c r="AN293" s="1430"/>
      <c r="AO293" s="1430"/>
      <c r="AP293" s="1430"/>
      <c r="AQ293" s="1430"/>
      <c r="AR293" s="1430"/>
      <c r="AS293" s="1430"/>
      <c r="AT293" s="1430"/>
      <c r="AU293" s="1430"/>
      <c r="AV293" s="1704"/>
      <c r="AW293" s="1430"/>
      <c r="AX293" s="1430"/>
      <c r="AY293" s="1430"/>
      <c r="AZ293" s="1430"/>
      <c r="BA293" s="1430"/>
      <c r="BB293" s="1430"/>
      <c r="BC293" s="1430"/>
      <c r="BD293" s="1475"/>
      <c r="BE293" s="1571" t="s">
        <v>1217</v>
      </c>
      <c r="BF293" s="1436">
        <v>21</v>
      </c>
      <c r="BG293" s="1436">
        <v>1</v>
      </c>
      <c r="BH293" s="1436">
        <v>5</v>
      </c>
      <c r="BI293" s="1495" t="b">
        <f t="shared" si="409"/>
        <v>1</v>
      </c>
      <c r="BJ293" s="1450" t="b">
        <f t="shared" ref="BJ293:BJ323" si="417">MOD(BG293,$BS$7)=0</f>
        <v>0</v>
      </c>
      <c r="BK293" s="1572">
        <f t="shared" ref="BK293:BK318" si="418">IF(BJ293,BS$8,0)</f>
        <v>0</v>
      </c>
      <c r="BL293" s="1573">
        <f>BK293</f>
        <v>0</v>
      </c>
      <c r="BM293" s="1436">
        <f t="shared" si="394"/>
        <v>0</v>
      </c>
      <c r="BN293" s="1495">
        <f t="shared" si="395"/>
        <v>0</v>
      </c>
      <c r="BO293" s="1437">
        <f t="shared" si="414"/>
        <v>0</v>
      </c>
      <c r="BP293" s="1762">
        <f t="shared" ref="BP293:BP323" si="419">$Q$343/$BF$293*BR$16*$BI293</f>
        <v>0</v>
      </c>
      <c r="BQ293" s="1577">
        <f t="shared" ref="BQ293:BQ323" si="420">AQ$378/$BF293*$BI293</f>
        <v>0</v>
      </c>
      <c r="BR293" s="1576">
        <f t="shared" si="396"/>
        <v>0</v>
      </c>
      <c r="BS293" s="1574">
        <f t="shared" ref="BS293:BS323" si="421">$R$343/$BF293*BU$16*$BI293</f>
        <v>0</v>
      </c>
      <c r="BT293" s="1577">
        <f t="shared" ref="BT293:BT323" si="422">AR$378/$BF293*$BI293</f>
        <v>0</v>
      </c>
      <c r="BU293" s="1576">
        <f t="shared" si="397"/>
        <v>0</v>
      </c>
      <c r="BV293" s="1574">
        <f t="shared" ref="BV293:BV323" si="423">$S$343/$BF293*BX$16*$BI293</f>
        <v>0</v>
      </c>
      <c r="BW293" s="1577">
        <f t="shared" ref="BW293:BW323" si="424">AS$378/$BF293*$BI293</f>
        <v>0</v>
      </c>
      <c r="BX293" s="1576">
        <f t="shared" si="398"/>
        <v>0</v>
      </c>
      <c r="BY293" s="1574">
        <f t="shared" ref="BY293:BY323" si="425">$T$343/$BF293*CA$16*$BI293</f>
        <v>0</v>
      </c>
      <c r="BZ293" s="1577">
        <f t="shared" ref="BZ293:BZ323" si="426">AT$378/$BF293*$BI293</f>
        <v>0</v>
      </c>
      <c r="CA293" s="1576">
        <f t="shared" si="399"/>
        <v>0</v>
      </c>
      <c r="CB293" s="1495">
        <f t="shared" ref="CB293:CB323" si="427">$W$343/BF293*BI293*$C$419</f>
        <v>0</v>
      </c>
      <c r="CC293" s="1577">
        <f t="shared" ref="CC293:CC323" si="428">AU$378/$BF293*$BI293</f>
        <v>0</v>
      </c>
      <c r="CD293" s="1576">
        <f t="shared" si="400"/>
        <v>0</v>
      </c>
      <c r="CE293" s="1495">
        <f t="shared" ref="CE293:CE323" si="429">$X$343/BF293*BI293*$C$420</f>
        <v>0</v>
      </c>
      <c r="CF293" s="1577">
        <f t="shared" ref="CF293:CF323" si="430">AV$378/$BF293*$BI293</f>
        <v>0</v>
      </c>
      <c r="CG293" s="1576">
        <f t="shared" si="401"/>
        <v>0</v>
      </c>
      <c r="CH293" s="1495">
        <f t="shared" ref="CH293:CH323" si="431">$Y$343/BF293*BI293*$C$421</f>
        <v>0</v>
      </c>
      <c r="CI293" s="1577">
        <f t="shared" ref="CI293:CI323" si="432">AW$378/$BF293*$BI293</f>
        <v>0</v>
      </c>
      <c r="CJ293" s="1576">
        <f t="shared" si="402"/>
        <v>0</v>
      </c>
      <c r="CK293" s="1495">
        <f t="shared" ref="CK293:CK323" si="433">$Z$343/BF293*BI293*$CM$16</f>
        <v>0</v>
      </c>
      <c r="CL293" s="1577">
        <f t="shared" ref="CL293:CL323" si="434">AX$378/$BF293*$BI293</f>
        <v>0</v>
      </c>
      <c r="CM293" s="1576">
        <f t="shared" si="403"/>
        <v>0</v>
      </c>
      <c r="CN293" s="1495">
        <f t="shared" ref="CN293:CN323" si="435">$AA$343/BF293*BI293*$CP$16</f>
        <v>0</v>
      </c>
      <c r="CO293" s="1577">
        <f t="shared" ref="CO293:CO323" si="436">$AY$378/$BF293*$BI293</f>
        <v>0</v>
      </c>
      <c r="CP293" s="1576">
        <f t="shared" si="404"/>
        <v>0</v>
      </c>
      <c r="CQ293" s="1495">
        <f t="shared" ref="CQ293:CQ323" si="437">$AB$343/BF293*BI293*$CS$16</f>
        <v>0</v>
      </c>
      <c r="CR293" s="1577">
        <f t="shared" ref="CR293:CR323" si="438">AZ$378/$BF293*$BI293</f>
        <v>0</v>
      </c>
      <c r="CS293" s="1576">
        <f t="shared" si="405"/>
        <v>0</v>
      </c>
      <c r="CT293" s="1495">
        <f t="shared" ref="CT293:CT323" si="439">$AC$343/BF293*BI293*$CV$16</f>
        <v>0</v>
      </c>
      <c r="CU293" s="1577">
        <f t="shared" ref="CU293:CU323" si="440">BA$378/$BF293*$BI293</f>
        <v>0</v>
      </c>
      <c r="CV293" s="1576">
        <f t="shared" si="406"/>
        <v>0</v>
      </c>
      <c r="CW293" s="1495">
        <f t="shared" ref="CW293:CW323" si="441">$AD$343/BF293*BI293*$CY$16</f>
        <v>0</v>
      </c>
      <c r="CX293" s="1577">
        <f t="shared" ref="CX293:CX323" si="442">BB$378/$BF293*$BI293</f>
        <v>0</v>
      </c>
      <c r="CY293" s="1576">
        <f t="shared" si="407"/>
        <v>0</v>
      </c>
      <c r="CZ293" s="1574">
        <f t="shared" si="408"/>
        <v>0</v>
      </c>
      <c r="DA293" s="1578">
        <f t="shared" si="410"/>
        <v>0</v>
      </c>
      <c r="DB293" s="1579">
        <f t="shared" si="411"/>
        <v>0</v>
      </c>
      <c r="DC293" s="1578">
        <f t="shared" si="412"/>
        <v>0</v>
      </c>
      <c r="DD293" s="1578">
        <f t="shared" si="412"/>
        <v>0</v>
      </c>
      <c r="DE293" s="1578">
        <f t="shared" si="412"/>
        <v>0</v>
      </c>
      <c r="DF293" s="1578">
        <f>IF(DA293-(DE292+CZ293)&lt;0,0,DA293-(DE292+CZ293))</f>
        <v>0</v>
      </c>
      <c r="DG293" s="1538"/>
      <c r="DH293" s="1538"/>
      <c r="DI293" s="1422"/>
      <c r="DJ293" s="1865" t="s">
        <v>2256</v>
      </c>
      <c r="DK293" s="1866">
        <v>13</v>
      </c>
      <c r="DL293" s="1866" t="s">
        <v>2272</v>
      </c>
      <c r="DM293" s="1866" t="s">
        <v>2273</v>
      </c>
      <c r="DN293" s="1866">
        <f>DK293/10</f>
        <v>1.3</v>
      </c>
      <c r="DO293" s="1428"/>
      <c r="DP293" s="1428"/>
      <c r="DQ293" s="1422"/>
      <c r="DR293" s="1428"/>
      <c r="DS293" s="1428"/>
      <c r="DT293" s="1428"/>
      <c r="DU293" s="1428"/>
      <c r="DV293" s="1428"/>
      <c r="DW293" s="1428"/>
      <c r="DX293" s="1428"/>
      <c r="DY293" s="1428"/>
      <c r="DZ293" s="1428"/>
      <c r="EA293" s="1428"/>
      <c r="EB293" s="1428"/>
      <c r="EC293" s="1428"/>
      <c r="ED293" s="1428"/>
      <c r="EE293" s="1428"/>
      <c r="EF293" s="1428"/>
      <c r="EG293" s="1428"/>
      <c r="EH293" s="1428"/>
      <c r="EI293" s="1428"/>
      <c r="EJ293" s="1428"/>
      <c r="EK293" s="1428"/>
      <c r="EL293" s="1428"/>
      <c r="EM293" s="1428"/>
      <c r="EN293" s="1428"/>
      <c r="EO293" s="1428"/>
      <c r="EP293" s="1428"/>
      <c r="EQ293" s="1428"/>
      <c r="ER293" s="1428"/>
      <c r="ES293" s="1428"/>
      <c r="ET293" s="1428"/>
      <c r="EU293" s="1428"/>
    </row>
    <row r="294" spans="1:151" s="1440" customFormat="1" ht="15" customHeight="1">
      <c r="A294" s="1834"/>
      <c r="B294" s="1600" t="s">
        <v>803</v>
      </c>
      <c r="C294" s="1723"/>
      <c r="E294" s="2471" t="s">
        <v>2274</v>
      </c>
      <c r="F294" s="2472"/>
      <c r="G294" s="1844" t="str">
        <f>IFERROR(G293/G292,"-")</f>
        <v>-</v>
      </c>
      <c r="I294" s="1600" t="s">
        <v>885</v>
      </c>
      <c r="J294" s="1862">
        <f t="shared" si="416"/>
        <v>0</v>
      </c>
      <c r="K294" s="1862">
        <f t="shared" si="415"/>
        <v>0</v>
      </c>
      <c r="L294" s="1720"/>
      <c r="M294" s="1720"/>
      <c r="N294" s="1430" t="s">
        <v>2244</v>
      </c>
      <c r="O294" s="1430"/>
      <c r="P294" s="1430"/>
      <c r="Q294" s="1430"/>
      <c r="R294" s="1430"/>
      <c r="S294" s="1430"/>
      <c r="T294" s="1430"/>
      <c r="U294" s="1430"/>
      <c r="V294" s="1430"/>
      <c r="W294" s="1430"/>
      <c r="X294" s="1430"/>
      <c r="Y294" s="1430"/>
      <c r="Z294" s="1430"/>
      <c r="AA294" s="1430"/>
      <c r="AB294" s="1430"/>
      <c r="AC294" s="1430"/>
      <c r="AD294" s="1430"/>
      <c r="AE294" s="1430"/>
      <c r="AF294" s="1430"/>
      <c r="AG294" s="1430"/>
      <c r="AH294" s="1430"/>
      <c r="AI294" s="1430"/>
      <c r="AJ294" s="1430"/>
      <c r="AK294" s="1430"/>
      <c r="AL294" s="1430"/>
      <c r="AM294" s="1430"/>
      <c r="AN294" s="1430"/>
      <c r="AO294" s="1430"/>
      <c r="AP294" s="1430"/>
      <c r="AQ294" s="1430"/>
      <c r="AR294" s="1430"/>
      <c r="AS294" s="1430"/>
      <c r="AT294" s="1430"/>
      <c r="AU294" s="1430"/>
      <c r="AV294" s="1704"/>
      <c r="AW294" s="1430"/>
      <c r="AX294" s="1430"/>
      <c r="AY294" s="1430"/>
      <c r="AZ294" s="1430"/>
      <c r="BA294" s="1430"/>
      <c r="BB294" s="1430"/>
      <c r="BC294" s="1430"/>
      <c r="BD294" s="1475"/>
      <c r="BE294" s="1571" t="s">
        <v>1217</v>
      </c>
      <c r="BF294" s="1436">
        <v>21</v>
      </c>
      <c r="BG294" s="1436">
        <v>2</v>
      </c>
      <c r="BH294" s="1436">
        <v>6</v>
      </c>
      <c r="BI294" s="1495" t="b">
        <f t="shared" si="409"/>
        <v>0</v>
      </c>
      <c r="BJ294" s="1450" t="b">
        <f t="shared" si="417"/>
        <v>0</v>
      </c>
      <c r="BK294" s="1572">
        <f t="shared" si="418"/>
        <v>0</v>
      </c>
      <c r="BL294" s="1581">
        <f>IF(SUM(BL$293:BL293,BK294)&gt;$BS$4,0,BK294)</f>
        <v>0</v>
      </c>
      <c r="BM294" s="1436">
        <f t="shared" si="394"/>
        <v>0</v>
      </c>
      <c r="BN294" s="1495">
        <f t="shared" si="395"/>
        <v>0</v>
      </c>
      <c r="BO294" s="1437">
        <f t="shared" si="414"/>
        <v>0</v>
      </c>
      <c r="BP294" s="1762">
        <f t="shared" si="419"/>
        <v>0</v>
      </c>
      <c r="BQ294" s="1577">
        <f t="shared" si="420"/>
        <v>0</v>
      </c>
      <c r="BR294" s="1576">
        <f t="shared" si="396"/>
        <v>0</v>
      </c>
      <c r="BS294" s="1574">
        <f t="shared" si="421"/>
        <v>0</v>
      </c>
      <c r="BT294" s="1577">
        <f t="shared" si="422"/>
        <v>0</v>
      </c>
      <c r="BU294" s="1576">
        <f t="shared" si="397"/>
        <v>0</v>
      </c>
      <c r="BV294" s="1574">
        <f t="shared" si="423"/>
        <v>0</v>
      </c>
      <c r="BW294" s="1577">
        <f t="shared" si="424"/>
        <v>0</v>
      </c>
      <c r="BX294" s="1576">
        <f t="shared" si="398"/>
        <v>0</v>
      </c>
      <c r="BY294" s="1574">
        <f t="shared" si="425"/>
        <v>0</v>
      </c>
      <c r="BZ294" s="1577">
        <f t="shared" si="426"/>
        <v>0</v>
      </c>
      <c r="CA294" s="1576">
        <f t="shared" si="399"/>
        <v>0</v>
      </c>
      <c r="CB294" s="1495">
        <f t="shared" si="427"/>
        <v>0</v>
      </c>
      <c r="CC294" s="1577">
        <f t="shared" si="428"/>
        <v>0</v>
      </c>
      <c r="CD294" s="1576">
        <f t="shared" si="400"/>
        <v>0</v>
      </c>
      <c r="CE294" s="1495">
        <f t="shared" si="429"/>
        <v>0</v>
      </c>
      <c r="CF294" s="1577">
        <f t="shared" si="430"/>
        <v>0</v>
      </c>
      <c r="CG294" s="1576">
        <f t="shared" si="401"/>
        <v>0</v>
      </c>
      <c r="CH294" s="1495">
        <f t="shared" si="431"/>
        <v>0</v>
      </c>
      <c r="CI294" s="1577">
        <f t="shared" si="432"/>
        <v>0</v>
      </c>
      <c r="CJ294" s="1576">
        <f t="shared" si="402"/>
        <v>0</v>
      </c>
      <c r="CK294" s="1495">
        <f t="shared" si="433"/>
        <v>0</v>
      </c>
      <c r="CL294" s="1577">
        <f t="shared" si="434"/>
        <v>0</v>
      </c>
      <c r="CM294" s="1576">
        <f t="shared" si="403"/>
        <v>0</v>
      </c>
      <c r="CN294" s="1495">
        <f t="shared" si="435"/>
        <v>0</v>
      </c>
      <c r="CO294" s="1577">
        <f t="shared" si="436"/>
        <v>0</v>
      </c>
      <c r="CP294" s="1576">
        <f t="shared" si="404"/>
        <v>0</v>
      </c>
      <c r="CQ294" s="1495">
        <f t="shared" si="437"/>
        <v>0</v>
      </c>
      <c r="CR294" s="1577">
        <f t="shared" si="438"/>
        <v>0</v>
      </c>
      <c r="CS294" s="1576">
        <f t="shared" si="405"/>
        <v>0</v>
      </c>
      <c r="CT294" s="1495">
        <f t="shared" si="439"/>
        <v>0</v>
      </c>
      <c r="CU294" s="1577">
        <f t="shared" si="440"/>
        <v>0</v>
      </c>
      <c r="CV294" s="1576">
        <f t="shared" si="406"/>
        <v>0</v>
      </c>
      <c r="CW294" s="1495">
        <f t="shared" si="441"/>
        <v>0</v>
      </c>
      <c r="CX294" s="1577">
        <f t="shared" si="442"/>
        <v>0</v>
      </c>
      <c r="CY294" s="1576">
        <f t="shared" si="407"/>
        <v>0</v>
      </c>
      <c r="CZ294" s="1574">
        <f t="shared" si="408"/>
        <v>0</v>
      </c>
      <c r="DA294" s="1578">
        <f t="shared" si="410"/>
        <v>0</v>
      </c>
      <c r="DB294" s="1579">
        <f t="shared" si="411"/>
        <v>0</v>
      </c>
      <c r="DC294" s="1578">
        <f t="shared" si="412"/>
        <v>0</v>
      </c>
      <c r="DD294" s="1578">
        <f t="shared" si="412"/>
        <v>0</v>
      </c>
      <c r="DE294" s="1578">
        <f t="shared" si="412"/>
        <v>0</v>
      </c>
      <c r="DF294" s="1578">
        <f t="shared" si="413"/>
        <v>0</v>
      </c>
      <c r="DG294" s="1538"/>
      <c r="DH294" s="1538"/>
      <c r="DI294" s="1422"/>
      <c r="DJ294" s="1865" t="s">
        <v>2275</v>
      </c>
      <c r="DK294" s="1866">
        <v>8.4</v>
      </c>
      <c r="DL294" s="1866" t="s">
        <v>2272</v>
      </c>
      <c r="DM294" s="1866" t="s">
        <v>2273</v>
      </c>
      <c r="DN294" s="1866">
        <f>DK294/10</f>
        <v>0.84000000000000008</v>
      </c>
      <c r="DO294" s="1428"/>
      <c r="DP294" s="1428"/>
      <c r="DQ294" s="1422"/>
      <c r="DR294" s="1428"/>
      <c r="DS294" s="1428"/>
      <c r="DT294" s="1428"/>
      <c r="DU294" s="1428"/>
      <c r="DV294" s="1428"/>
      <c r="DW294" s="1428"/>
      <c r="DX294" s="1428"/>
      <c r="DY294" s="1428"/>
      <c r="DZ294" s="1428"/>
      <c r="EA294" s="1428"/>
      <c r="EB294" s="1428"/>
      <c r="EC294" s="1428"/>
      <c r="ED294" s="1428"/>
      <c r="EE294" s="1428"/>
      <c r="EF294" s="1428"/>
      <c r="EG294" s="1428"/>
      <c r="EH294" s="1428"/>
      <c r="EI294" s="1428"/>
      <c r="EJ294" s="1428"/>
      <c r="EK294" s="1428"/>
      <c r="EL294" s="1428"/>
      <c r="EM294" s="1428"/>
      <c r="EN294" s="1428"/>
      <c r="EO294" s="1428"/>
      <c r="EP294" s="1428"/>
      <c r="EQ294" s="1428"/>
      <c r="ER294" s="1428"/>
      <c r="ES294" s="1428"/>
      <c r="ET294" s="1428"/>
      <c r="EU294" s="1428"/>
    </row>
    <row r="295" spans="1:151" s="1440" customFormat="1" ht="15" customHeight="1">
      <c r="A295" s="1834"/>
      <c r="B295" s="1600" t="s">
        <v>804</v>
      </c>
      <c r="C295" s="1723"/>
      <c r="E295" s="1764" t="s">
        <v>2241</v>
      </c>
      <c r="I295" s="1600" t="s">
        <v>802</v>
      </c>
      <c r="J295" s="1862">
        <f t="shared" si="416"/>
        <v>0</v>
      </c>
      <c r="K295" s="1862">
        <f t="shared" si="415"/>
        <v>0</v>
      </c>
      <c r="L295" s="1720"/>
      <c r="M295" s="1720"/>
      <c r="N295" s="1847">
        <v>0.03</v>
      </c>
      <c r="O295" s="1430"/>
      <c r="P295" s="1430"/>
      <c r="Q295" s="1430"/>
      <c r="R295" s="1430"/>
      <c r="S295" s="1430"/>
      <c r="T295" s="1430"/>
      <c r="U295" s="1430"/>
      <c r="V295" s="1430"/>
      <c r="W295" s="1430"/>
      <c r="X295" s="1430"/>
      <c r="Y295" s="1430"/>
      <c r="Z295" s="1430"/>
      <c r="AA295" s="1430"/>
      <c r="AB295" s="1430"/>
      <c r="AC295" s="1430"/>
      <c r="AD295" s="1430"/>
      <c r="AE295" s="1430"/>
      <c r="AF295" s="1430"/>
      <c r="AG295" s="1430"/>
      <c r="AH295" s="1430"/>
      <c r="AI295" s="1430"/>
      <c r="AJ295" s="1430"/>
      <c r="AK295" s="1430"/>
      <c r="AL295" s="1430"/>
      <c r="AM295" s="1430"/>
      <c r="AN295" s="1430"/>
      <c r="AO295" s="1430"/>
      <c r="AP295" s="1430"/>
      <c r="AQ295" s="1430"/>
      <c r="AR295" s="1430"/>
      <c r="AS295" s="1430"/>
      <c r="AT295" s="1430"/>
      <c r="AU295" s="1430"/>
      <c r="AV295" s="1704"/>
      <c r="AW295" s="1430"/>
      <c r="AX295" s="1430"/>
      <c r="AY295" s="1430"/>
      <c r="AZ295" s="1430"/>
      <c r="BA295" s="1430"/>
      <c r="BB295" s="1430"/>
      <c r="BC295" s="1430"/>
      <c r="BD295" s="1475"/>
      <c r="BE295" s="1571" t="s">
        <v>1217</v>
      </c>
      <c r="BF295" s="1436">
        <v>21</v>
      </c>
      <c r="BG295" s="1436">
        <v>3</v>
      </c>
      <c r="BH295" s="1436">
        <v>7</v>
      </c>
      <c r="BI295" s="1495" t="b">
        <f t="shared" si="409"/>
        <v>0</v>
      </c>
      <c r="BJ295" s="1450" t="b">
        <f t="shared" si="417"/>
        <v>0</v>
      </c>
      <c r="BK295" s="1572">
        <f t="shared" si="418"/>
        <v>0</v>
      </c>
      <c r="BL295" s="1581">
        <f>IF(SUM(BL$293:BL294,BK295)&gt;$BS$4,0,BK295)</f>
        <v>0</v>
      </c>
      <c r="BM295" s="1436">
        <f t="shared" si="394"/>
        <v>0</v>
      </c>
      <c r="BN295" s="1495">
        <f t="shared" si="395"/>
        <v>0</v>
      </c>
      <c r="BO295" s="1437">
        <f t="shared" si="414"/>
        <v>0</v>
      </c>
      <c r="BP295" s="1762">
        <f t="shared" si="419"/>
        <v>0</v>
      </c>
      <c r="BQ295" s="1577">
        <f t="shared" si="420"/>
        <v>0</v>
      </c>
      <c r="BR295" s="1576">
        <f t="shared" si="396"/>
        <v>0</v>
      </c>
      <c r="BS295" s="1574">
        <f t="shared" si="421"/>
        <v>0</v>
      </c>
      <c r="BT295" s="1577">
        <f t="shared" si="422"/>
        <v>0</v>
      </c>
      <c r="BU295" s="1576">
        <f t="shared" si="397"/>
        <v>0</v>
      </c>
      <c r="BV295" s="1574">
        <f t="shared" si="423"/>
        <v>0</v>
      </c>
      <c r="BW295" s="1577">
        <f t="shared" si="424"/>
        <v>0</v>
      </c>
      <c r="BX295" s="1576">
        <f t="shared" si="398"/>
        <v>0</v>
      </c>
      <c r="BY295" s="1574">
        <f t="shared" si="425"/>
        <v>0</v>
      </c>
      <c r="BZ295" s="1577">
        <f t="shared" si="426"/>
        <v>0</v>
      </c>
      <c r="CA295" s="1576">
        <f t="shared" si="399"/>
        <v>0</v>
      </c>
      <c r="CB295" s="1495">
        <f t="shared" si="427"/>
        <v>0</v>
      </c>
      <c r="CC295" s="1577">
        <f t="shared" si="428"/>
        <v>0</v>
      </c>
      <c r="CD295" s="1576">
        <f t="shared" si="400"/>
        <v>0</v>
      </c>
      <c r="CE295" s="1495">
        <f t="shared" si="429"/>
        <v>0</v>
      </c>
      <c r="CF295" s="1577">
        <f t="shared" si="430"/>
        <v>0</v>
      </c>
      <c r="CG295" s="1576">
        <f t="shared" si="401"/>
        <v>0</v>
      </c>
      <c r="CH295" s="1495">
        <f t="shared" si="431"/>
        <v>0</v>
      </c>
      <c r="CI295" s="1577">
        <f t="shared" si="432"/>
        <v>0</v>
      </c>
      <c r="CJ295" s="1576">
        <f t="shared" si="402"/>
        <v>0</v>
      </c>
      <c r="CK295" s="1495">
        <f t="shared" si="433"/>
        <v>0</v>
      </c>
      <c r="CL295" s="1577">
        <f t="shared" si="434"/>
        <v>0</v>
      </c>
      <c r="CM295" s="1576">
        <f t="shared" si="403"/>
        <v>0</v>
      </c>
      <c r="CN295" s="1495">
        <f t="shared" si="435"/>
        <v>0</v>
      </c>
      <c r="CO295" s="1577">
        <f t="shared" si="436"/>
        <v>0</v>
      </c>
      <c r="CP295" s="1576">
        <f t="shared" si="404"/>
        <v>0</v>
      </c>
      <c r="CQ295" s="1495">
        <f t="shared" si="437"/>
        <v>0</v>
      </c>
      <c r="CR295" s="1577">
        <f t="shared" si="438"/>
        <v>0</v>
      </c>
      <c r="CS295" s="1576">
        <f t="shared" si="405"/>
        <v>0</v>
      </c>
      <c r="CT295" s="1495">
        <f t="shared" si="439"/>
        <v>0</v>
      </c>
      <c r="CU295" s="1577">
        <f t="shared" si="440"/>
        <v>0</v>
      </c>
      <c r="CV295" s="1576">
        <f t="shared" si="406"/>
        <v>0</v>
      </c>
      <c r="CW295" s="1495">
        <f t="shared" si="441"/>
        <v>0</v>
      </c>
      <c r="CX295" s="1577">
        <f t="shared" si="442"/>
        <v>0</v>
      </c>
      <c r="CY295" s="1576">
        <f t="shared" si="407"/>
        <v>0</v>
      </c>
      <c r="CZ295" s="1574">
        <f t="shared" si="408"/>
        <v>0</v>
      </c>
      <c r="DA295" s="1578">
        <f t="shared" si="410"/>
        <v>0</v>
      </c>
      <c r="DB295" s="1579">
        <f t="shared" si="411"/>
        <v>0</v>
      </c>
      <c r="DC295" s="1578">
        <f t="shared" si="412"/>
        <v>0</v>
      </c>
      <c r="DD295" s="1578">
        <f t="shared" si="412"/>
        <v>0</v>
      </c>
      <c r="DE295" s="1578">
        <f t="shared" si="412"/>
        <v>0</v>
      </c>
      <c r="DF295" s="1578">
        <f>IF(DA295-(DE294+CZ295)&lt;0,0,DA295-(DE294+CZ295))</f>
        <v>0</v>
      </c>
      <c r="DG295" s="1538"/>
      <c r="DH295" s="1538"/>
      <c r="DI295" s="1422"/>
      <c r="DJ295" s="1865" t="s">
        <v>2276</v>
      </c>
      <c r="DK295" s="1866">
        <v>6</v>
      </c>
      <c r="DL295" s="1866" t="s">
        <v>2272</v>
      </c>
      <c r="DM295" s="1866" t="s">
        <v>2273</v>
      </c>
      <c r="DN295" s="1866">
        <f>DK295/10</f>
        <v>0.6</v>
      </c>
      <c r="DO295" s="1428"/>
      <c r="DP295" s="1428"/>
      <c r="DQ295" s="1422"/>
      <c r="DR295" s="1428"/>
      <c r="DS295" s="1428"/>
      <c r="DT295" s="1428"/>
      <c r="DU295" s="1428"/>
      <c r="DV295" s="1428"/>
      <c r="DW295" s="1428"/>
      <c r="DX295" s="1428"/>
      <c r="DY295" s="1428"/>
      <c r="DZ295" s="1428"/>
      <c r="EA295" s="1428"/>
      <c r="EB295" s="1428"/>
      <c r="EC295" s="1428"/>
      <c r="ED295" s="1428"/>
      <c r="EE295" s="1428"/>
      <c r="EF295" s="1428"/>
      <c r="EG295" s="1428"/>
      <c r="EH295" s="1428"/>
      <c r="EI295" s="1428"/>
      <c r="EJ295" s="1428"/>
      <c r="EK295" s="1428"/>
      <c r="EL295" s="1428"/>
      <c r="EM295" s="1428"/>
      <c r="EN295" s="1428"/>
      <c r="EO295" s="1428"/>
      <c r="EP295" s="1428"/>
      <c r="EQ295" s="1428"/>
      <c r="ER295" s="1428"/>
      <c r="ES295" s="1428"/>
      <c r="ET295" s="1428"/>
      <c r="EU295" s="1428"/>
    </row>
    <row r="296" spans="1:151" s="1440" customFormat="1" ht="15" customHeight="1">
      <c r="A296" s="1834"/>
      <c r="B296" s="1600" t="s">
        <v>1603</v>
      </c>
      <c r="C296" s="1723"/>
      <c r="I296" s="1600" t="s">
        <v>803</v>
      </c>
      <c r="J296" s="1862">
        <f t="shared" si="416"/>
        <v>0</v>
      </c>
      <c r="K296" s="1862">
        <f t="shared" si="415"/>
        <v>0</v>
      </c>
      <c r="L296" s="1720"/>
      <c r="M296" s="1720"/>
      <c r="N296" s="1430" t="s">
        <v>2245</v>
      </c>
      <c r="O296" s="1430"/>
      <c r="P296" s="1430"/>
      <c r="Q296" s="1430"/>
      <c r="R296" s="1430"/>
      <c r="S296" s="1430"/>
      <c r="T296" s="1430"/>
      <c r="U296" s="1430"/>
      <c r="V296" s="1430"/>
      <c r="W296" s="1430"/>
      <c r="X296" s="1430"/>
      <c r="Y296" s="1430"/>
      <c r="Z296" s="1430"/>
      <c r="AA296" s="1430"/>
      <c r="AB296" s="1430"/>
      <c r="AC296" s="1430"/>
      <c r="AD296" s="1430"/>
      <c r="AE296" s="1430"/>
      <c r="AF296" s="1430"/>
      <c r="AG296" s="1430"/>
      <c r="AH296" s="1430"/>
      <c r="AI296" s="1430"/>
      <c r="AJ296" s="1430"/>
      <c r="AK296" s="1430"/>
      <c r="AL296" s="1430"/>
      <c r="AM296" s="1430"/>
      <c r="AN296" s="1430"/>
      <c r="AO296" s="1430"/>
      <c r="AP296" s="1430"/>
      <c r="AQ296" s="1430"/>
      <c r="AR296" s="1430"/>
      <c r="AS296" s="1430"/>
      <c r="AT296" s="1430"/>
      <c r="AU296" s="1430"/>
      <c r="AV296" s="1704"/>
      <c r="AW296" s="1430"/>
      <c r="AX296" s="1430"/>
      <c r="AY296" s="1430"/>
      <c r="AZ296" s="1430"/>
      <c r="BA296" s="1430"/>
      <c r="BB296" s="1430"/>
      <c r="BC296" s="1430"/>
      <c r="BD296" s="1475"/>
      <c r="BE296" s="1571" t="s">
        <v>1217</v>
      </c>
      <c r="BF296" s="1436">
        <v>21</v>
      </c>
      <c r="BG296" s="1436">
        <v>4</v>
      </c>
      <c r="BH296" s="1436">
        <v>1</v>
      </c>
      <c r="BI296" s="1495" t="b">
        <f t="shared" si="409"/>
        <v>1</v>
      </c>
      <c r="BJ296" s="1450" t="b">
        <f t="shared" si="417"/>
        <v>0</v>
      </c>
      <c r="BK296" s="1572">
        <f t="shared" si="418"/>
        <v>0</v>
      </c>
      <c r="BL296" s="1581">
        <f>IF(SUM(BL$293:BL295,BK296)&gt;$BS$4,0,BK296)</f>
        <v>0</v>
      </c>
      <c r="BM296" s="1436">
        <f t="shared" si="394"/>
        <v>0</v>
      </c>
      <c r="BN296" s="1495">
        <f t="shared" si="395"/>
        <v>0</v>
      </c>
      <c r="BO296" s="1437">
        <f t="shared" si="414"/>
        <v>0</v>
      </c>
      <c r="BP296" s="1762">
        <f t="shared" si="419"/>
        <v>0</v>
      </c>
      <c r="BQ296" s="1577">
        <f t="shared" si="420"/>
        <v>0</v>
      </c>
      <c r="BR296" s="1576">
        <f t="shared" si="396"/>
        <v>0</v>
      </c>
      <c r="BS296" s="1574">
        <f t="shared" si="421"/>
        <v>0</v>
      </c>
      <c r="BT296" s="1577">
        <f t="shared" si="422"/>
        <v>0</v>
      </c>
      <c r="BU296" s="1576">
        <f t="shared" si="397"/>
        <v>0</v>
      </c>
      <c r="BV296" s="1574">
        <f t="shared" si="423"/>
        <v>0</v>
      </c>
      <c r="BW296" s="1577">
        <f t="shared" si="424"/>
        <v>0</v>
      </c>
      <c r="BX296" s="1576">
        <f t="shared" si="398"/>
        <v>0</v>
      </c>
      <c r="BY296" s="1574">
        <f t="shared" si="425"/>
        <v>0</v>
      </c>
      <c r="BZ296" s="1577">
        <f t="shared" si="426"/>
        <v>0</v>
      </c>
      <c r="CA296" s="1576">
        <f t="shared" si="399"/>
        <v>0</v>
      </c>
      <c r="CB296" s="1495">
        <f t="shared" si="427"/>
        <v>0</v>
      </c>
      <c r="CC296" s="1577">
        <f t="shared" si="428"/>
        <v>0</v>
      </c>
      <c r="CD296" s="1576">
        <f t="shared" si="400"/>
        <v>0</v>
      </c>
      <c r="CE296" s="1495">
        <f t="shared" si="429"/>
        <v>0</v>
      </c>
      <c r="CF296" s="1577">
        <f t="shared" si="430"/>
        <v>0</v>
      </c>
      <c r="CG296" s="1576">
        <f t="shared" si="401"/>
        <v>0</v>
      </c>
      <c r="CH296" s="1495">
        <f t="shared" si="431"/>
        <v>0</v>
      </c>
      <c r="CI296" s="1577">
        <f t="shared" si="432"/>
        <v>0</v>
      </c>
      <c r="CJ296" s="1576">
        <f t="shared" si="402"/>
        <v>0</v>
      </c>
      <c r="CK296" s="1495">
        <f t="shared" si="433"/>
        <v>0</v>
      </c>
      <c r="CL296" s="1577">
        <f t="shared" si="434"/>
        <v>0</v>
      </c>
      <c r="CM296" s="1576">
        <f t="shared" si="403"/>
        <v>0</v>
      </c>
      <c r="CN296" s="1495">
        <f t="shared" si="435"/>
        <v>0</v>
      </c>
      <c r="CO296" s="1577">
        <f t="shared" si="436"/>
        <v>0</v>
      </c>
      <c r="CP296" s="1576">
        <f t="shared" si="404"/>
        <v>0</v>
      </c>
      <c r="CQ296" s="1495">
        <f t="shared" si="437"/>
        <v>0</v>
      </c>
      <c r="CR296" s="1577">
        <f t="shared" si="438"/>
        <v>0</v>
      </c>
      <c r="CS296" s="1576">
        <f t="shared" si="405"/>
        <v>0</v>
      </c>
      <c r="CT296" s="1495">
        <f t="shared" si="439"/>
        <v>0</v>
      </c>
      <c r="CU296" s="1577">
        <f t="shared" si="440"/>
        <v>0</v>
      </c>
      <c r="CV296" s="1576">
        <f t="shared" si="406"/>
        <v>0</v>
      </c>
      <c r="CW296" s="1495">
        <f t="shared" si="441"/>
        <v>0</v>
      </c>
      <c r="CX296" s="1577">
        <f t="shared" si="442"/>
        <v>0</v>
      </c>
      <c r="CY296" s="1576">
        <f t="shared" si="407"/>
        <v>0</v>
      </c>
      <c r="CZ296" s="1574">
        <f t="shared" si="408"/>
        <v>0</v>
      </c>
      <c r="DA296" s="1578">
        <f t="shared" si="410"/>
        <v>0</v>
      </c>
      <c r="DB296" s="1579">
        <f t="shared" si="411"/>
        <v>0</v>
      </c>
      <c r="DC296" s="1578">
        <f t="shared" si="412"/>
        <v>0</v>
      </c>
      <c r="DD296" s="1578">
        <f t="shared" si="412"/>
        <v>0</v>
      </c>
      <c r="DE296" s="1578">
        <f t="shared" si="412"/>
        <v>0</v>
      </c>
      <c r="DF296" s="1578">
        <f t="shared" si="413"/>
        <v>0</v>
      </c>
      <c r="DG296" s="1538"/>
      <c r="DH296" s="1538"/>
      <c r="DI296" s="1422"/>
      <c r="DJ296" s="1865" t="s">
        <v>2277</v>
      </c>
      <c r="DK296" s="1866">
        <v>4.0999999999999996</v>
      </c>
      <c r="DL296" s="1866" t="s">
        <v>2272</v>
      </c>
      <c r="DM296" s="1866" t="s">
        <v>2273</v>
      </c>
      <c r="DN296" s="1866">
        <f>DK296/10</f>
        <v>0.41</v>
      </c>
      <c r="DO296" s="1428"/>
      <c r="DP296" s="1428"/>
      <c r="DQ296" s="1422"/>
      <c r="DR296" s="1428"/>
      <c r="DS296" s="1428"/>
      <c r="DT296" s="1428"/>
      <c r="DU296" s="1428"/>
      <c r="DV296" s="1428"/>
      <c r="DW296" s="1428"/>
      <c r="DX296" s="1428"/>
      <c r="DY296" s="1428"/>
      <c r="DZ296" s="1428"/>
      <c r="EA296" s="1428"/>
      <c r="EB296" s="1428"/>
      <c r="EC296" s="1428"/>
      <c r="ED296" s="1428"/>
      <c r="EE296" s="1428"/>
      <c r="EF296" s="1428"/>
      <c r="EG296" s="1428"/>
      <c r="EH296" s="1428"/>
      <c r="EI296" s="1428"/>
      <c r="EJ296" s="1428"/>
      <c r="EK296" s="1428"/>
      <c r="EL296" s="1428"/>
      <c r="EM296" s="1428"/>
      <c r="EN296" s="1428"/>
      <c r="EO296" s="1428"/>
      <c r="EP296" s="1428"/>
      <c r="EQ296" s="1428"/>
      <c r="ER296" s="1428"/>
      <c r="ES296" s="1428"/>
      <c r="ET296" s="1428"/>
      <c r="EU296" s="1428"/>
    </row>
    <row r="297" spans="1:151" s="1440" customFormat="1" ht="15" customHeight="1">
      <c r="A297" s="1834"/>
      <c r="B297" s="1475"/>
      <c r="C297" s="1729">
        <f>SUM(C285:C296)</f>
        <v>0</v>
      </c>
      <c r="I297" s="1600" t="s">
        <v>804</v>
      </c>
      <c r="J297" s="1862">
        <f t="shared" si="416"/>
        <v>0</v>
      </c>
      <c r="K297" s="1862">
        <f t="shared" si="415"/>
        <v>0</v>
      </c>
      <c r="L297" s="1720"/>
      <c r="M297" s="1720"/>
      <c r="N297" s="1430" t="s">
        <v>2246</v>
      </c>
      <c r="O297" s="1430"/>
      <c r="P297" s="1430"/>
      <c r="Q297" s="1430"/>
      <c r="R297" s="1430"/>
      <c r="S297" s="1430"/>
      <c r="T297" s="1430"/>
      <c r="U297" s="1430"/>
      <c r="V297" s="1430"/>
      <c r="W297" s="1430"/>
      <c r="X297" s="1430"/>
      <c r="Y297" s="1430"/>
      <c r="Z297" s="1430"/>
      <c r="AA297" s="1430"/>
      <c r="AB297" s="1430"/>
      <c r="AC297" s="1430"/>
      <c r="AD297" s="1430"/>
      <c r="AE297" s="1430"/>
      <c r="AF297" s="1430"/>
      <c r="AG297" s="1430"/>
      <c r="AH297" s="1430"/>
      <c r="AI297" s="1430"/>
      <c r="AJ297" s="1430"/>
      <c r="AK297" s="1430"/>
      <c r="AL297" s="1430"/>
      <c r="AM297" s="1430"/>
      <c r="AN297" s="1430"/>
      <c r="AO297" s="1430"/>
      <c r="AP297" s="1430"/>
      <c r="AQ297" s="1430"/>
      <c r="AR297" s="1430"/>
      <c r="AS297" s="1430"/>
      <c r="AT297" s="1430"/>
      <c r="AU297" s="1430"/>
      <c r="AV297" s="1704"/>
      <c r="AW297" s="1430"/>
      <c r="AX297" s="1430"/>
      <c r="AY297" s="1430"/>
      <c r="AZ297" s="1430"/>
      <c r="BA297" s="1430"/>
      <c r="BB297" s="1430"/>
      <c r="BC297" s="1430"/>
      <c r="BD297" s="1475"/>
      <c r="BE297" s="1571" t="s">
        <v>1217</v>
      </c>
      <c r="BF297" s="1436">
        <v>21</v>
      </c>
      <c r="BG297" s="1436">
        <v>5</v>
      </c>
      <c r="BH297" s="1436">
        <v>2</v>
      </c>
      <c r="BI297" s="1495" t="b">
        <f t="shared" si="409"/>
        <v>1</v>
      </c>
      <c r="BJ297" s="1450" t="b">
        <f t="shared" si="417"/>
        <v>1</v>
      </c>
      <c r="BK297" s="1572">
        <f t="shared" si="418"/>
        <v>7.166666666666667</v>
      </c>
      <c r="BL297" s="1581">
        <f>IF(SUM(BL$293:BL296,BK297)&gt;$BS$4,0,BK297)</f>
        <v>7.166666666666667</v>
      </c>
      <c r="BM297" s="1436">
        <f t="shared" si="394"/>
        <v>0</v>
      </c>
      <c r="BN297" s="1495">
        <f t="shared" si="395"/>
        <v>0</v>
      </c>
      <c r="BO297" s="1437">
        <f t="shared" si="414"/>
        <v>0</v>
      </c>
      <c r="BP297" s="1762">
        <f t="shared" si="419"/>
        <v>0</v>
      </c>
      <c r="BQ297" s="1577">
        <f t="shared" si="420"/>
        <v>0</v>
      </c>
      <c r="BR297" s="1576">
        <f t="shared" si="396"/>
        <v>0</v>
      </c>
      <c r="BS297" s="1574">
        <f t="shared" si="421"/>
        <v>0</v>
      </c>
      <c r="BT297" s="1577">
        <f t="shared" si="422"/>
        <v>0</v>
      </c>
      <c r="BU297" s="1576">
        <f t="shared" si="397"/>
        <v>0</v>
      </c>
      <c r="BV297" s="1574">
        <f t="shared" si="423"/>
        <v>0</v>
      </c>
      <c r="BW297" s="1577">
        <f t="shared" si="424"/>
        <v>0</v>
      </c>
      <c r="BX297" s="1576">
        <f t="shared" si="398"/>
        <v>0</v>
      </c>
      <c r="BY297" s="1574">
        <f t="shared" si="425"/>
        <v>0</v>
      </c>
      <c r="BZ297" s="1577">
        <f t="shared" si="426"/>
        <v>0</v>
      </c>
      <c r="CA297" s="1576">
        <f t="shared" si="399"/>
        <v>0</v>
      </c>
      <c r="CB297" s="1495">
        <f t="shared" si="427"/>
        <v>0</v>
      </c>
      <c r="CC297" s="1577">
        <f t="shared" si="428"/>
        <v>0</v>
      </c>
      <c r="CD297" s="1576">
        <f t="shared" si="400"/>
        <v>0</v>
      </c>
      <c r="CE297" s="1495">
        <f t="shared" si="429"/>
        <v>0</v>
      </c>
      <c r="CF297" s="1577">
        <f t="shared" si="430"/>
        <v>0</v>
      </c>
      <c r="CG297" s="1576">
        <f t="shared" si="401"/>
        <v>0</v>
      </c>
      <c r="CH297" s="1495">
        <f t="shared" si="431"/>
        <v>0</v>
      </c>
      <c r="CI297" s="1577">
        <f t="shared" si="432"/>
        <v>0</v>
      </c>
      <c r="CJ297" s="1576">
        <f t="shared" si="402"/>
        <v>0</v>
      </c>
      <c r="CK297" s="1495">
        <f t="shared" si="433"/>
        <v>0</v>
      </c>
      <c r="CL297" s="1577">
        <f t="shared" si="434"/>
        <v>0</v>
      </c>
      <c r="CM297" s="1576">
        <f t="shared" si="403"/>
        <v>0</v>
      </c>
      <c r="CN297" s="1495">
        <f t="shared" si="435"/>
        <v>0</v>
      </c>
      <c r="CO297" s="1577">
        <f t="shared" si="436"/>
        <v>0</v>
      </c>
      <c r="CP297" s="1576">
        <f t="shared" si="404"/>
        <v>0</v>
      </c>
      <c r="CQ297" s="1495">
        <f t="shared" si="437"/>
        <v>0</v>
      </c>
      <c r="CR297" s="1577">
        <f t="shared" si="438"/>
        <v>0</v>
      </c>
      <c r="CS297" s="1576">
        <f t="shared" si="405"/>
        <v>0</v>
      </c>
      <c r="CT297" s="1495">
        <f t="shared" si="439"/>
        <v>0</v>
      </c>
      <c r="CU297" s="1577">
        <f t="shared" si="440"/>
        <v>0</v>
      </c>
      <c r="CV297" s="1576">
        <f t="shared" si="406"/>
        <v>0</v>
      </c>
      <c r="CW297" s="1495">
        <f t="shared" si="441"/>
        <v>0</v>
      </c>
      <c r="CX297" s="1577">
        <f t="shared" si="442"/>
        <v>0</v>
      </c>
      <c r="CY297" s="1576">
        <f t="shared" si="407"/>
        <v>0</v>
      </c>
      <c r="CZ297" s="1574">
        <f t="shared" si="408"/>
        <v>0</v>
      </c>
      <c r="DA297" s="1578">
        <f t="shared" si="410"/>
        <v>0</v>
      </c>
      <c r="DB297" s="1579">
        <f t="shared" si="411"/>
        <v>0</v>
      </c>
      <c r="DC297" s="1578">
        <f t="shared" si="412"/>
        <v>0</v>
      </c>
      <c r="DD297" s="1578">
        <f t="shared" si="412"/>
        <v>0</v>
      </c>
      <c r="DE297" s="1578">
        <f t="shared" si="412"/>
        <v>0</v>
      </c>
      <c r="DF297" s="1578">
        <f>IF(DA297-(DE296+CZ297)&lt;0,0,DA297-(DE296+CZ297))</f>
        <v>0</v>
      </c>
      <c r="DG297" s="1538"/>
      <c r="DH297" s="1538"/>
      <c r="DI297" s="1422"/>
      <c r="DJ297" s="1865" t="s">
        <v>2257</v>
      </c>
      <c r="DK297" s="1866">
        <v>20</v>
      </c>
      <c r="DL297" s="1866" t="s">
        <v>2278</v>
      </c>
      <c r="DM297" s="1866" t="s">
        <v>2279</v>
      </c>
      <c r="DN297" s="1866">
        <f>DK297/5</f>
        <v>4</v>
      </c>
      <c r="DO297" s="1428"/>
      <c r="DP297" s="1428"/>
      <c r="DQ297" s="1422"/>
      <c r="DR297" s="1428"/>
      <c r="DS297" s="1428"/>
      <c r="DT297" s="1428"/>
      <c r="DU297" s="1428"/>
      <c r="DV297" s="1428"/>
      <c r="DW297" s="1428"/>
      <c r="DX297" s="1428"/>
      <c r="DY297" s="1428"/>
      <c r="DZ297" s="1428"/>
      <c r="EA297" s="1428"/>
      <c r="EB297" s="1428"/>
      <c r="EC297" s="1428"/>
      <c r="ED297" s="1428"/>
      <c r="EE297" s="1428"/>
      <c r="EF297" s="1428"/>
      <c r="EG297" s="1428"/>
      <c r="EH297" s="1428"/>
      <c r="EI297" s="1428"/>
      <c r="EJ297" s="1428"/>
      <c r="EK297" s="1428"/>
      <c r="EL297" s="1428"/>
      <c r="EM297" s="1428"/>
      <c r="EN297" s="1428"/>
      <c r="EO297" s="1428"/>
      <c r="EP297" s="1428"/>
      <c r="EQ297" s="1428"/>
      <c r="ER297" s="1428"/>
      <c r="ES297" s="1428"/>
      <c r="ET297" s="1428"/>
      <c r="EU297" s="1428"/>
    </row>
    <row r="298" spans="1:151" s="1440" customFormat="1" ht="15" customHeight="1">
      <c r="A298" s="1834"/>
      <c r="I298" s="1600" t="s">
        <v>1603</v>
      </c>
      <c r="J298" s="1862">
        <f t="shared" si="416"/>
        <v>0</v>
      </c>
      <c r="K298" s="1862">
        <f t="shared" si="415"/>
        <v>0</v>
      </c>
      <c r="L298" s="1720"/>
      <c r="M298" s="1720"/>
      <c r="N298" s="1430"/>
      <c r="O298" s="1430"/>
      <c r="P298" s="1430"/>
      <c r="Q298" s="1430"/>
      <c r="R298" s="1430"/>
      <c r="S298" s="1430"/>
      <c r="T298" s="1430"/>
      <c r="U298" s="1430"/>
      <c r="V298" s="1430"/>
      <c r="W298" s="1430"/>
      <c r="X298" s="1430"/>
      <c r="Y298" s="1430"/>
      <c r="Z298" s="1430"/>
      <c r="AA298" s="1430"/>
      <c r="AB298" s="1430"/>
      <c r="AC298" s="1430"/>
      <c r="AD298" s="1430"/>
      <c r="AE298" s="1430"/>
      <c r="AF298" s="1430"/>
      <c r="AG298" s="1430"/>
      <c r="AH298" s="1430"/>
      <c r="AI298" s="1430"/>
      <c r="AJ298" s="1430"/>
      <c r="AK298" s="1430"/>
      <c r="AL298" s="1430"/>
      <c r="AM298" s="1430"/>
      <c r="AN298" s="1430"/>
      <c r="AO298" s="1430"/>
      <c r="AP298" s="1430"/>
      <c r="AQ298" s="1430"/>
      <c r="AR298" s="1430"/>
      <c r="AS298" s="1430"/>
      <c r="AT298" s="1430"/>
      <c r="AU298" s="1430"/>
      <c r="AV298" s="1704"/>
      <c r="AW298" s="1430"/>
      <c r="AX298" s="1430"/>
      <c r="AY298" s="1430"/>
      <c r="AZ298" s="1430"/>
      <c r="BA298" s="1430"/>
      <c r="BB298" s="1430"/>
      <c r="BC298" s="1430"/>
      <c r="BD298" s="1475"/>
      <c r="BE298" s="1571" t="s">
        <v>1217</v>
      </c>
      <c r="BF298" s="1436">
        <v>21</v>
      </c>
      <c r="BG298" s="1436">
        <v>6</v>
      </c>
      <c r="BH298" s="1436">
        <v>3</v>
      </c>
      <c r="BI298" s="1495" t="b">
        <f t="shared" si="409"/>
        <v>1</v>
      </c>
      <c r="BJ298" s="1450" t="b">
        <f t="shared" si="417"/>
        <v>0</v>
      </c>
      <c r="BK298" s="1572">
        <f t="shared" si="418"/>
        <v>0</v>
      </c>
      <c r="BL298" s="1581">
        <f>IF(SUM(BL$293:BL297,BK298)&gt;$BS$4,0,BK298)</f>
        <v>0</v>
      </c>
      <c r="BM298" s="1436">
        <f t="shared" si="394"/>
        <v>0</v>
      </c>
      <c r="BN298" s="1495">
        <f t="shared" si="395"/>
        <v>0</v>
      </c>
      <c r="BO298" s="1437">
        <f t="shared" si="414"/>
        <v>0</v>
      </c>
      <c r="BP298" s="1762">
        <f t="shared" si="419"/>
        <v>0</v>
      </c>
      <c r="BQ298" s="1577">
        <f t="shared" si="420"/>
        <v>0</v>
      </c>
      <c r="BR298" s="1576">
        <f t="shared" si="396"/>
        <v>0</v>
      </c>
      <c r="BS298" s="1574">
        <f t="shared" si="421"/>
        <v>0</v>
      </c>
      <c r="BT298" s="1577">
        <f t="shared" si="422"/>
        <v>0</v>
      </c>
      <c r="BU298" s="1576">
        <f t="shared" si="397"/>
        <v>0</v>
      </c>
      <c r="BV298" s="1574">
        <f t="shared" si="423"/>
        <v>0</v>
      </c>
      <c r="BW298" s="1577">
        <f t="shared" si="424"/>
        <v>0</v>
      </c>
      <c r="BX298" s="1576">
        <f t="shared" si="398"/>
        <v>0</v>
      </c>
      <c r="BY298" s="1574">
        <f t="shared" si="425"/>
        <v>0</v>
      </c>
      <c r="BZ298" s="1577">
        <f t="shared" si="426"/>
        <v>0</v>
      </c>
      <c r="CA298" s="1576">
        <f t="shared" si="399"/>
        <v>0</v>
      </c>
      <c r="CB298" s="1495">
        <f t="shared" si="427"/>
        <v>0</v>
      </c>
      <c r="CC298" s="1577">
        <f t="shared" si="428"/>
        <v>0</v>
      </c>
      <c r="CD298" s="1576">
        <f t="shared" si="400"/>
        <v>0</v>
      </c>
      <c r="CE298" s="1495">
        <f t="shared" si="429"/>
        <v>0</v>
      </c>
      <c r="CF298" s="1577">
        <f t="shared" si="430"/>
        <v>0</v>
      </c>
      <c r="CG298" s="1576">
        <f t="shared" si="401"/>
        <v>0</v>
      </c>
      <c r="CH298" s="1495">
        <f t="shared" si="431"/>
        <v>0</v>
      </c>
      <c r="CI298" s="1577">
        <f t="shared" si="432"/>
        <v>0</v>
      </c>
      <c r="CJ298" s="1576">
        <f t="shared" si="402"/>
        <v>0</v>
      </c>
      <c r="CK298" s="1495">
        <f t="shared" si="433"/>
        <v>0</v>
      </c>
      <c r="CL298" s="1577">
        <f t="shared" si="434"/>
        <v>0</v>
      </c>
      <c r="CM298" s="1576">
        <f t="shared" si="403"/>
        <v>0</v>
      </c>
      <c r="CN298" s="1495">
        <f t="shared" si="435"/>
        <v>0</v>
      </c>
      <c r="CO298" s="1577">
        <f t="shared" si="436"/>
        <v>0</v>
      </c>
      <c r="CP298" s="1576">
        <f t="shared" si="404"/>
        <v>0</v>
      </c>
      <c r="CQ298" s="1495">
        <f t="shared" si="437"/>
        <v>0</v>
      </c>
      <c r="CR298" s="1577">
        <f t="shared" si="438"/>
        <v>0</v>
      </c>
      <c r="CS298" s="1576">
        <f t="shared" si="405"/>
        <v>0</v>
      </c>
      <c r="CT298" s="1495">
        <f t="shared" si="439"/>
        <v>0</v>
      </c>
      <c r="CU298" s="1577">
        <f t="shared" si="440"/>
        <v>0</v>
      </c>
      <c r="CV298" s="1576">
        <f t="shared" si="406"/>
        <v>0</v>
      </c>
      <c r="CW298" s="1495">
        <f t="shared" si="441"/>
        <v>0</v>
      </c>
      <c r="CX298" s="1577">
        <f t="shared" si="442"/>
        <v>0</v>
      </c>
      <c r="CY298" s="1576">
        <f t="shared" si="407"/>
        <v>0</v>
      </c>
      <c r="CZ298" s="1574">
        <f t="shared" si="408"/>
        <v>0</v>
      </c>
      <c r="DA298" s="1578">
        <f t="shared" si="410"/>
        <v>0</v>
      </c>
      <c r="DB298" s="1579">
        <f t="shared" si="411"/>
        <v>0</v>
      </c>
      <c r="DC298" s="1578">
        <f t="shared" si="412"/>
        <v>0</v>
      </c>
      <c r="DD298" s="1578">
        <f t="shared" si="412"/>
        <v>0</v>
      </c>
      <c r="DE298" s="1578">
        <f t="shared" si="412"/>
        <v>0</v>
      </c>
      <c r="DF298" s="1578">
        <f t="shared" si="413"/>
        <v>0</v>
      </c>
      <c r="DG298" s="1538"/>
      <c r="DH298" s="1538"/>
      <c r="DI298" s="1422"/>
      <c r="DJ298" s="1865" t="s">
        <v>2280</v>
      </c>
      <c r="DK298" s="1866">
        <v>12</v>
      </c>
      <c r="DL298" s="1866" t="s">
        <v>2278</v>
      </c>
      <c r="DM298" s="1866" t="s">
        <v>2279</v>
      </c>
      <c r="DN298" s="1866">
        <f>DK298/5</f>
        <v>2.4</v>
      </c>
      <c r="DO298" s="1428"/>
      <c r="DP298" s="1428"/>
      <c r="DQ298" s="1422"/>
      <c r="DR298" s="1428"/>
      <c r="DS298" s="1428"/>
      <c r="DT298" s="1428"/>
      <c r="DU298" s="1428"/>
      <c r="DV298" s="1428"/>
      <c r="DW298" s="1428"/>
      <c r="DX298" s="1428"/>
      <c r="DY298" s="1428"/>
      <c r="DZ298" s="1428"/>
      <c r="EA298" s="1428"/>
      <c r="EB298" s="1428"/>
      <c r="EC298" s="1428"/>
      <c r="ED298" s="1428"/>
      <c r="EE298" s="1428"/>
      <c r="EF298" s="1428"/>
      <c r="EG298" s="1428"/>
      <c r="EH298" s="1428"/>
      <c r="EI298" s="1428"/>
      <c r="EJ298" s="1428"/>
      <c r="EK298" s="1428"/>
      <c r="EL298" s="1428"/>
      <c r="EM298" s="1428"/>
      <c r="EN298" s="1428"/>
      <c r="EO298" s="1428"/>
      <c r="EP298" s="1428"/>
      <c r="EQ298" s="1428"/>
      <c r="ER298" s="1428"/>
      <c r="ES298" s="1428"/>
      <c r="ET298" s="1428"/>
      <c r="EU298" s="1428"/>
    </row>
    <row r="299" spans="1:151" s="1440" customFormat="1" ht="17.25" customHeight="1">
      <c r="A299" s="1834"/>
      <c r="J299" s="1867">
        <f>SUM(J287:J298)</f>
        <v>0</v>
      </c>
      <c r="K299" s="1867">
        <f>SUM(K287:K298)</f>
        <v>0</v>
      </c>
      <c r="L299" s="1720"/>
      <c r="M299" s="1720"/>
      <c r="N299" s="1430"/>
      <c r="O299" s="1430"/>
      <c r="P299" s="1430"/>
      <c r="Q299" s="1430"/>
      <c r="R299" s="1430"/>
      <c r="S299" s="1430"/>
      <c r="T299" s="1430"/>
      <c r="U299" s="1430"/>
      <c r="V299" s="1430"/>
      <c r="W299" s="1430"/>
      <c r="X299" s="1430"/>
      <c r="Y299" s="1430"/>
      <c r="Z299" s="1430"/>
      <c r="AA299" s="1430"/>
      <c r="AB299" s="1430"/>
      <c r="AC299" s="1430"/>
      <c r="AD299" s="1430"/>
      <c r="AE299" s="1430"/>
      <c r="AF299" s="1430"/>
      <c r="AG299" s="1430"/>
      <c r="AH299" s="1430"/>
      <c r="AI299" s="1430"/>
      <c r="AJ299" s="1430"/>
      <c r="AK299" s="1430"/>
      <c r="AL299" s="1430"/>
      <c r="AM299" s="1430"/>
      <c r="AN299" s="1430"/>
      <c r="AO299" s="1430"/>
      <c r="AP299" s="1430"/>
      <c r="AQ299" s="1430"/>
      <c r="AR299" s="1430"/>
      <c r="AS299" s="1430"/>
      <c r="AT299" s="1430"/>
      <c r="AU299" s="1430"/>
      <c r="AV299" s="1704"/>
      <c r="AW299" s="1430"/>
      <c r="AX299" s="1430"/>
      <c r="AY299" s="1430"/>
      <c r="AZ299" s="1430"/>
      <c r="BA299" s="1430"/>
      <c r="BB299" s="1430"/>
      <c r="BC299" s="1430"/>
      <c r="BD299" s="1475"/>
      <c r="BE299" s="1571" t="s">
        <v>1217</v>
      </c>
      <c r="BF299" s="1436">
        <v>21</v>
      </c>
      <c r="BG299" s="1436">
        <v>7</v>
      </c>
      <c r="BH299" s="1436">
        <v>4</v>
      </c>
      <c r="BI299" s="1495" t="b">
        <f t="shared" si="409"/>
        <v>1</v>
      </c>
      <c r="BJ299" s="1450" t="b">
        <f t="shared" si="417"/>
        <v>0</v>
      </c>
      <c r="BK299" s="1572">
        <f t="shared" si="418"/>
        <v>0</v>
      </c>
      <c r="BL299" s="1581">
        <f>IF(SUM(BL$293:BL298,BK299)&gt;$BS$4,0,BK299)</f>
        <v>0</v>
      </c>
      <c r="BM299" s="1436">
        <f t="shared" si="394"/>
        <v>0</v>
      </c>
      <c r="BN299" s="1495">
        <f t="shared" si="395"/>
        <v>0</v>
      </c>
      <c r="BO299" s="1437">
        <f t="shared" si="414"/>
        <v>0</v>
      </c>
      <c r="BP299" s="1762">
        <f t="shared" si="419"/>
        <v>0</v>
      </c>
      <c r="BQ299" s="1577">
        <f t="shared" si="420"/>
        <v>0</v>
      </c>
      <c r="BR299" s="1576">
        <f t="shared" si="396"/>
        <v>0</v>
      </c>
      <c r="BS299" s="1574">
        <f t="shared" si="421"/>
        <v>0</v>
      </c>
      <c r="BT299" s="1577">
        <f t="shared" si="422"/>
        <v>0</v>
      </c>
      <c r="BU299" s="1576">
        <f t="shared" si="397"/>
        <v>0</v>
      </c>
      <c r="BV299" s="1574">
        <f t="shared" si="423"/>
        <v>0</v>
      </c>
      <c r="BW299" s="1577">
        <f t="shared" si="424"/>
        <v>0</v>
      </c>
      <c r="BX299" s="1576">
        <f t="shared" si="398"/>
        <v>0</v>
      </c>
      <c r="BY299" s="1574">
        <f t="shared" si="425"/>
        <v>0</v>
      </c>
      <c r="BZ299" s="1577">
        <f t="shared" si="426"/>
        <v>0</v>
      </c>
      <c r="CA299" s="1576">
        <f t="shared" si="399"/>
        <v>0</v>
      </c>
      <c r="CB299" s="1495">
        <f t="shared" si="427"/>
        <v>0</v>
      </c>
      <c r="CC299" s="1577">
        <f t="shared" si="428"/>
        <v>0</v>
      </c>
      <c r="CD299" s="1576">
        <f t="shared" si="400"/>
        <v>0</v>
      </c>
      <c r="CE299" s="1495">
        <f t="shared" si="429"/>
        <v>0</v>
      </c>
      <c r="CF299" s="1577">
        <f t="shared" si="430"/>
        <v>0</v>
      </c>
      <c r="CG299" s="1576">
        <f t="shared" si="401"/>
        <v>0</v>
      </c>
      <c r="CH299" s="1495">
        <f t="shared" si="431"/>
        <v>0</v>
      </c>
      <c r="CI299" s="1577">
        <f t="shared" si="432"/>
        <v>0</v>
      </c>
      <c r="CJ299" s="1576">
        <f t="shared" si="402"/>
        <v>0</v>
      </c>
      <c r="CK299" s="1495">
        <f t="shared" si="433"/>
        <v>0</v>
      </c>
      <c r="CL299" s="1577">
        <f t="shared" si="434"/>
        <v>0</v>
      </c>
      <c r="CM299" s="1576">
        <f t="shared" si="403"/>
        <v>0</v>
      </c>
      <c r="CN299" s="1495">
        <f t="shared" si="435"/>
        <v>0</v>
      </c>
      <c r="CO299" s="1577">
        <f t="shared" si="436"/>
        <v>0</v>
      </c>
      <c r="CP299" s="1576">
        <f t="shared" si="404"/>
        <v>0</v>
      </c>
      <c r="CQ299" s="1495">
        <f t="shared" si="437"/>
        <v>0</v>
      </c>
      <c r="CR299" s="1577">
        <f t="shared" si="438"/>
        <v>0</v>
      </c>
      <c r="CS299" s="1576">
        <f t="shared" si="405"/>
        <v>0</v>
      </c>
      <c r="CT299" s="1495">
        <f t="shared" si="439"/>
        <v>0</v>
      </c>
      <c r="CU299" s="1577">
        <f t="shared" si="440"/>
        <v>0</v>
      </c>
      <c r="CV299" s="1576">
        <f t="shared" si="406"/>
        <v>0</v>
      </c>
      <c r="CW299" s="1495">
        <f t="shared" si="441"/>
        <v>0</v>
      </c>
      <c r="CX299" s="1577">
        <f t="shared" si="442"/>
        <v>0</v>
      </c>
      <c r="CY299" s="1576">
        <f t="shared" si="407"/>
        <v>0</v>
      </c>
      <c r="CZ299" s="1574">
        <f t="shared" si="408"/>
        <v>0</v>
      </c>
      <c r="DA299" s="1578">
        <f t="shared" si="410"/>
        <v>0</v>
      </c>
      <c r="DB299" s="1579">
        <f t="shared" si="411"/>
        <v>0</v>
      </c>
      <c r="DC299" s="1578">
        <f t="shared" si="412"/>
        <v>0</v>
      </c>
      <c r="DD299" s="1578">
        <f t="shared" si="412"/>
        <v>0</v>
      </c>
      <c r="DE299" s="1578">
        <f t="shared" si="412"/>
        <v>0</v>
      </c>
      <c r="DF299" s="1578">
        <f t="shared" si="413"/>
        <v>0</v>
      </c>
      <c r="DG299" s="1538"/>
      <c r="DH299" s="1538"/>
      <c r="DI299" s="1422"/>
      <c r="DJ299" s="1865" t="s">
        <v>2260</v>
      </c>
      <c r="DK299" s="1866">
        <v>57</v>
      </c>
      <c r="DL299" s="1866" t="s">
        <v>2281</v>
      </c>
      <c r="DM299" s="1866" t="s">
        <v>2282</v>
      </c>
      <c r="DN299" s="1866">
        <f>DK299/25</f>
        <v>2.2799999999999998</v>
      </c>
      <c r="DO299" s="1428"/>
      <c r="DP299" s="1428"/>
      <c r="DQ299" s="1422"/>
      <c r="DR299" s="1428"/>
      <c r="DS299" s="1428"/>
      <c r="DT299" s="1428"/>
      <c r="DU299" s="1428"/>
      <c r="DV299" s="1428"/>
      <c r="DW299" s="1428"/>
      <c r="DX299" s="1428"/>
      <c r="DY299" s="1428"/>
      <c r="DZ299" s="1428"/>
      <c r="EA299" s="1428"/>
      <c r="EB299" s="1428"/>
      <c r="EC299" s="1428"/>
      <c r="ED299" s="1428"/>
      <c r="EE299" s="1428"/>
      <c r="EF299" s="1428"/>
      <c r="EG299" s="1428"/>
      <c r="EH299" s="1428"/>
      <c r="EI299" s="1428"/>
      <c r="EJ299" s="1428"/>
      <c r="EK299" s="1428"/>
      <c r="EL299" s="1428"/>
      <c r="EM299" s="1428"/>
      <c r="EN299" s="1428"/>
      <c r="EO299" s="1428"/>
      <c r="EP299" s="1428"/>
      <c r="EQ299" s="1428"/>
      <c r="ER299" s="1428"/>
      <c r="ES299" s="1428"/>
      <c r="ET299" s="1428"/>
      <c r="EU299" s="1428"/>
    </row>
    <row r="300" spans="1:151" s="1440" customFormat="1" ht="15" customHeight="1">
      <c r="A300" s="1834"/>
      <c r="K300" s="1720"/>
      <c r="L300" s="1720"/>
      <c r="M300" s="1720"/>
      <c r="N300" s="1430"/>
      <c r="O300" s="1430"/>
      <c r="P300" s="1430"/>
      <c r="Q300" s="1430"/>
      <c r="R300" s="1430"/>
      <c r="S300" s="1430"/>
      <c r="T300" s="1430"/>
      <c r="U300" s="1430"/>
      <c r="V300" s="1430"/>
      <c r="W300" s="1430"/>
      <c r="X300" s="1430"/>
      <c r="Y300" s="1430"/>
      <c r="Z300" s="1430"/>
      <c r="AA300" s="1430"/>
      <c r="AB300" s="1430"/>
      <c r="AC300" s="1430"/>
      <c r="AD300" s="1430"/>
      <c r="AE300" s="1430"/>
      <c r="AF300" s="1430"/>
      <c r="AG300" s="1430"/>
      <c r="AH300" s="1430"/>
      <c r="AI300" s="1430"/>
      <c r="AJ300" s="1430"/>
      <c r="AK300" s="1430"/>
      <c r="AL300" s="1430"/>
      <c r="AM300" s="1430"/>
      <c r="AN300" s="1430"/>
      <c r="AO300" s="1430"/>
      <c r="AP300" s="1430"/>
      <c r="AQ300" s="1430"/>
      <c r="AR300" s="1430"/>
      <c r="AS300" s="1430"/>
      <c r="AT300" s="1430"/>
      <c r="AU300" s="1430"/>
      <c r="AV300" s="1704"/>
      <c r="AW300" s="1430"/>
      <c r="AX300" s="1430"/>
      <c r="AY300" s="1430"/>
      <c r="AZ300" s="1430"/>
      <c r="BA300" s="1430"/>
      <c r="BB300" s="1430"/>
      <c r="BC300" s="1430"/>
      <c r="BD300" s="1475"/>
      <c r="BE300" s="1571" t="s">
        <v>1217</v>
      </c>
      <c r="BF300" s="1436">
        <v>21</v>
      </c>
      <c r="BG300" s="1436">
        <v>8</v>
      </c>
      <c r="BH300" s="1436">
        <v>5</v>
      </c>
      <c r="BI300" s="1495" t="b">
        <f t="shared" si="409"/>
        <v>1</v>
      </c>
      <c r="BJ300" s="1450" t="b">
        <f t="shared" si="417"/>
        <v>0</v>
      </c>
      <c r="BK300" s="1572">
        <f t="shared" si="418"/>
        <v>0</v>
      </c>
      <c r="BL300" s="1581">
        <f>IF(SUM(BL$293:BL299,BK300)&gt;$BS$4,0,BK300)</f>
        <v>0</v>
      </c>
      <c r="BM300" s="1436">
        <f t="shared" si="394"/>
        <v>0</v>
      </c>
      <c r="BN300" s="1495">
        <f t="shared" si="395"/>
        <v>0</v>
      </c>
      <c r="BO300" s="1437">
        <f t="shared" si="414"/>
        <v>0</v>
      </c>
      <c r="BP300" s="1762">
        <f t="shared" si="419"/>
        <v>0</v>
      </c>
      <c r="BQ300" s="1577">
        <f t="shared" si="420"/>
        <v>0</v>
      </c>
      <c r="BR300" s="1576">
        <f t="shared" si="396"/>
        <v>0</v>
      </c>
      <c r="BS300" s="1574">
        <f t="shared" si="421"/>
        <v>0</v>
      </c>
      <c r="BT300" s="1577">
        <f t="shared" si="422"/>
        <v>0</v>
      </c>
      <c r="BU300" s="1576">
        <f t="shared" si="397"/>
        <v>0</v>
      </c>
      <c r="BV300" s="1574">
        <f t="shared" si="423"/>
        <v>0</v>
      </c>
      <c r="BW300" s="1577">
        <f t="shared" si="424"/>
        <v>0</v>
      </c>
      <c r="BX300" s="1576">
        <f t="shared" si="398"/>
        <v>0</v>
      </c>
      <c r="BY300" s="1574">
        <f t="shared" si="425"/>
        <v>0</v>
      </c>
      <c r="BZ300" s="1577">
        <f t="shared" si="426"/>
        <v>0</v>
      </c>
      <c r="CA300" s="1576">
        <f t="shared" si="399"/>
        <v>0</v>
      </c>
      <c r="CB300" s="1495">
        <f t="shared" si="427"/>
        <v>0</v>
      </c>
      <c r="CC300" s="1577">
        <f t="shared" si="428"/>
        <v>0</v>
      </c>
      <c r="CD300" s="1576">
        <f t="shared" si="400"/>
        <v>0</v>
      </c>
      <c r="CE300" s="1495">
        <f t="shared" si="429"/>
        <v>0</v>
      </c>
      <c r="CF300" s="1577">
        <f t="shared" si="430"/>
        <v>0</v>
      </c>
      <c r="CG300" s="1576">
        <f t="shared" si="401"/>
        <v>0</v>
      </c>
      <c r="CH300" s="1495">
        <f t="shared" si="431"/>
        <v>0</v>
      </c>
      <c r="CI300" s="1577">
        <f t="shared" si="432"/>
        <v>0</v>
      </c>
      <c r="CJ300" s="1576">
        <f t="shared" si="402"/>
        <v>0</v>
      </c>
      <c r="CK300" s="1495">
        <f t="shared" si="433"/>
        <v>0</v>
      </c>
      <c r="CL300" s="1577">
        <f t="shared" si="434"/>
        <v>0</v>
      </c>
      <c r="CM300" s="1576">
        <f t="shared" si="403"/>
        <v>0</v>
      </c>
      <c r="CN300" s="1495">
        <f t="shared" si="435"/>
        <v>0</v>
      </c>
      <c r="CO300" s="1577">
        <f t="shared" si="436"/>
        <v>0</v>
      </c>
      <c r="CP300" s="1576">
        <f t="shared" si="404"/>
        <v>0</v>
      </c>
      <c r="CQ300" s="1495">
        <f t="shared" si="437"/>
        <v>0</v>
      </c>
      <c r="CR300" s="1577">
        <f t="shared" si="438"/>
        <v>0</v>
      </c>
      <c r="CS300" s="1576">
        <f t="shared" si="405"/>
        <v>0</v>
      </c>
      <c r="CT300" s="1495">
        <f t="shared" si="439"/>
        <v>0</v>
      </c>
      <c r="CU300" s="1577">
        <f t="shared" si="440"/>
        <v>0</v>
      </c>
      <c r="CV300" s="1576">
        <f t="shared" si="406"/>
        <v>0</v>
      </c>
      <c r="CW300" s="1495">
        <f t="shared" si="441"/>
        <v>0</v>
      </c>
      <c r="CX300" s="1577">
        <f t="shared" si="442"/>
        <v>0</v>
      </c>
      <c r="CY300" s="1576">
        <f t="shared" si="407"/>
        <v>0</v>
      </c>
      <c r="CZ300" s="1574">
        <f t="shared" si="408"/>
        <v>0</v>
      </c>
      <c r="DA300" s="1578">
        <f t="shared" si="410"/>
        <v>0</v>
      </c>
      <c r="DB300" s="1579">
        <f t="shared" si="411"/>
        <v>0</v>
      </c>
      <c r="DC300" s="1578">
        <f t="shared" si="412"/>
        <v>0</v>
      </c>
      <c r="DD300" s="1578">
        <f t="shared" si="412"/>
        <v>0</v>
      </c>
      <c r="DE300" s="1578">
        <f t="shared" si="412"/>
        <v>0</v>
      </c>
      <c r="DF300" s="1578">
        <f t="shared" si="413"/>
        <v>0</v>
      </c>
      <c r="DG300" s="1538"/>
      <c r="DH300" s="1538"/>
      <c r="DI300" s="1422"/>
      <c r="DJ300" s="1428"/>
      <c r="DK300" s="1428"/>
      <c r="DL300" s="1428"/>
      <c r="DM300" s="1428"/>
      <c r="DN300" s="1428"/>
      <c r="DO300" s="1428"/>
      <c r="DP300" s="1428"/>
      <c r="DQ300" s="1422"/>
      <c r="DR300" s="1428"/>
      <c r="DS300" s="1428"/>
      <c r="DT300" s="1428"/>
      <c r="DU300" s="1428"/>
      <c r="DV300" s="1428"/>
      <c r="DW300" s="1428"/>
      <c r="DX300" s="1428"/>
      <c r="DY300" s="1428"/>
      <c r="DZ300" s="1428"/>
      <c r="EA300" s="1428"/>
      <c r="EB300" s="1428"/>
      <c r="EC300" s="1428"/>
      <c r="ED300" s="1428"/>
      <c r="EE300" s="1428"/>
      <c r="EF300" s="1428"/>
      <c r="EG300" s="1428"/>
      <c r="EH300" s="1428"/>
      <c r="EI300" s="1428"/>
      <c r="EJ300" s="1428"/>
      <c r="EK300" s="1428"/>
      <c r="EL300" s="1428"/>
      <c r="EM300" s="1428"/>
      <c r="EN300" s="1428"/>
      <c r="EO300" s="1428"/>
      <c r="EP300" s="1428"/>
      <c r="EQ300" s="1428"/>
      <c r="ER300" s="1428"/>
      <c r="ES300" s="1428"/>
      <c r="ET300" s="1428"/>
      <c r="EU300" s="1428"/>
    </row>
    <row r="301" spans="1:151" s="1440" customFormat="1" ht="15" customHeight="1">
      <c r="A301" s="1834"/>
      <c r="B301" s="1829"/>
      <c r="C301" s="1700" t="s">
        <v>1822</v>
      </c>
      <c r="D301" s="1736" t="s">
        <v>1823</v>
      </c>
      <c r="K301" s="1720"/>
      <c r="L301" s="1720"/>
      <c r="M301" s="1720"/>
      <c r="N301" s="1430"/>
      <c r="O301" s="1430"/>
      <c r="P301" s="1430"/>
      <c r="Q301" s="1430"/>
      <c r="R301" s="1430"/>
      <c r="S301" s="1430"/>
      <c r="T301" s="1430"/>
      <c r="U301" s="1430"/>
      <c r="V301" s="1430"/>
      <c r="W301" s="1430"/>
      <c r="X301" s="1430"/>
      <c r="Y301" s="1430"/>
      <c r="Z301" s="1430"/>
      <c r="AA301" s="1430"/>
      <c r="AB301" s="1430"/>
      <c r="AC301" s="1430"/>
      <c r="AD301" s="1430"/>
      <c r="AE301" s="1430"/>
      <c r="AF301" s="1430"/>
      <c r="AG301" s="1430"/>
      <c r="AH301" s="1430"/>
      <c r="AI301" s="1430"/>
      <c r="AJ301" s="1430"/>
      <c r="AK301" s="1430"/>
      <c r="AL301" s="1430"/>
      <c r="AM301" s="1430"/>
      <c r="AN301" s="1430"/>
      <c r="AO301" s="1430"/>
      <c r="AP301" s="1430"/>
      <c r="AQ301" s="1430"/>
      <c r="AR301" s="1430"/>
      <c r="AS301" s="1430"/>
      <c r="AT301" s="1430"/>
      <c r="AU301" s="1430"/>
      <c r="AV301" s="1704"/>
      <c r="AW301" s="1430"/>
      <c r="AX301" s="1430"/>
      <c r="AY301" s="1430"/>
      <c r="AZ301" s="1430"/>
      <c r="BA301" s="1430"/>
      <c r="BB301" s="1430"/>
      <c r="BC301" s="1430"/>
      <c r="BD301" s="1475"/>
      <c r="BE301" s="1571" t="s">
        <v>1217</v>
      </c>
      <c r="BF301" s="1436">
        <v>21</v>
      </c>
      <c r="BG301" s="1436">
        <v>9</v>
      </c>
      <c r="BH301" s="1436">
        <v>6</v>
      </c>
      <c r="BI301" s="1495" t="b">
        <f t="shared" si="409"/>
        <v>0</v>
      </c>
      <c r="BJ301" s="1450" t="b">
        <f t="shared" si="417"/>
        <v>0</v>
      </c>
      <c r="BK301" s="1572">
        <f t="shared" si="418"/>
        <v>0</v>
      </c>
      <c r="BL301" s="1581">
        <f>IF(SUM(BL$293:BL300,BK301)&gt;$BS$4,0,BK301)</f>
        <v>0</v>
      </c>
      <c r="BM301" s="1436">
        <f t="shared" si="394"/>
        <v>0</v>
      </c>
      <c r="BN301" s="1495">
        <f t="shared" si="395"/>
        <v>0</v>
      </c>
      <c r="BO301" s="1437">
        <f t="shared" si="414"/>
        <v>0</v>
      </c>
      <c r="BP301" s="1762">
        <f t="shared" si="419"/>
        <v>0</v>
      </c>
      <c r="BQ301" s="1577">
        <f t="shared" si="420"/>
        <v>0</v>
      </c>
      <c r="BR301" s="1576">
        <f t="shared" si="396"/>
        <v>0</v>
      </c>
      <c r="BS301" s="1574">
        <f t="shared" si="421"/>
        <v>0</v>
      </c>
      <c r="BT301" s="1577">
        <f t="shared" si="422"/>
        <v>0</v>
      </c>
      <c r="BU301" s="1576">
        <f t="shared" si="397"/>
        <v>0</v>
      </c>
      <c r="BV301" s="1574">
        <f t="shared" si="423"/>
        <v>0</v>
      </c>
      <c r="BW301" s="1577">
        <f t="shared" si="424"/>
        <v>0</v>
      </c>
      <c r="BX301" s="1576">
        <f t="shared" si="398"/>
        <v>0</v>
      </c>
      <c r="BY301" s="1574">
        <f t="shared" si="425"/>
        <v>0</v>
      </c>
      <c r="BZ301" s="1577">
        <f t="shared" si="426"/>
        <v>0</v>
      </c>
      <c r="CA301" s="1576">
        <f t="shared" si="399"/>
        <v>0</v>
      </c>
      <c r="CB301" s="1495">
        <f t="shared" si="427"/>
        <v>0</v>
      </c>
      <c r="CC301" s="1577">
        <f t="shared" si="428"/>
        <v>0</v>
      </c>
      <c r="CD301" s="1576">
        <f t="shared" si="400"/>
        <v>0</v>
      </c>
      <c r="CE301" s="1495">
        <f t="shared" si="429"/>
        <v>0</v>
      </c>
      <c r="CF301" s="1577">
        <f t="shared" si="430"/>
        <v>0</v>
      </c>
      <c r="CG301" s="1576">
        <f t="shared" si="401"/>
        <v>0</v>
      </c>
      <c r="CH301" s="1495">
        <f t="shared" si="431"/>
        <v>0</v>
      </c>
      <c r="CI301" s="1577">
        <f t="shared" si="432"/>
        <v>0</v>
      </c>
      <c r="CJ301" s="1576">
        <f t="shared" si="402"/>
        <v>0</v>
      </c>
      <c r="CK301" s="1495">
        <f t="shared" si="433"/>
        <v>0</v>
      </c>
      <c r="CL301" s="1577">
        <f t="shared" si="434"/>
        <v>0</v>
      </c>
      <c r="CM301" s="1576">
        <f t="shared" si="403"/>
        <v>0</v>
      </c>
      <c r="CN301" s="1495">
        <f t="shared" si="435"/>
        <v>0</v>
      </c>
      <c r="CO301" s="1577">
        <f t="shared" si="436"/>
        <v>0</v>
      </c>
      <c r="CP301" s="1576">
        <f t="shared" si="404"/>
        <v>0</v>
      </c>
      <c r="CQ301" s="1495">
        <f t="shared" si="437"/>
        <v>0</v>
      </c>
      <c r="CR301" s="1577">
        <f t="shared" si="438"/>
        <v>0</v>
      </c>
      <c r="CS301" s="1576">
        <f t="shared" si="405"/>
        <v>0</v>
      </c>
      <c r="CT301" s="1495">
        <f t="shared" si="439"/>
        <v>0</v>
      </c>
      <c r="CU301" s="1577">
        <f t="shared" si="440"/>
        <v>0</v>
      </c>
      <c r="CV301" s="1576">
        <f t="shared" si="406"/>
        <v>0</v>
      </c>
      <c r="CW301" s="1495">
        <f t="shared" si="441"/>
        <v>0</v>
      </c>
      <c r="CX301" s="1577">
        <f t="shared" si="442"/>
        <v>0</v>
      </c>
      <c r="CY301" s="1576">
        <f t="shared" si="407"/>
        <v>0</v>
      </c>
      <c r="CZ301" s="1574">
        <f t="shared" si="408"/>
        <v>0</v>
      </c>
      <c r="DA301" s="1578">
        <f t="shared" si="410"/>
        <v>0</v>
      </c>
      <c r="DB301" s="1579">
        <f t="shared" si="411"/>
        <v>0</v>
      </c>
      <c r="DC301" s="1578">
        <f t="shared" si="412"/>
        <v>0</v>
      </c>
      <c r="DD301" s="1578">
        <f t="shared" si="412"/>
        <v>0</v>
      </c>
      <c r="DE301" s="1578">
        <f t="shared" si="412"/>
        <v>0</v>
      </c>
      <c r="DF301" s="1578">
        <f t="shared" si="413"/>
        <v>0</v>
      </c>
      <c r="DG301" s="1538"/>
      <c r="DH301" s="1538"/>
      <c r="DI301" s="1422"/>
      <c r="DJ301" s="1428"/>
      <c r="DK301" s="1428"/>
      <c r="DL301" s="1428"/>
      <c r="DM301" s="1428"/>
      <c r="DN301" s="1428"/>
      <c r="DO301" s="1428"/>
      <c r="DP301" s="1428"/>
      <c r="DQ301" s="1422"/>
      <c r="DR301" s="1428"/>
      <c r="DS301" s="1428"/>
      <c r="DT301" s="1428"/>
      <c r="DU301" s="1428"/>
      <c r="DV301" s="1428"/>
      <c r="DW301" s="1428"/>
      <c r="DX301" s="1428"/>
      <c r="DY301" s="1428"/>
      <c r="DZ301" s="1428"/>
      <c r="EA301" s="1428"/>
      <c r="EB301" s="1428"/>
      <c r="EC301" s="1428"/>
      <c r="ED301" s="1428"/>
      <c r="EE301" s="1428"/>
      <c r="EF301" s="1428"/>
      <c r="EG301" s="1428"/>
      <c r="EH301" s="1428"/>
      <c r="EI301" s="1428"/>
      <c r="EJ301" s="1428"/>
      <c r="EK301" s="1428"/>
      <c r="EL301" s="1428"/>
      <c r="EM301" s="1428"/>
      <c r="EN301" s="1428"/>
      <c r="EO301" s="1428"/>
      <c r="EP301" s="1428"/>
      <c r="EQ301" s="1428"/>
      <c r="ER301" s="1428"/>
      <c r="ES301" s="1428"/>
      <c r="ET301" s="1428"/>
      <c r="EU301" s="1428"/>
    </row>
    <row r="302" spans="1:151" s="1440" customFormat="1" ht="17.25" customHeight="1">
      <c r="A302" s="1834"/>
      <c r="B302" s="1849" t="s">
        <v>2283</v>
      </c>
      <c r="C302" s="1601">
        <f>J299*N280</f>
        <v>0</v>
      </c>
      <c r="D302" s="1601">
        <f>K299*N280</f>
        <v>0</v>
      </c>
      <c r="J302" s="1816"/>
      <c r="K302" s="1720"/>
      <c r="L302" s="1720"/>
      <c r="M302" s="1720"/>
      <c r="N302" s="1430"/>
      <c r="O302" s="1430"/>
      <c r="P302" s="1430"/>
      <c r="Q302" s="1430"/>
      <c r="R302" s="1430"/>
      <c r="S302" s="1430"/>
      <c r="T302" s="1430"/>
      <c r="U302" s="1430"/>
      <c r="V302" s="1430"/>
      <c r="W302" s="1430"/>
      <c r="X302" s="1430"/>
      <c r="Y302" s="1430"/>
      <c r="Z302" s="1430"/>
      <c r="AA302" s="1430"/>
      <c r="AB302" s="1430"/>
      <c r="AC302" s="1430"/>
      <c r="AD302" s="1430"/>
      <c r="AE302" s="1430"/>
      <c r="AF302" s="1430"/>
      <c r="AG302" s="1430"/>
      <c r="AH302" s="1430"/>
      <c r="AI302" s="1430"/>
      <c r="AJ302" s="1430"/>
      <c r="AK302" s="1430"/>
      <c r="AL302" s="1430"/>
      <c r="AM302" s="1430"/>
      <c r="AN302" s="1430"/>
      <c r="AO302" s="1430"/>
      <c r="AP302" s="1430"/>
      <c r="AQ302" s="1430"/>
      <c r="AR302" s="1430"/>
      <c r="AS302" s="1430"/>
      <c r="AT302" s="1430"/>
      <c r="AU302" s="1430"/>
      <c r="AV302" s="1704"/>
      <c r="AW302" s="1430"/>
      <c r="AX302" s="1430"/>
      <c r="AY302" s="1430"/>
      <c r="AZ302" s="1430"/>
      <c r="BA302" s="1430"/>
      <c r="BB302" s="1430"/>
      <c r="BC302" s="1430"/>
      <c r="BD302" s="1475"/>
      <c r="BE302" s="1571" t="s">
        <v>1217</v>
      </c>
      <c r="BF302" s="1436">
        <v>21</v>
      </c>
      <c r="BG302" s="1436">
        <v>10</v>
      </c>
      <c r="BH302" s="1436">
        <v>7</v>
      </c>
      <c r="BI302" s="1495" t="b">
        <f t="shared" si="409"/>
        <v>0</v>
      </c>
      <c r="BJ302" s="1450" t="b">
        <f t="shared" si="417"/>
        <v>1</v>
      </c>
      <c r="BK302" s="1572">
        <f t="shared" si="418"/>
        <v>7.166666666666667</v>
      </c>
      <c r="BL302" s="1581">
        <f>IF(SUM(BL$293:BL301,BK302)&gt;$BS$4,0,BK302)</f>
        <v>7.166666666666667</v>
      </c>
      <c r="BM302" s="1436">
        <f t="shared" si="394"/>
        <v>0</v>
      </c>
      <c r="BN302" s="1495">
        <f t="shared" si="395"/>
        <v>0</v>
      </c>
      <c r="BO302" s="1437">
        <f t="shared" si="414"/>
        <v>0</v>
      </c>
      <c r="BP302" s="1762">
        <f t="shared" si="419"/>
        <v>0</v>
      </c>
      <c r="BQ302" s="1577">
        <f t="shared" si="420"/>
        <v>0</v>
      </c>
      <c r="BR302" s="1576">
        <f t="shared" si="396"/>
        <v>0</v>
      </c>
      <c r="BS302" s="1574">
        <f t="shared" si="421"/>
        <v>0</v>
      </c>
      <c r="BT302" s="1577">
        <f t="shared" si="422"/>
        <v>0</v>
      </c>
      <c r="BU302" s="1576">
        <f t="shared" si="397"/>
        <v>0</v>
      </c>
      <c r="BV302" s="1574">
        <f t="shared" si="423"/>
        <v>0</v>
      </c>
      <c r="BW302" s="1577">
        <f t="shared" si="424"/>
        <v>0</v>
      </c>
      <c r="BX302" s="1576">
        <f t="shared" si="398"/>
        <v>0</v>
      </c>
      <c r="BY302" s="1574">
        <f t="shared" si="425"/>
        <v>0</v>
      </c>
      <c r="BZ302" s="1577">
        <f t="shared" si="426"/>
        <v>0</v>
      </c>
      <c r="CA302" s="1576">
        <f t="shared" si="399"/>
        <v>0</v>
      </c>
      <c r="CB302" s="1495">
        <f t="shared" si="427"/>
        <v>0</v>
      </c>
      <c r="CC302" s="1577">
        <f t="shared" si="428"/>
        <v>0</v>
      </c>
      <c r="CD302" s="1576">
        <f t="shared" si="400"/>
        <v>0</v>
      </c>
      <c r="CE302" s="1495">
        <f t="shared" si="429"/>
        <v>0</v>
      </c>
      <c r="CF302" s="1577">
        <f t="shared" si="430"/>
        <v>0</v>
      </c>
      <c r="CG302" s="1576">
        <f t="shared" si="401"/>
        <v>0</v>
      </c>
      <c r="CH302" s="1495">
        <f t="shared" si="431"/>
        <v>0</v>
      </c>
      <c r="CI302" s="1577">
        <f t="shared" si="432"/>
        <v>0</v>
      </c>
      <c r="CJ302" s="1576">
        <f t="shared" si="402"/>
        <v>0</v>
      </c>
      <c r="CK302" s="1495">
        <f t="shared" si="433"/>
        <v>0</v>
      </c>
      <c r="CL302" s="1577">
        <f t="shared" si="434"/>
        <v>0</v>
      </c>
      <c r="CM302" s="1576">
        <f t="shared" si="403"/>
        <v>0</v>
      </c>
      <c r="CN302" s="1495">
        <f t="shared" si="435"/>
        <v>0</v>
      </c>
      <c r="CO302" s="1577">
        <f t="shared" si="436"/>
        <v>0</v>
      </c>
      <c r="CP302" s="1576">
        <f t="shared" si="404"/>
        <v>0</v>
      </c>
      <c r="CQ302" s="1495">
        <f t="shared" si="437"/>
        <v>0</v>
      </c>
      <c r="CR302" s="1577">
        <f t="shared" si="438"/>
        <v>0</v>
      </c>
      <c r="CS302" s="1576">
        <f t="shared" si="405"/>
        <v>0</v>
      </c>
      <c r="CT302" s="1495">
        <f t="shared" si="439"/>
        <v>0</v>
      </c>
      <c r="CU302" s="1577">
        <f t="shared" si="440"/>
        <v>0</v>
      </c>
      <c r="CV302" s="1576">
        <f t="shared" si="406"/>
        <v>0</v>
      </c>
      <c r="CW302" s="1495">
        <f t="shared" si="441"/>
        <v>0</v>
      </c>
      <c r="CX302" s="1577">
        <f t="shared" si="442"/>
        <v>0</v>
      </c>
      <c r="CY302" s="1576">
        <f t="shared" si="407"/>
        <v>0</v>
      </c>
      <c r="CZ302" s="1574">
        <f t="shared" si="408"/>
        <v>0</v>
      </c>
      <c r="DA302" s="1578">
        <f t="shared" si="410"/>
        <v>0</v>
      </c>
      <c r="DB302" s="1579">
        <f t="shared" si="411"/>
        <v>0</v>
      </c>
      <c r="DC302" s="1578">
        <f t="shared" si="412"/>
        <v>0</v>
      </c>
      <c r="DD302" s="1578">
        <f t="shared" si="412"/>
        <v>0</v>
      </c>
      <c r="DE302" s="1578">
        <f t="shared" si="412"/>
        <v>0</v>
      </c>
      <c r="DF302" s="1578">
        <f t="shared" si="413"/>
        <v>0</v>
      </c>
      <c r="DG302" s="1538"/>
      <c r="DH302" s="1538"/>
      <c r="DI302" s="1422"/>
      <c r="DJ302" s="1428"/>
      <c r="DK302" s="1428"/>
      <c r="DL302" s="1428"/>
      <c r="DM302" s="1428"/>
      <c r="DN302" s="1428"/>
      <c r="DO302" s="1428"/>
      <c r="DP302" s="1428"/>
      <c r="DQ302" s="1422"/>
      <c r="DR302" s="1428"/>
      <c r="DS302" s="1428"/>
      <c r="DT302" s="1428"/>
      <c r="DU302" s="1428"/>
      <c r="DV302" s="1428"/>
      <c r="DW302" s="1428"/>
      <c r="DX302" s="1428"/>
      <c r="DY302" s="1428"/>
      <c r="DZ302" s="1428"/>
      <c r="EA302" s="1428"/>
      <c r="EB302" s="1428"/>
      <c r="EC302" s="1428"/>
      <c r="ED302" s="1428"/>
      <c r="EE302" s="1428"/>
      <c r="EF302" s="1428"/>
      <c r="EG302" s="1428"/>
      <c r="EH302" s="1428"/>
      <c r="EI302" s="1428"/>
      <c r="EJ302" s="1428"/>
      <c r="EK302" s="1428"/>
      <c r="EL302" s="1428"/>
      <c r="EM302" s="1428"/>
      <c r="EN302" s="1428"/>
      <c r="EO302" s="1428"/>
      <c r="EP302" s="1428"/>
      <c r="EQ302" s="1428"/>
      <c r="ER302" s="1428"/>
      <c r="ES302" s="1428"/>
      <c r="ET302" s="1428"/>
      <c r="EU302" s="1428"/>
    </row>
    <row r="303" spans="1:151" s="1440" customFormat="1" ht="15" customHeight="1">
      <c r="A303" s="1834"/>
      <c r="B303" s="1850"/>
      <c r="C303" s="1684">
        <f>C302</f>
        <v>0</v>
      </c>
      <c r="D303" s="1682">
        <f>D302</f>
        <v>0</v>
      </c>
      <c r="J303" s="1816"/>
      <c r="K303" s="1720"/>
      <c r="L303" s="1720"/>
      <c r="M303" s="1720"/>
      <c r="N303" s="1628" t="s">
        <v>2284</v>
      </c>
      <c r="O303" s="1624"/>
      <c r="P303" s="1624"/>
      <c r="Q303" s="1624"/>
      <c r="R303" s="1624"/>
      <c r="S303" s="1624"/>
      <c r="T303" s="1624"/>
      <c r="U303" s="1624"/>
      <c r="V303" s="1624"/>
      <c r="W303" s="1624"/>
      <c r="X303" s="1624"/>
      <c r="Y303" s="1624"/>
      <c r="Z303" s="1624"/>
      <c r="AA303" s="1624"/>
      <c r="AB303" s="1624"/>
      <c r="AC303" s="1624"/>
      <c r="AD303" s="1624"/>
      <c r="AE303" s="1624"/>
      <c r="AF303" s="1624"/>
      <c r="AG303" s="1624"/>
      <c r="AH303" s="1624"/>
      <c r="AI303" s="1624"/>
      <c r="AJ303" s="1624"/>
      <c r="AK303" s="1624"/>
      <c r="AL303" s="1624"/>
      <c r="AM303" s="1624"/>
      <c r="AN303" s="1624"/>
      <c r="AO303" s="1624"/>
      <c r="AP303" s="1624"/>
      <c r="AQ303" s="1624"/>
      <c r="AR303" s="1624"/>
      <c r="AS303" s="1624"/>
      <c r="AT303" s="1624"/>
      <c r="AU303" s="1624"/>
      <c r="AV303" s="1624"/>
      <c r="AW303" s="1624"/>
      <c r="AX303" s="1624"/>
      <c r="AY303" s="1624"/>
      <c r="AZ303" s="1624"/>
      <c r="BA303" s="1624"/>
      <c r="BB303" s="1624"/>
      <c r="BC303" s="1624"/>
      <c r="BD303" s="1475"/>
      <c r="BE303" s="1571" t="s">
        <v>1217</v>
      </c>
      <c r="BF303" s="1436">
        <v>21</v>
      </c>
      <c r="BG303" s="1436">
        <v>11</v>
      </c>
      <c r="BH303" s="1436">
        <v>1</v>
      </c>
      <c r="BI303" s="1495" t="b">
        <f t="shared" si="409"/>
        <v>1</v>
      </c>
      <c r="BJ303" s="1450" t="b">
        <f t="shared" si="417"/>
        <v>0</v>
      </c>
      <c r="BK303" s="1572">
        <f t="shared" si="418"/>
        <v>0</v>
      </c>
      <c r="BL303" s="1581">
        <f>IF(SUM(BL$293:BL302,BK303)&gt;$BS$4,0,BK303)</f>
        <v>0</v>
      </c>
      <c r="BM303" s="1436">
        <f t="shared" si="394"/>
        <v>0</v>
      </c>
      <c r="BN303" s="1495">
        <f t="shared" si="395"/>
        <v>0</v>
      </c>
      <c r="BO303" s="1437">
        <f t="shared" si="414"/>
        <v>0</v>
      </c>
      <c r="BP303" s="1762">
        <f t="shared" si="419"/>
        <v>0</v>
      </c>
      <c r="BQ303" s="1577">
        <f t="shared" si="420"/>
        <v>0</v>
      </c>
      <c r="BR303" s="1576">
        <f t="shared" si="396"/>
        <v>0</v>
      </c>
      <c r="BS303" s="1574">
        <f t="shared" si="421"/>
        <v>0</v>
      </c>
      <c r="BT303" s="1577">
        <f t="shared" si="422"/>
        <v>0</v>
      </c>
      <c r="BU303" s="1576">
        <f t="shared" si="397"/>
        <v>0</v>
      </c>
      <c r="BV303" s="1574">
        <f t="shared" si="423"/>
        <v>0</v>
      </c>
      <c r="BW303" s="1577">
        <f t="shared" si="424"/>
        <v>0</v>
      </c>
      <c r="BX303" s="1576">
        <f t="shared" si="398"/>
        <v>0</v>
      </c>
      <c r="BY303" s="1574">
        <f t="shared" si="425"/>
        <v>0</v>
      </c>
      <c r="BZ303" s="1577">
        <f t="shared" si="426"/>
        <v>0</v>
      </c>
      <c r="CA303" s="1576">
        <f t="shared" si="399"/>
        <v>0</v>
      </c>
      <c r="CB303" s="1495">
        <f t="shared" si="427"/>
        <v>0</v>
      </c>
      <c r="CC303" s="1577">
        <f t="shared" si="428"/>
        <v>0</v>
      </c>
      <c r="CD303" s="1576">
        <f t="shared" si="400"/>
        <v>0</v>
      </c>
      <c r="CE303" s="1495">
        <f t="shared" si="429"/>
        <v>0</v>
      </c>
      <c r="CF303" s="1577">
        <f t="shared" si="430"/>
        <v>0</v>
      </c>
      <c r="CG303" s="1576">
        <f t="shared" si="401"/>
        <v>0</v>
      </c>
      <c r="CH303" s="1495">
        <f t="shared" si="431"/>
        <v>0</v>
      </c>
      <c r="CI303" s="1577">
        <f t="shared" si="432"/>
        <v>0</v>
      </c>
      <c r="CJ303" s="1576">
        <f t="shared" si="402"/>
        <v>0</v>
      </c>
      <c r="CK303" s="1495">
        <f t="shared" si="433"/>
        <v>0</v>
      </c>
      <c r="CL303" s="1577">
        <f t="shared" si="434"/>
        <v>0</v>
      </c>
      <c r="CM303" s="1576">
        <f t="shared" si="403"/>
        <v>0</v>
      </c>
      <c r="CN303" s="1495">
        <f t="shared" si="435"/>
        <v>0</v>
      </c>
      <c r="CO303" s="1577">
        <f t="shared" si="436"/>
        <v>0</v>
      </c>
      <c r="CP303" s="1576">
        <f t="shared" si="404"/>
        <v>0</v>
      </c>
      <c r="CQ303" s="1495">
        <f t="shared" si="437"/>
        <v>0</v>
      </c>
      <c r="CR303" s="1577">
        <f t="shared" si="438"/>
        <v>0</v>
      </c>
      <c r="CS303" s="1576">
        <f t="shared" si="405"/>
        <v>0</v>
      </c>
      <c r="CT303" s="1495">
        <f t="shared" si="439"/>
        <v>0</v>
      </c>
      <c r="CU303" s="1577">
        <f t="shared" si="440"/>
        <v>0</v>
      </c>
      <c r="CV303" s="1576">
        <f t="shared" si="406"/>
        <v>0</v>
      </c>
      <c r="CW303" s="1495">
        <f t="shared" si="441"/>
        <v>0</v>
      </c>
      <c r="CX303" s="1577">
        <f t="shared" si="442"/>
        <v>0</v>
      </c>
      <c r="CY303" s="1576">
        <f t="shared" si="407"/>
        <v>0</v>
      </c>
      <c r="CZ303" s="1574">
        <f t="shared" si="408"/>
        <v>0</v>
      </c>
      <c r="DA303" s="1578">
        <f t="shared" si="410"/>
        <v>0</v>
      </c>
      <c r="DB303" s="1579">
        <f t="shared" si="411"/>
        <v>0</v>
      </c>
      <c r="DC303" s="1578">
        <f t="shared" si="412"/>
        <v>0</v>
      </c>
      <c r="DD303" s="1578">
        <f t="shared" si="412"/>
        <v>0</v>
      </c>
      <c r="DE303" s="1578">
        <f t="shared" si="412"/>
        <v>0</v>
      </c>
      <c r="DF303" s="1578">
        <f>IF(DA303-(DE302+CZ303)&lt;0,0,DA303-(DE302+CZ303))</f>
        <v>0</v>
      </c>
      <c r="DG303" s="1538"/>
      <c r="DH303" s="1538"/>
      <c r="DI303" s="1422"/>
      <c r="DJ303" s="1428"/>
      <c r="DK303" s="1428"/>
      <c r="DL303" s="1428"/>
      <c r="DM303" s="1428"/>
      <c r="DN303" s="1428"/>
      <c r="DO303" s="1428"/>
      <c r="DP303" s="1428"/>
      <c r="DQ303" s="1422"/>
      <c r="DR303" s="1428"/>
      <c r="DS303" s="1428"/>
      <c r="DT303" s="1428"/>
      <c r="DU303" s="1428"/>
      <c r="DV303" s="1428"/>
      <c r="DW303" s="1428"/>
      <c r="DX303" s="1428"/>
      <c r="DY303" s="1428"/>
      <c r="DZ303" s="1428"/>
      <c r="EA303" s="1428"/>
      <c r="EB303" s="1428"/>
      <c r="EC303" s="1428"/>
      <c r="ED303" s="1428"/>
      <c r="EE303" s="1428"/>
      <c r="EF303" s="1428"/>
      <c r="EG303" s="1428"/>
      <c r="EH303" s="1428"/>
      <c r="EI303" s="1428"/>
      <c r="EJ303" s="1428"/>
      <c r="EK303" s="1428"/>
      <c r="EL303" s="1428"/>
      <c r="EM303" s="1428"/>
      <c r="EN303" s="1428"/>
      <c r="EO303" s="1428"/>
      <c r="EP303" s="1428"/>
      <c r="EQ303" s="1428"/>
      <c r="ER303" s="1428"/>
      <c r="ES303" s="1428"/>
      <c r="ET303" s="1428"/>
      <c r="EU303" s="1428"/>
    </row>
    <row r="304" spans="1:151" s="1440" customFormat="1" ht="15" customHeight="1">
      <c r="A304" s="1834"/>
      <c r="J304" s="1816"/>
      <c r="K304" s="1720"/>
      <c r="L304" s="1720"/>
      <c r="M304" s="1720"/>
      <c r="N304" s="1430" t="s">
        <v>2240</v>
      </c>
      <c r="O304" s="1430" t="b">
        <f>F308="Yes"</f>
        <v>0</v>
      </c>
      <c r="P304" s="1430"/>
      <c r="Q304" s="1430"/>
      <c r="R304" s="1430"/>
      <c r="S304" s="1430"/>
      <c r="T304" s="1430"/>
      <c r="U304" s="1430"/>
      <c r="V304" s="1430"/>
      <c r="W304" s="1430"/>
      <c r="X304" s="1430"/>
      <c r="Y304" s="1430"/>
      <c r="Z304" s="1430"/>
      <c r="AA304" s="1430"/>
      <c r="AB304" s="1430"/>
      <c r="AC304" s="1430"/>
      <c r="AD304" s="1430"/>
      <c r="AE304" s="1430"/>
      <c r="AF304" s="1430"/>
      <c r="AG304" s="1430"/>
      <c r="AH304" s="1430"/>
      <c r="AI304" s="1430"/>
      <c r="AJ304" s="1430"/>
      <c r="AK304" s="1430"/>
      <c r="AL304" s="1430"/>
      <c r="AM304" s="1430"/>
      <c r="AN304" s="1430"/>
      <c r="AO304" s="1430"/>
      <c r="AP304" s="1430"/>
      <c r="AQ304" s="1430"/>
      <c r="AR304" s="1430"/>
      <c r="AS304" s="1430"/>
      <c r="AT304" s="1430"/>
      <c r="AU304" s="1430"/>
      <c r="AV304" s="1704"/>
      <c r="AW304" s="1430"/>
      <c r="AX304" s="1430"/>
      <c r="AY304" s="1430"/>
      <c r="AZ304" s="1430"/>
      <c r="BA304" s="1430"/>
      <c r="BB304" s="1430"/>
      <c r="BC304" s="1430"/>
      <c r="BD304" s="1475"/>
      <c r="BE304" s="1571" t="s">
        <v>1217</v>
      </c>
      <c r="BF304" s="1436">
        <v>21</v>
      </c>
      <c r="BG304" s="1436">
        <v>12</v>
      </c>
      <c r="BH304" s="1436">
        <v>2</v>
      </c>
      <c r="BI304" s="1495" t="b">
        <f t="shared" si="409"/>
        <v>1</v>
      </c>
      <c r="BJ304" s="1450" t="b">
        <f t="shared" si="417"/>
        <v>0</v>
      </c>
      <c r="BK304" s="1572">
        <f t="shared" si="418"/>
        <v>0</v>
      </c>
      <c r="BL304" s="1581">
        <f>IF(SUM(BL$293:BL303,BK304)&gt;$BS$4,0,BK304)</f>
        <v>0</v>
      </c>
      <c r="BM304" s="1436">
        <f t="shared" si="394"/>
        <v>0</v>
      </c>
      <c r="BN304" s="1495">
        <f t="shared" si="395"/>
        <v>0</v>
      </c>
      <c r="BO304" s="1437">
        <f t="shared" si="414"/>
        <v>0</v>
      </c>
      <c r="BP304" s="1762">
        <f t="shared" si="419"/>
        <v>0</v>
      </c>
      <c r="BQ304" s="1577">
        <f t="shared" si="420"/>
        <v>0</v>
      </c>
      <c r="BR304" s="1576">
        <f t="shared" si="396"/>
        <v>0</v>
      </c>
      <c r="BS304" s="1574">
        <f t="shared" si="421"/>
        <v>0</v>
      </c>
      <c r="BT304" s="1577">
        <f t="shared" si="422"/>
        <v>0</v>
      </c>
      <c r="BU304" s="1576">
        <f t="shared" si="397"/>
        <v>0</v>
      </c>
      <c r="BV304" s="1574">
        <f t="shared" si="423"/>
        <v>0</v>
      </c>
      <c r="BW304" s="1577">
        <f t="shared" si="424"/>
        <v>0</v>
      </c>
      <c r="BX304" s="1576">
        <f t="shared" si="398"/>
        <v>0</v>
      </c>
      <c r="BY304" s="1574">
        <f t="shared" si="425"/>
        <v>0</v>
      </c>
      <c r="BZ304" s="1577">
        <f t="shared" si="426"/>
        <v>0</v>
      </c>
      <c r="CA304" s="1576">
        <f t="shared" si="399"/>
        <v>0</v>
      </c>
      <c r="CB304" s="1495">
        <f t="shared" si="427"/>
        <v>0</v>
      </c>
      <c r="CC304" s="1577">
        <f t="shared" si="428"/>
        <v>0</v>
      </c>
      <c r="CD304" s="1576">
        <f t="shared" si="400"/>
        <v>0</v>
      </c>
      <c r="CE304" s="1495">
        <f t="shared" si="429"/>
        <v>0</v>
      </c>
      <c r="CF304" s="1577">
        <f t="shared" si="430"/>
        <v>0</v>
      </c>
      <c r="CG304" s="1576">
        <f t="shared" si="401"/>
        <v>0</v>
      </c>
      <c r="CH304" s="1495">
        <f t="shared" si="431"/>
        <v>0</v>
      </c>
      <c r="CI304" s="1577">
        <f t="shared" si="432"/>
        <v>0</v>
      </c>
      <c r="CJ304" s="1576">
        <f t="shared" si="402"/>
        <v>0</v>
      </c>
      <c r="CK304" s="1495">
        <f t="shared" si="433"/>
        <v>0</v>
      </c>
      <c r="CL304" s="1577">
        <f t="shared" si="434"/>
        <v>0</v>
      </c>
      <c r="CM304" s="1576">
        <f t="shared" si="403"/>
        <v>0</v>
      </c>
      <c r="CN304" s="1495">
        <f t="shared" si="435"/>
        <v>0</v>
      </c>
      <c r="CO304" s="1577">
        <f t="shared" si="436"/>
        <v>0</v>
      </c>
      <c r="CP304" s="1576">
        <f t="shared" si="404"/>
        <v>0</v>
      </c>
      <c r="CQ304" s="1495">
        <f t="shared" si="437"/>
        <v>0</v>
      </c>
      <c r="CR304" s="1577">
        <f t="shared" si="438"/>
        <v>0</v>
      </c>
      <c r="CS304" s="1576">
        <f t="shared" si="405"/>
        <v>0</v>
      </c>
      <c r="CT304" s="1495">
        <f t="shared" si="439"/>
        <v>0</v>
      </c>
      <c r="CU304" s="1577">
        <f t="shared" si="440"/>
        <v>0</v>
      </c>
      <c r="CV304" s="1576">
        <f t="shared" si="406"/>
        <v>0</v>
      </c>
      <c r="CW304" s="1495">
        <f t="shared" si="441"/>
        <v>0</v>
      </c>
      <c r="CX304" s="1577">
        <f t="shared" si="442"/>
        <v>0</v>
      </c>
      <c r="CY304" s="1576">
        <f t="shared" si="407"/>
        <v>0</v>
      </c>
      <c r="CZ304" s="1574">
        <f t="shared" si="408"/>
        <v>0</v>
      </c>
      <c r="DA304" s="1578">
        <f t="shared" si="410"/>
        <v>0</v>
      </c>
      <c r="DB304" s="1579">
        <f t="shared" si="411"/>
        <v>0</v>
      </c>
      <c r="DC304" s="1578">
        <f t="shared" si="412"/>
        <v>0</v>
      </c>
      <c r="DD304" s="1578">
        <f t="shared" si="412"/>
        <v>0</v>
      </c>
      <c r="DE304" s="1578">
        <f t="shared" si="412"/>
        <v>0</v>
      </c>
      <c r="DF304" s="1578">
        <f>IF(DA304-(DE303+CZ304)&lt;0,0,DA304-(DE303+CZ304))</f>
        <v>0</v>
      </c>
      <c r="DG304" s="1538"/>
      <c r="DH304" s="1538"/>
      <c r="DI304" s="1422"/>
      <c r="DJ304" s="1428"/>
      <c r="DK304" s="1428"/>
      <c r="DL304" s="1428"/>
      <c r="DM304" s="1428"/>
      <c r="DN304" s="1428"/>
      <c r="DO304" s="1428"/>
      <c r="DP304" s="1428"/>
      <c r="DQ304" s="1422"/>
      <c r="DR304" s="1428"/>
      <c r="DS304" s="1428"/>
      <c r="DT304" s="1428"/>
      <c r="DU304" s="1428"/>
      <c r="DV304" s="1428"/>
      <c r="DW304" s="1428"/>
      <c r="DX304" s="1428"/>
      <c r="DY304" s="1428"/>
      <c r="DZ304" s="1428"/>
      <c r="EA304" s="1428"/>
      <c r="EB304" s="1428"/>
      <c r="EC304" s="1428"/>
      <c r="ED304" s="1428"/>
      <c r="EE304" s="1428"/>
      <c r="EF304" s="1428"/>
      <c r="EG304" s="1428"/>
      <c r="EH304" s="1428"/>
      <c r="EI304" s="1428"/>
      <c r="EJ304" s="1428"/>
      <c r="EK304" s="1428"/>
      <c r="EL304" s="1428"/>
      <c r="EM304" s="1428"/>
      <c r="EN304" s="1428"/>
      <c r="EO304" s="1428"/>
      <c r="EP304" s="1428"/>
      <c r="EQ304" s="1428"/>
      <c r="ER304" s="1428"/>
      <c r="ES304" s="1428"/>
      <c r="ET304" s="1428"/>
      <c r="EU304" s="1428"/>
    </row>
    <row r="305" spans="1:151" s="1440" customFormat="1" ht="15" customHeight="1">
      <c r="A305" s="1834"/>
      <c r="B305" s="1623" t="s">
        <v>2285</v>
      </c>
      <c r="C305" s="1624"/>
      <c r="D305" s="1624"/>
      <c r="E305" s="1624"/>
      <c r="F305" s="1624"/>
      <c r="G305" s="1624"/>
      <c r="H305" s="1624"/>
      <c r="I305" s="1624"/>
      <c r="J305" s="1624"/>
      <c r="K305" s="1624"/>
      <c r="L305" s="1624"/>
      <c r="M305" s="1624"/>
      <c r="N305" s="1430" t="s">
        <v>2286</v>
      </c>
      <c r="O305" s="1430"/>
      <c r="P305" s="1430"/>
      <c r="Q305" s="1430"/>
      <c r="R305" s="1430"/>
      <c r="S305" s="1430"/>
      <c r="T305" s="1430"/>
      <c r="U305" s="1430"/>
      <c r="V305" s="1430"/>
      <c r="W305" s="1430"/>
      <c r="X305" s="1430"/>
      <c r="Y305" s="1430"/>
      <c r="Z305" s="1430"/>
      <c r="AA305" s="1430"/>
      <c r="AB305" s="1430"/>
      <c r="AC305" s="1430"/>
      <c r="AD305" s="1430"/>
      <c r="AE305" s="1430"/>
      <c r="AF305" s="1430"/>
      <c r="AG305" s="1430"/>
      <c r="AH305" s="1430"/>
      <c r="AI305" s="1430"/>
      <c r="AJ305" s="1430"/>
      <c r="AK305" s="1430"/>
      <c r="AL305" s="1430"/>
      <c r="AM305" s="1430"/>
      <c r="AN305" s="1430"/>
      <c r="AO305" s="1430"/>
      <c r="AP305" s="1430"/>
      <c r="AQ305" s="1430"/>
      <c r="AR305" s="1430"/>
      <c r="AS305" s="1430"/>
      <c r="AT305" s="1430"/>
      <c r="AU305" s="1430"/>
      <c r="AV305" s="1704"/>
      <c r="AW305" s="1430"/>
      <c r="AX305" s="1430"/>
      <c r="AY305" s="1430"/>
      <c r="AZ305" s="1430"/>
      <c r="BA305" s="1430"/>
      <c r="BB305" s="1430"/>
      <c r="BC305" s="1430"/>
      <c r="BD305" s="1475"/>
      <c r="BE305" s="1571" t="s">
        <v>1217</v>
      </c>
      <c r="BF305" s="1436">
        <v>21</v>
      </c>
      <c r="BG305" s="1436">
        <v>13</v>
      </c>
      <c r="BH305" s="1436">
        <v>3</v>
      </c>
      <c r="BI305" s="1495" t="b">
        <f t="shared" si="409"/>
        <v>1</v>
      </c>
      <c r="BJ305" s="1450" t="b">
        <f t="shared" si="417"/>
        <v>0</v>
      </c>
      <c r="BK305" s="1572">
        <f t="shared" si="418"/>
        <v>0</v>
      </c>
      <c r="BL305" s="1581">
        <f>IF(SUM(BL$293:BL304,BK305)&gt;$BS$4,0,BK305)</f>
        <v>0</v>
      </c>
      <c r="BM305" s="1436">
        <f t="shared" si="394"/>
        <v>0</v>
      </c>
      <c r="BN305" s="1495">
        <f t="shared" si="395"/>
        <v>0</v>
      </c>
      <c r="BO305" s="1437">
        <f t="shared" si="414"/>
        <v>0</v>
      </c>
      <c r="BP305" s="1762">
        <f t="shared" si="419"/>
        <v>0</v>
      </c>
      <c r="BQ305" s="1577">
        <f t="shared" si="420"/>
        <v>0</v>
      </c>
      <c r="BR305" s="1576">
        <f t="shared" si="396"/>
        <v>0</v>
      </c>
      <c r="BS305" s="1574">
        <f t="shared" si="421"/>
        <v>0</v>
      </c>
      <c r="BT305" s="1577">
        <f t="shared" si="422"/>
        <v>0</v>
      </c>
      <c r="BU305" s="1576">
        <f t="shared" si="397"/>
        <v>0</v>
      </c>
      <c r="BV305" s="1574">
        <f t="shared" si="423"/>
        <v>0</v>
      </c>
      <c r="BW305" s="1577">
        <f t="shared" si="424"/>
        <v>0</v>
      </c>
      <c r="BX305" s="1576">
        <f t="shared" si="398"/>
        <v>0</v>
      </c>
      <c r="BY305" s="1574">
        <f t="shared" si="425"/>
        <v>0</v>
      </c>
      <c r="BZ305" s="1577">
        <f t="shared" si="426"/>
        <v>0</v>
      </c>
      <c r="CA305" s="1576">
        <f t="shared" si="399"/>
        <v>0</v>
      </c>
      <c r="CB305" s="1495">
        <f t="shared" si="427"/>
        <v>0</v>
      </c>
      <c r="CC305" s="1577">
        <f t="shared" si="428"/>
        <v>0</v>
      </c>
      <c r="CD305" s="1576">
        <f t="shared" si="400"/>
        <v>0</v>
      </c>
      <c r="CE305" s="1495">
        <f t="shared" si="429"/>
        <v>0</v>
      </c>
      <c r="CF305" s="1577">
        <f t="shared" si="430"/>
        <v>0</v>
      </c>
      <c r="CG305" s="1576">
        <f t="shared" si="401"/>
        <v>0</v>
      </c>
      <c r="CH305" s="1495">
        <f t="shared" si="431"/>
        <v>0</v>
      </c>
      <c r="CI305" s="1577">
        <f t="shared" si="432"/>
        <v>0</v>
      </c>
      <c r="CJ305" s="1576">
        <f t="shared" si="402"/>
        <v>0</v>
      </c>
      <c r="CK305" s="1495">
        <f t="shared" si="433"/>
        <v>0</v>
      </c>
      <c r="CL305" s="1577">
        <f t="shared" si="434"/>
        <v>0</v>
      </c>
      <c r="CM305" s="1576">
        <f t="shared" si="403"/>
        <v>0</v>
      </c>
      <c r="CN305" s="1495">
        <f t="shared" si="435"/>
        <v>0</v>
      </c>
      <c r="CO305" s="1577">
        <f t="shared" si="436"/>
        <v>0</v>
      </c>
      <c r="CP305" s="1576">
        <f t="shared" si="404"/>
        <v>0</v>
      </c>
      <c r="CQ305" s="1495">
        <f t="shared" si="437"/>
        <v>0</v>
      </c>
      <c r="CR305" s="1577">
        <f t="shared" si="438"/>
        <v>0</v>
      </c>
      <c r="CS305" s="1576">
        <f t="shared" si="405"/>
        <v>0</v>
      </c>
      <c r="CT305" s="1495">
        <f t="shared" si="439"/>
        <v>0</v>
      </c>
      <c r="CU305" s="1577">
        <f t="shared" si="440"/>
        <v>0</v>
      </c>
      <c r="CV305" s="1576">
        <f t="shared" si="406"/>
        <v>0</v>
      </c>
      <c r="CW305" s="1495">
        <f t="shared" si="441"/>
        <v>0</v>
      </c>
      <c r="CX305" s="1577">
        <f t="shared" si="442"/>
        <v>0</v>
      </c>
      <c r="CY305" s="1576">
        <f t="shared" si="407"/>
        <v>0</v>
      </c>
      <c r="CZ305" s="1574">
        <f t="shared" si="408"/>
        <v>0</v>
      </c>
      <c r="DA305" s="1578">
        <f t="shared" si="410"/>
        <v>0</v>
      </c>
      <c r="DB305" s="1579">
        <f t="shared" si="411"/>
        <v>0</v>
      </c>
      <c r="DC305" s="1578">
        <f t="shared" si="412"/>
        <v>0</v>
      </c>
      <c r="DD305" s="1578">
        <f t="shared" si="412"/>
        <v>0</v>
      </c>
      <c r="DE305" s="1578">
        <f t="shared" si="412"/>
        <v>0</v>
      </c>
      <c r="DF305" s="1578">
        <f t="shared" si="413"/>
        <v>0</v>
      </c>
      <c r="DG305" s="1538"/>
      <c r="DH305" s="1538"/>
      <c r="DI305" s="1422"/>
      <c r="DJ305" s="1428"/>
      <c r="DK305" s="1428"/>
      <c r="DL305" s="1428"/>
      <c r="DM305" s="1428"/>
      <c r="DN305" s="1428"/>
      <c r="DO305" s="1428"/>
      <c r="DP305" s="1428"/>
      <c r="DQ305" s="1422"/>
      <c r="DR305" s="1428"/>
      <c r="DS305" s="1428"/>
      <c r="DT305" s="1428"/>
      <c r="DU305" s="1428"/>
      <c r="DV305" s="1428"/>
      <c r="DW305" s="1428"/>
      <c r="DX305" s="1428"/>
      <c r="DY305" s="1428"/>
      <c r="DZ305" s="1428"/>
      <c r="EA305" s="1428"/>
      <c r="EB305" s="1428"/>
      <c r="EC305" s="1428"/>
      <c r="ED305" s="1428"/>
      <c r="EE305" s="1428"/>
      <c r="EF305" s="1428"/>
      <c r="EG305" s="1428"/>
      <c r="EH305" s="1428"/>
      <c r="EI305" s="1428"/>
      <c r="EJ305" s="1428"/>
      <c r="EK305" s="1428"/>
      <c r="EL305" s="1428"/>
      <c r="EM305" s="1428"/>
      <c r="EN305" s="1428"/>
      <c r="EO305" s="1428"/>
      <c r="EP305" s="1428"/>
      <c r="EQ305" s="1428"/>
      <c r="ER305" s="1428"/>
      <c r="ES305" s="1428"/>
      <c r="ET305" s="1428"/>
      <c r="EU305" s="1428"/>
    </row>
    <row r="306" spans="1:151" s="1440" customFormat="1" ht="15" customHeight="1">
      <c r="A306" s="1834"/>
      <c r="B306" s="1688" t="s">
        <v>2328</v>
      </c>
      <c r="J306" s="1816"/>
      <c r="K306" s="1720"/>
      <c r="L306" s="1720"/>
      <c r="M306" s="1720"/>
      <c r="N306" s="1847">
        <v>0.03</v>
      </c>
      <c r="O306" s="1430"/>
      <c r="P306" s="1430"/>
      <c r="Q306" s="1430"/>
      <c r="R306" s="1430"/>
      <c r="S306" s="1430"/>
      <c r="T306" s="1430"/>
      <c r="U306" s="1430"/>
      <c r="V306" s="1430"/>
      <c r="W306" s="1430"/>
      <c r="X306" s="1430"/>
      <c r="Y306" s="1430"/>
      <c r="Z306" s="1430"/>
      <c r="AA306" s="1430"/>
      <c r="AB306" s="1430"/>
      <c r="AC306" s="1430"/>
      <c r="AD306" s="1430"/>
      <c r="AE306" s="1430"/>
      <c r="AF306" s="1430"/>
      <c r="AG306" s="1430"/>
      <c r="AH306" s="1430"/>
      <c r="AI306" s="1430"/>
      <c r="AJ306" s="1430"/>
      <c r="AK306" s="1430"/>
      <c r="AL306" s="1430"/>
      <c r="AM306" s="1430"/>
      <c r="AN306" s="1430"/>
      <c r="AO306" s="1430"/>
      <c r="AP306" s="1430"/>
      <c r="AQ306" s="1430"/>
      <c r="AR306" s="1430"/>
      <c r="AS306" s="1430"/>
      <c r="AT306" s="1430"/>
      <c r="AU306" s="1430"/>
      <c r="AV306" s="1704"/>
      <c r="AW306" s="1430"/>
      <c r="AX306" s="1430"/>
      <c r="AY306" s="1430"/>
      <c r="AZ306" s="1430"/>
      <c r="BA306" s="1430"/>
      <c r="BB306" s="1430"/>
      <c r="BC306" s="1430"/>
      <c r="BD306" s="1475"/>
      <c r="BE306" s="1571" t="s">
        <v>1217</v>
      </c>
      <c r="BF306" s="1436">
        <v>21</v>
      </c>
      <c r="BG306" s="1436">
        <v>14</v>
      </c>
      <c r="BH306" s="1436">
        <v>4</v>
      </c>
      <c r="BI306" s="1495" t="b">
        <f t="shared" si="409"/>
        <v>1</v>
      </c>
      <c r="BJ306" s="1450" t="b">
        <f t="shared" si="417"/>
        <v>0</v>
      </c>
      <c r="BK306" s="1572">
        <f t="shared" si="418"/>
        <v>0</v>
      </c>
      <c r="BL306" s="1581">
        <f>IF(SUM(BL$293:BL305,BK306)&gt;$BS$4,0,BK306)</f>
        <v>0</v>
      </c>
      <c r="BM306" s="1436">
        <f t="shared" si="394"/>
        <v>0</v>
      </c>
      <c r="BN306" s="1495">
        <f t="shared" si="395"/>
        <v>0</v>
      </c>
      <c r="BO306" s="1437">
        <f t="shared" si="414"/>
        <v>0</v>
      </c>
      <c r="BP306" s="1762">
        <f t="shared" si="419"/>
        <v>0</v>
      </c>
      <c r="BQ306" s="1577">
        <f t="shared" si="420"/>
        <v>0</v>
      </c>
      <c r="BR306" s="1576">
        <f t="shared" si="396"/>
        <v>0</v>
      </c>
      <c r="BS306" s="1574">
        <f t="shared" si="421"/>
        <v>0</v>
      </c>
      <c r="BT306" s="1577">
        <f t="shared" si="422"/>
        <v>0</v>
      </c>
      <c r="BU306" s="1576">
        <f t="shared" si="397"/>
        <v>0</v>
      </c>
      <c r="BV306" s="1574">
        <f t="shared" si="423"/>
        <v>0</v>
      </c>
      <c r="BW306" s="1577">
        <f t="shared" si="424"/>
        <v>0</v>
      </c>
      <c r="BX306" s="1576">
        <f t="shared" si="398"/>
        <v>0</v>
      </c>
      <c r="BY306" s="1574">
        <f t="shared" si="425"/>
        <v>0</v>
      </c>
      <c r="BZ306" s="1577">
        <f t="shared" si="426"/>
        <v>0</v>
      </c>
      <c r="CA306" s="1576">
        <f t="shared" si="399"/>
        <v>0</v>
      </c>
      <c r="CB306" s="1495">
        <f t="shared" si="427"/>
        <v>0</v>
      </c>
      <c r="CC306" s="1577">
        <f t="shared" si="428"/>
        <v>0</v>
      </c>
      <c r="CD306" s="1576">
        <f t="shared" si="400"/>
        <v>0</v>
      </c>
      <c r="CE306" s="1495">
        <f t="shared" si="429"/>
        <v>0</v>
      </c>
      <c r="CF306" s="1577">
        <f t="shared" si="430"/>
        <v>0</v>
      </c>
      <c r="CG306" s="1576">
        <f t="shared" si="401"/>
        <v>0</v>
      </c>
      <c r="CH306" s="1495">
        <f t="shared" si="431"/>
        <v>0</v>
      </c>
      <c r="CI306" s="1577">
        <f t="shared" si="432"/>
        <v>0</v>
      </c>
      <c r="CJ306" s="1576">
        <f t="shared" si="402"/>
        <v>0</v>
      </c>
      <c r="CK306" s="1495">
        <f t="shared" si="433"/>
        <v>0</v>
      </c>
      <c r="CL306" s="1577">
        <f t="shared" si="434"/>
        <v>0</v>
      </c>
      <c r="CM306" s="1576">
        <f t="shared" si="403"/>
        <v>0</v>
      </c>
      <c r="CN306" s="1495">
        <f t="shared" si="435"/>
        <v>0</v>
      </c>
      <c r="CO306" s="1577">
        <f t="shared" si="436"/>
        <v>0</v>
      </c>
      <c r="CP306" s="1576">
        <f t="shared" si="404"/>
        <v>0</v>
      </c>
      <c r="CQ306" s="1495">
        <f t="shared" si="437"/>
        <v>0</v>
      </c>
      <c r="CR306" s="1577">
        <f t="shared" si="438"/>
        <v>0</v>
      </c>
      <c r="CS306" s="1576">
        <f t="shared" si="405"/>
        <v>0</v>
      </c>
      <c r="CT306" s="1495">
        <f t="shared" si="439"/>
        <v>0</v>
      </c>
      <c r="CU306" s="1577">
        <f t="shared" si="440"/>
        <v>0</v>
      </c>
      <c r="CV306" s="1576">
        <f t="shared" si="406"/>
        <v>0</v>
      </c>
      <c r="CW306" s="1495">
        <f t="shared" si="441"/>
        <v>0</v>
      </c>
      <c r="CX306" s="1577">
        <f t="shared" si="442"/>
        <v>0</v>
      </c>
      <c r="CY306" s="1576">
        <f t="shared" si="407"/>
        <v>0</v>
      </c>
      <c r="CZ306" s="1574">
        <f t="shared" si="408"/>
        <v>0</v>
      </c>
      <c r="DA306" s="1578">
        <f t="shared" si="410"/>
        <v>0</v>
      </c>
      <c r="DB306" s="1579">
        <f t="shared" si="411"/>
        <v>0</v>
      </c>
      <c r="DC306" s="1578">
        <f t="shared" si="412"/>
        <v>0</v>
      </c>
      <c r="DD306" s="1578">
        <f t="shared" si="412"/>
        <v>0</v>
      </c>
      <c r="DE306" s="1578">
        <f t="shared" si="412"/>
        <v>0</v>
      </c>
      <c r="DF306" s="1578">
        <f t="shared" si="413"/>
        <v>0</v>
      </c>
      <c r="DG306" s="1538"/>
      <c r="DH306" s="1538"/>
      <c r="DI306" s="1422"/>
      <c r="DJ306" s="1428"/>
      <c r="DK306" s="1428"/>
      <c r="DL306" s="1428"/>
      <c r="DM306" s="1428"/>
      <c r="DN306" s="1428"/>
      <c r="DO306" s="1428"/>
      <c r="DP306" s="1428"/>
      <c r="DQ306" s="1422"/>
      <c r="DR306" s="1428"/>
      <c r="DS306" s="1428"/>
      <c r="DT306" s="1428"/>
      <c r="DU306" s="1428"/>
      <c r="DV306" s="1428"/>
      <c r="DW306" s="1428"/>
      <c r="DX306" s="1428"/>
      <c r="DY306" s="1428"/>
      <c r="DZ306" s="1428"/>
      <c r="EA306" s="1428"/>
      <c r="EB306" s="1428"/>
      <c r="EC306" s="1428"/>
      <c r="ED306" s="1428"/>
      <c r="EE306" s="1428"/>
      <c r="EF306" s="1428"/>
      <c r="EG306" s="1428"/>
      <c r="EH306" s="1428"/>
      <c r="EI306" s="1428"/>
      <c r="EJ306" s="1428"/>
      <c r="EK306" s="1428"/>
      <c r="EL306" s="1428"/>
      <c r="EM306" s="1428"/>
      <c r="EN306" s="1428"/>
      <c r="EO306" s="1428"/>
      <c r="EP306" s="1428"/>
      <c r="EQ306" s="1428"/>
      <c r="ER306" s="1428"/>
      <c r="ES306" s="1428"/>
      <c r="ET306" s="1428"/>
      <c r="EU306" s="1428"/>
    </row>
    <row r="307" spans="1:151" s="1440" customFormat="1" ht="15" customHeight="1">
      <c r="A307" s="1834"/>
      <c r="B307" s="1688" t="s">
        <v>2287</v>
      </c>
      <c r="J307" s="1816"/>
      <c r="K307" s="1720"/>
      <c r="L307" s="1720"/>
      <c r="M307" s="1720"/>
      <c r="N307" s="1430" t="s">
        <v>2288</v>
      </c>
      <c r="O307" s="1430"/>
      <c r="P307" s="1430"/>
      <c r="Q307" s="1430"/>
      <c r="R307" s="1430"/>
      <c r="S307" s="1430"/>
      <c r="T307" s="1430"/>
      <c r="U307" s="1430"/>
      <c r="V307" s="1430"/>
      <c r="W307" s="1430"/>
      <c r="X307" s="1430"/>
      <c r="Y307" s="1430"/>
      <c r="Z307" s="1430"/>
      <c r="AA307" s="1430"/>
      <c r="AB307" s="1430"/>
      <c r="AC307" s="1430"/>
      <c r="AD307" s="1430"/>
      <c r="AE307" s="1430"/>
      <c r="AF307" s="1430"/>
      <c r="AG307" s="1430"/>
      <c r="AH307" s="1430"/>
      <c r="AI307" s="1430"/>
      <c r="AJ307" s="1430"/>
      <c r="AK307" s="1430"/>
      <c r="AL307" s="1430"/>
      <c r="AM307" s="1430"/>
      <c r="AN307" s="1430"/>
      <c r="AO307" s="1430"/>
      <c r="AP307" s="1430"/>
      <c r="AQ307" s="1430"/>
      <c r="AR307" s="1430"/>
      <c r="AS307" s="1430"/>
      <c r="AT307" s="1430"/>
      <c r="AU307" s="1430"/>
      <c r="AV307" s="1704"/>
      <c r="AW307" s="1430"/>
      <c r="AX307" s="1430"/>
      <c r="AY307" s="1430"/>
      <c r="AZ307" s="1430"/>
      <c r="BA307" s="1430"/>
      <c r="BB307" s="1430"/>
      <c r="BC307" s="1430"/>
      <c r="BD307" s="1475"/>
      <c r="BE307" s="1571" t="s">
        <v>1217</v>
      </c>
      <c r="BF307" s="1436">
        <v>21</v>
      </c>
      <c r="BG307" s="1436">
        <v>15</v>
      </c>
      <c r="BH307" s="1436">
        <v>5</v>
      </c>
      <c r="BI307" s="1495" t="b">
        <f t="shared" si="409"/>
        <v>1</v>
      </c>
      <c r="BJ307" s="1450" t="b">
        <f t="shared" si="417"/>
        <v>1</v>
      </c>
      <c r="BK307" s="1572">
        <f t="shared" si="418"/>
        <v>7.166666666666667</v>
      </c>
      <c r="BL307" s="1581">
        <f>IF(SUM(BL$293:BL306,BK307)&gt;$BS$4,0,BK307)</f>
        <v>7.166666666666667</v>
      </c>
      <c r="BM307" s="1436">
        <f t="shared" si="394"/>
        <v>0</v>
      </c>
      <c r="BN307" s="1495">
        <f t="shared" si="395"/>
        <v>0</v>
      </c>
      <c r="BO307" s="1437">
        <f t="shared" si="414"/>
        <v>0</v>
      </c>
      <c r="BP307" s="1762">
        <f t="shared" si="419"/>
        <v>0</v>
      </c>
      <c r="BQ307" s="1577">
        <f t="shared" si="420"/>
        <v>0</v>
      </c>
      <c r="BR307" s="1576">
        <f t="shared" si="396"/>
        <v>0</v>
      </c>
      <c r="BS307" s="1574">
        <f t="shared" si="421"/>
        <v>0</v>
      </c>
      <c r="BT307" s="1577">
        <f t="shared" si="422"/>
        <v>0</v>
      </c>
      <c r="BU307" s="1576">
        <f t="shared" si="397"/>
        <v>0</v>
      </c>
      <c r="BV307" s="1574">
        <f t="shared" si="423"/>
        <v>0</v>
      </c>
      <c r="BW307" s="1577">
        <f t="shared" si="424"/>
        <v>0</v>
      </c>
      <c r="BX307" s="1576">
        <f t="shared" si="398"/>
        <v>0</v>
      </c>
      <c r="BY307" s="1574">
        <f t="shared" si="425"/>
        <v>0</v>
      </c>
      <c r="BZ307" s="1577">
        <f t="shared" si="426"/>
        <v>0</v>
      </c>
      <c r="CA307" s="1576">
        <f t="shared" si="399"/>
        <v>0</v>
      </c>
      <c r="CB307" s="1495">
        <f t="shared" si="427"/>
        <v>0</v>
      </c>
      <c r="CC307" s="1577">
        <f t="shared" si="428"/>
        <v>0</v>
      </c>
      <c r="CD307" s="1576">
        <f t="shared" si="400"/>
        <v>0</v>
      </c>
      <c r="CE307" s="1495">
        <f t="shared" si="429"/>
        <v>0</v>
      </c>
      <c r="CF307" s="1577">
        <f t="shared" si="430"/>
        <v>0</v>
      </c>
      <c r="CG307" s="1576">
        <f t="shared" si="401"/>
        <v>0</v>
      </c>
      <c r="CH307" s="1495">
        <f t="shared" si="431"/>
        <v>0</v>
      </c>
      <c r="CI307" s="1577">
        <f t="shared" si="432"/>
        <v>0</v>
      </c>
      <c r="CJ307" s="1576">
        <f t="shared" si="402"/>
        <v>0</v>
      </c>
      <c r="CK307" s="1495">
        <f t="shared" si="433"/>
        <v>0</v>
      </c>
      <c r="CL307" s="1577">
        <f t="shared" si="434"/>
        <v>0</v>
      </c>
      <c r="CM307" s="1576">
        <f t="shared" si="403"/>
        <v>0</v>
      </c>
      <c r="CN307" s="1495">
        <f t="shared" si="435"/>
        <v>0</v>
      </c>
      <c r="CO307" s="1577">
        <f t="shared" si="436"/>
        <v>0</v>
      </c>
      <c r="CP307" s="1576">
        <f t="shared" si="404"/>
        <v>0</v>
      </c>
      <c r="CQ307" s="1495">
        <f t="shared" si="437"/>
        <v>0</v>
      </c>
      <c r="CR307" s="1577">
        <f t="shared" si="438"/>
        <v>0</v>
      </c>
      <c r="CS307" s="1576">
        <f t="shared" si="405"/>
        <v>0</v>
      </c>
      <c r="CT307" s="1495">
        <f t="shared" si="439"/>
        <v>0</v>
      </c>
      <c r="CU307" s="1577">
        <f t="shared" si="440"/>
        <v>0</v>
      </c>
      <c r="CV307" s="1576">
        <f t="shared" si="406"/>
        <v>0</v>
      </c>
      <c r="CW307" s="1495">
        <f t="shared" si="441"/>
        <v>0</v>
      </c>
      <c r="CX307" s="1577">
        <f t="shared" si="442"/>
        <v>0</v>
      </c>
      <c r="CY307" s="1576">
        <f t="shared" si="407"/>
        <v>0</v>
      </c>
      <c r="CZ307" s="1574">
        <f t="shared" si="408"/>
        <v>0</v>
      </c>
      <c r="DA307" s="1578">
        <f t="shared" si="410"/>
        <v>0</v>
      </c>
      <c r="DB307" s="1579">
        <f t="shared" si="411"/>
        <v>0</v>
      </c>
      <c r="DC307" s="1578">
        <f t="shared" si="412"/>
        <v>0</v>
      </c>
      <c r="DD307" s="1578">
        <f t="shared" si="412"/>
        <v>0</v>
      </c>
      <c r="DE307" s="1578">
        <f t="shared" si="412"/>
        <v>0</v>
      </c>
      <c r="DF307" s="1578">
        <f t="shared" si="413"/>
        <v>0</v>
      </c>
      <c r="DG307" s="1538"/>
      <c r="DH307" s="1538"/>
      <c r="DI307" s="1422"/>
      <c r="DJ307" s="1428"/>
      <c r="DK307" s="1428"/>
      <c r="DL307" s="1428"/>
      <c r="DM307" s="1428"/>
      <c r="DN307" s="1428"/>
      <c r="DO307" s="1428"/>
      <c r="DP307" s="1428"/>
      <c r="DQ307" s="1422"/>
      <c r="DR307" s="1428"/>
      <c r="DS307" s="1428"/>
      <c r="DT307" s="1428"/>
      <c r="DU307" s="1428"/>
      <c r="DV307" s="1428"/>
      <c r="DW307" s="1428"/>
      <c r="DX307" s="1428"/>
      <c r="DY307" s="1428"/>
      <c r="DZ307" s="1428"/>
      <c r="EA307" s="1428"/>
      <c r="EB307" s="1428"/>
      <c r="EC307" s="1428"/>
      <c r="ED307" s="1428"/>
      <c r="EE307" s="1428"/>
      <c r="EF307" s="1428"/>
      <c r="EG307" s="1428"/>
      <c r="EH307" s="1428"/>
      <c r="EI307" s="1428"/>
      <c r="EJ307" s="1428"/>
      <c r="EK307" s="1428"/>
      <c r="EL307" s="1428"/>
      <c r="EM307" s="1428"/>
      <c r="EN307" s="1428"/>
      <c r="EO307" s="1428"/>
      <c r="EP307" s="1428"/>
      <c r="EQ307" s="1428"/>
      <c r="ER307" s="1428"/>
      <c r="ES307" s="1428"/>
      <c r="ET307" s="1428"/>
      <c r="EU307" s="1428"/>
    </row>
    <row r="308" spans="1:151" s="1440" customFormat="1" ht="15" customHeight="1">
      <c r="A308" s="1834"/>
      <c r="B308" s="2471" t="s">
        <v>2289</v>
      </c>
      <c r="C308" s="2471"/>
      <c r="D308" s="2471"/>
      <c r="E308" s="2472"/>
      <c r="F308" s="1637" t="s">
        <v>368</v>
      </c>
      <c r="J308" s="1816"/>
      <c r="K308" s="1720"/>
      <c r="L308" s="1720"/>
      <c r="M308" s="1720"/>
      <c r="N308" s="1430" t="b">
        <f>F308="Yes"</f>
        <v>0</v>
      </c>
      <c r="O308" s="1430"/>
      <c r="P308" s="1430"/>
      <c r="Q308" s="1430"/>
      <c r="R308" s="1430"/>
      <c r="S308" s="1430"/>
      <c r="T308" s="1430"/>
      <c r="U308" s="1430"/>
      <c r="V308" s="1430"/>
      <c r="W308" s="1430"/>
      <c r="X308" s="1430"/>
      <c r="Y308" s="1430"/>
      <c r="Z308" s="1430"/>
      <c r="AA308" s="1430"/>
      <c r="AB308" s="1430"/>
      <c r="AC308" s="1430"/>
      <c r="AD308" s="1430"/>
      <c r="AE308" s="1430"/>
      <c r="AF308" s="1430"/>
      <c r="AG308" s="1430"/>
      <c r="AH308" s="1430"/>
      <c r="AI308" s="1430"/>
      <c r="AJ308" s="1430"/>
      <c r="AK308" s="1430"/>
      <c r="AL308" s="1430"/>
      <c r="AM308" s="1430"/>
      <c r="AN308" s="1430"/>
      <c r="AO308" s="1430"/>
      <c r="AP308" s="1430"/>
      <c r="AQ308" s="1430"/>
      <c r="AR308" s="1430"/>
      <c r="AS308" s="1430"/>
      <c r="AT308" s="1430"/>
      <c r="AU308" s="1430"/>
      <c r="AV308" s="1704"/>
      <c r="AW308" s="1430"/>
      <c r="AX308" s="1430"/>
      <c r="AY308" s="1430"/>
      <c r="AZ308" s="1430"/>
      <c r="BA308" s="1430"/>
      <c r="BB308" s="1430"/>
      <c r="BC308" s="1430"/>
      <c r="BD308" s="1475"/>
      <c r="BE308" s="1571" t="s">
        <v>1217</v>
      </c>
      <c r="BF308" s="1436">
        <v>21</v>
      </c>
      <c r="BG308" s="1436">
        <v>16</v>
      </c>
      <c r="BH308" s="1436">
        <v>6</v>
      </c>
      <c r="BI308" s="1495" t="b">
        <f t="shared" si="409"/>
        <v>0</v>
      </c>
      <c r="BJ308" s="1450" t="b">
        <f t="shared" si="417"/>
        <v>0</v>
      </c>
      <c r="BK308" s="1572">
        <f t="shared" si="418"/>
        <v>0</v>
      </c>
      <c r="BL308" s="1581">
        <f>IF(SUM(BL$293:BL307,BK308)&gt;$BS$4,0,BK308)</f>
        <v>0</v>
      </c>
      <c r="BM308" s="1436">
        <f t="shared" si="394"/>
        <v>0</v>
      </c>
      <c r="BN308" s="1495">
        <f t="shared" si="395"/>
        <v>0</v>
      </c>
      <c r="BO308" s="1437">
        <f t="shared" si="414"/>
        <v>0</v>
      </c>
      <c r="BP308" s="1762">
        <f t="shared" si="419"/>
        <v>0</v>
      </c>
      <c r="BQ308" s="1577">
        <f t="shared" si="420"/>
        <v>0</v>
      </c>
      <c r="BR308" s="1576">
        <f t="shared" si="396"/>
        <v>0</v>
      </c>
      <c r="BS308" s="1574">
        <f t="shared" si="421"/>
        <v>0</v>
      </c>
      <c r="BT308" s="1577">
        <f t="shared" si="422"/>
        <v>0</v>
      </c>
      <c r="BU308" s="1576">
        <f t="shared" si="397"/>
        <v>0</v>
      </c>
      <c r="BV308" s="1574">
        <f t="shared" si="423"/>
        <v>0</v>
      </c>
      <c r="BW308" s="1577">
        <f t="shared" si="424"/>
        <v>0</v>
      </c>
      <c r="BX308" s="1576">
        <f t="shared" si="398"/>
        <v>0</v>
      </c>
      <c r="BY308" s="1574">
        <f t="shared" si="425"/>
        <v>0</v>
      </c>
      <c r="BZ308" s="1577">
        <f t="shared" si="426"/>
        <v>0</v>
      </c>
      <c r="CA308" s="1576">
        <f t="shared" si="399"/>
        <v>0</v>
      </c>
      <c r="CB308" s="1495">
        <f t="shared" si="427"/>
        <v>0</v>
      </c>
      <c r="CC308" s="1577">
        <f t="shared" si="428"/>
        <v>0</v>
      </c>
      <c r="CD308" s="1576">
        <f t="shared" si="400"/>
        <v>0</v>
      </c>
      <c r="CE308" s="1495">
        <f t="shared" si="429"/>
        <v>0</v>
      </c>
      <c r="CF308" s="1577">
        <f t="shared" si="430"/>
        <v>0</v>
      </c>
      <c r="CG308" s="1576">
        <f t="shared" si="401"/>
        <v>0</v>
      </c>
      <c r="CH308" s="1495">
        <f t="shared" si="431"/>
        <v>0</v>
      </c>
      <c r="CI308" s="1577">
        <f t="shared" si="432"/>
        <v>0</v>
      </c>
      <c r="CJ308" s="1576">
        <f t="shared" si="402"/>
        <v>0</v>
      </c>
      <c r="CK308" s="1495">
        <f t="shared" si="433"/>
        <v>0</v>
      </c>
      <c r="CL308" s="1577">
        <f t="shared" si="434"/>
        <v>0</v>
      </c>
      <c r="CM308" s="1576">
        <f t="shared" si="403"/>
        <v>0</v>
      </c>
      <c r="CN308" s="1495">
        <f t="shared" si="435"/>
        <v>0</v>
      </c>
      <c r="CO308" s="1577">
        <f t="shared" si="436"/>
        <v>0</v>
      </c>
      <c r="CP308" s="1576">
        <f t="shared" si="404"/>
        <v>0</v>
      </c>
      <c r="CQ308" s="1495">
        <f t="shared" si="437"/>
        <v>0</v>
      </c>
      <c r="CR308" s="1577">
        <f t="shared" si="438"/>
        <v>0</v>
      </c>
      <c r="CS308" s="1576">
        <f t="shared" si="405"/>
        <v>0</v>
      </c>
      <c r="CT308" s="1495">
        <f t="shared" si="439"/>
        <v>0</v>
      </c>
      <c r="CU308" s="1577">
        <f t="shared" si="440"/>
        <v>0</v>
      </c>
      <c r="CV308" s="1576">
        <f t="shared" si="406"/>
        <v>0</v>
      </c>
      <c r="CW308" s="1495">
        <f t="shared" si="441"/>
        <v>0</v>
      </c>
      <c r="CX308" s="1577">
        <f t="shared" si="442"/>
        <v>0</v>
      </c>
      <c r="CY308" s="1576">
        <f t="shared" si="407"/>
        <v>0</v>
      </c>
      <c r="CZ308" s="1574">
        <f t="shared" si="408"/>
        <v>0</v>
      </c>
      <c r="DA308" s="1578">
        <f t="shared" si="410"/>
        <v>0</v>
      </c>
      <c r="DB308" s="1579">
        <f t="shared" si="411"/>
        <v>0</v>
      </c>
      <c r="DC308" s="1578">
        <f t="shared" si="412"/>
        <v>0</v>
      </c>
      <c r="DD308" s="1578">
        <f t="shared" si="412"/>
        <v>0</v>
      </c>
      <c r="DE308" s="1578">
        <f t="shared" si="412"/>
        <v>0</v>
      </c>
      <c r="DF308" s="1578">
        <f t="shared" si="413"/>
        <v>0</v>
      </c>
      <c r="DG308" s="1538"/>
      <c r="DH308" s="1538"/>
      <c r="DI308" s="1422"/>
      <c r="DJ308" s="1428"/>
      <c r="DK308" s="1428"/>
      <c r="DL308" s="1428"/>
      <c r="DM308" s="1428"/>
      <c r="DN308" s="1428"/>
      <c r="DO308" s="1428"/>
      <c r="DP308" s="1428"/>
      <c r="DQ308" s="1422"/>
      <c r="DR308" s="1428"/>
      <c r="DS308" s="1428"/>
      <c r="DT308" s="1428"/>
      <c r="DU308" s="1428"/>
      <c r="DV308" s="1428"/>
      <c r="DW308" s="1428"/>
      <c r="DX308" s="1428"/>
      <c r="DY308" s="1428"/>
      <c r="DZ308" s="1428"/>
      <c r="EA308" s="1428"/>
      <c r="EB308" s="1428"/>
      <c r="EC308" s="1428"/>
      <c r="ED308" s="1428"/>
      <c r="EE308" s="1428"/>
      <c r="EF308" s="1428"/>
      <c r="EG308" s="1428"/>
      <c r="EH308" s="1428"/>
      <c r="EI308" s="1428"/>
      <c r="EJ308" s="1428"/>
      <c r="EK308" s="1428"/>
      <c r="EL308" s="1428"/>
      <c r="EM308" s="1428"/>
      <c r="EN308" s="1428"/>
      <c r="EO308" s="1428"/>
      <c r="EP308" s="1428"/>
      <c r="EQ308" s="1428"/>
      <c r="ER308" s="1428"/>
      <c r="ES308" s="1428"/>
      <c r="ET308" s="1428"/>
      <c r="EU308" s="1428"/>
    </row>
    <row r="309" spans="1:151" s="1440" customFormat="1" ht="15.75">
      <c r="A309" s="1834"/>
      <c r="B309" s="1627"/>
      <c r="J309" s="1816"/>
      <c r="K309" s="1720"/>
      <c r="L309" s="1720"/>
      <c r="M309" s="1720"/>
      <c r="N309" s="1430"/>
      <c r="O309" s="1430"/>
      <c r="P309" s="1430"/>
      <c r="Q309" s="1430"/>
      <c r="R309" s="1430"/>
      <c r="S309" s="1430"/>
      <c r="T309" s="1430"/>
      <c r="U309" s="1430"/>
      <c r="V309" s="1430"/>
      <c r="W309" s="1430"/>
      <c r="X309" s="1430"/>
      <c r="Y309" s="1430"/>
      <c r="Z309" s="1430"/>
      <c r="AA309" s="1430"/>
      <c r="AB309" s="1430"/>
      <c r="AC309" s="1430"/>
      <c r="AD309" s="1430"/>
      <c r="AE309" s="1430"/>
      <c r="AF309" s="1430"/>
      <c r="AG309" s="1430"/>
      <c r="AH309" s="1430"/>
      <c r="AI309" s="1430"/>
      <c r="AJ309" s="1430"/>
      <c r="AK309" s="1430"/>
      <c r="AL309" s="1430"/>
      <c r="AM309" s="1430"/>
      <c r="AN309" s="1430"/>
      <c r="AO309" s="1430"/>
      <c r="AP309" s="1430"/>
      <c r="AQ309" s="1430"/>
      <c r="AR309" s="1430"/>
      <c r="AS309" s="1430"/>
      <c r="AT309" s="1430"/>
      <c r="AU309" s="1430"/>
      <c r="AV309" s="1704"/>
      <c r="AW309" s="1430"/>
      <c r="AX309" s="1430"/>
      <c r="AY309" s="1430"/>
      <c r="AZ309" s="1430"/>
      <c r="BA309" s="1430"/>
      <c r="BB309" s="1430"/>
      <c r="BC309" s="1430"/>
      <c r="BD309" s="1475"/>
      <c r="BE309" s="1571" t="s">
        <v>1217</v>
      </c>
      <c r="BF309" s="1436">
        <v>21</v>
      </c>
      <c r="BG309" s="1436">
        <v>17</v>
      </c>
      <c r="BH309" s="1436">
        <v>7</v>
      </c>
      <c r="BI309" s="1495" t="b">
        <f t="shared" si="409"/>
        <v>0</v>
      </c>
      <c r="BJ309" s="1450" t="b">
        <f t="shared" si="417"/>
        <v>0</v>
      </c>
      <c r="BK309" s="1572">
        <f t="shared" si="418"/>
        <v>0</v>
      </c>
      <c r="BL309" s="1581">
        <f>IF(SUM(BL$293:BL308,BK309)&gt;$BS$4,0,BK309)</f>
        <v>0</v>
      </c>
      <c r="BM309" s="1436">
        <f t="shared" si="394"/>
        <v>0</v>
      </c>
      <c r="BN309" s="1495">
        <f t="shared" si="395"/>
        <v>0</v>
      </c>
      <c r="BO309" s="1437">
        <f t="shared" si="414"/>
        <v>0</v>
      </c>
      <c r="BP309" s="1762">
        <f t="shared" si="419"/>
        <v>0</v>
      </c>
      <c r="BQ309" s="1577">
        <f t="shared" si="420"/>
        <v>0</v>
      </c>
      <c r="BR309" s="1576">
        <f t="shared" si="396"/>
        <v>0</v>
      </c>
      <c r="BS309" s="1574">
        <f t="shared" si="421"/>
        <v>0</v>
      </c>
      <c r="BT309" s="1577">
        <f t="shared" si="422"/>
        <v>0</v>
      </c>
      <c r="BU309" s="1576">
        <f t="shared" si="397"/>
        <v>0</v>
      </c>
      <c r="BV309" s="1574">
        <f t="shared" si="423"/>
        <v>0</v>
      </c>
      <c r="BW309" s="1577">
        <f t="shared" si="424"/>
        <v>0</v>
      </c>
      <c r="BX309" s="1576">
        <f t="shared" si="398"/>
        <v>0</v>
      </c>
      <c r="BY309" s="1574">
        <f t="shared" si="425"/>
        <v>0</v>
      </c>
      <c r="BZ309" s="1577">
        <f t="shared" si="426"/>
        <v>0</v>
      </c>
      <c r="CA309" s="1576">
        <f t="shared" si="399"/>
        <v>0</v>
      </c>
      <c r="CB309" s="1495">
        <f t="shared" si="427"/>
        <v>0</v>
      </c>
      <c r="CC309" s="1577">
        <f t="shared" si="428"/>
        <v>0</v>
      </c>
      <c r="CD309" s="1576">
        <f t="shared" si="400"/>
        <v>0</v>
      </c>
      <c r="CE309" s="1495">
        <f t="shared" si="429"/>
        <v>0</v>
      </c>
      <c r="CF309" s="1577">
        <f t="shared" si="430"/>
        <v>0</v>
      </c>
      <c r="CG309" s="1576">
        <f t="shared" si="401"/>
        <v>0</v>
      </c>
      <c r="CH309" s="1495">
        <f t="shared" si="431"/>
        <v>0</v>
      </c>
      <c r="CI309" s="1577">
        <f t="shared" si="432"/>
        <v>0</v>
      </c>
      <c r="CJ309" s="1576">
        <f t="shared" si="402"/>
        <v>0</v>
      </c>
      <c r="CK309" s="1495">
        <f t="shared" si="433"/>
        <v>0</v>
      </c>
      <c r="CL309" s="1577">
        <f t="shared" si="434"/>
        <v>0</v>
      </c>
      <c r="CM309" s="1576">
        <f t="shared" si="403"/>
        <v>0</v>
      </c>
      <c r="CN309" s="1495">
        <f t="shared" si="435"/>
        <v>0</v>
      </c>
      <c r="CO309" s="1577">
        <f t="shared" si="436"/>
        <v>0</v>
      </c>
      <c r="CP309" s="1576">
        <f t="shared" si="404"/>
        <v>0</v>
      </c>
      <c r="CQ309" s="1495">
        <f t="shared" si="437"/>
        <v>0</v>
      </c>
      <c r="CR309" s="1577">
        <f t="shared" si="438"/>
        <v>0</v>
      </c>
      <c r="CS309" s="1576">
        <f t="shared" si="405"/>
        <v>0</v>
      </c>
      <c r="CT309" s="1495">
        <f t="shared" si="439"/>
        <v>0</v>
      </c>
      <c r="CU309" s="1577">
        <f t="shared" si="440"/>
        <v>0</v>
      </c>
      <c r="CV309" s="1576">
        <f t="shared" si="406"/>
        <v>0</v>
      </c>
      <c r="CW309" s="1495">
        <f t="shared" si="441"/>
        <v>0</v>
      </c>
      <c r="CX309" s="1577">
        <f t="shared" si="442"/>
        <v>0</v>
      </c>
      <c r="CY309" s="1576">
        <f t="shared" si="407"/>
        <v>0</v>
      </c>
      <c r="CZ309" s="1574">
        <f t="shared" si="408"/>
        <v>0</v>
      </c>
      <c r="DA309" s="1578">
        <f t="shared" si="410"/>
        <v>0</v>
      </c>
      <c r="DB309" s="1579">
        <f t="shared" si="411"/>
        <v>0</v>
      </c>
      <c r="DC309" s="1578">
        <f t="shared" si="412"/>
        <v>0</v>
      </c>
      <c r="DD309" s="1578">
        <f t="shared" si="412"/>
        <v>0</v>
      </c>
      <c r="DE309" s="1578">
        <f t="shared" si="412"/>
        <v>0</v>
      </c>
      <c r="DF309" s="1578">
        <f t="shared" si="413"/>
        <v>0</v>
      </c>
      <c r="DG309" s="1538"/>
      <c r="DH309" s="1538"/>
      <c r="DI309" s="1422"/>
      <c r="DJ309" s="1428"/>
      <c r="DK309" s="1428"/>
      <c r="DL309" s="1428"/>
      <c r="DM309" s="1428"/>
      <c r="DN309" s="1428"/>
      <c r="DO309" s="1428"/>
      <c r="DP309" s="1428"/>
      <c r="DQ309" s="1422"/>
      <c r="DR309" s="1428"/>
      <c r="DS309" s="1428"/>
      <c r="DT309" s="1428"/>
      <c r="DU309" s="1428"/>
      <c r="DV309" s="1428"/>
      <c r="DW309" s="1428"/>
      <c r="DX309" s="1428"/>
      <c r="DY309" s="1428"/>
      <c r="DZ309" s="1428"/>
      <c r="EA309" s="1428"/>
      <c r="EB309" s="1428"/>
      <c r="EC309" s="1428"/>
      <c r="ED309" s="1428"/>
      <c r="EE309" s="1428"/>
      <c r="EF309" s="1428"/>
      <c r="EG309" s="1428"/>
      <c r="EH309" s="1428"/>
      <c r="EI309" s="1428"/>
      <c r="EJ309" s="1428"/>
      <c r="EK309" s="1428"/>
      <c r="EL309" s="1428"/>
      <c r="EM309" s="1428"/>
      <c r="EN309" s="1428"/>
      <c r="EO309" s="1428"/>
      <c r="EP309" s="1428"/>
      <c r="EQ309" s="1428"/>
      <c r="ER309" s="1428"/>
      <c r="ES309" s="1428"/>
      <c r="ET309" s="1428"/>
      <c r="EU309" s="1428"/>
    </row>
    <row r="310" spans="1:151" s="1440" customFormat="1" ht="14.25" customHeight="1">
      <c r="A310" s="1834"/>
      <c r="J310" s="1816"/>
      <c r="K310" s="1720"/>
      <c r="M310" s="1720"/>
      <c r="N310" s="1430" t="s">
        <v>2290</v>
      </c>
      <c r="O310" s="1430"/>
      <c r="P310" s="1430"/>
      <c r="Q310" s="1430"/>
      <c r="R310" s="1430"/>
      <c r="S310" s="1430"/>
      <c r="T310" s="1430"/>
      <c r="U310" s="1430"/>
      <c r="V310" s="1430"/>
      <c r="W310" s="1430"/>
      <c r="X310" s="1430"/>
      <c r="Y310" s="1430"/>
      <c r="Z310" s="1430"/>
      <c r="AA310" s="1430"/>
      <c r="AB310" s="1430"/>
      <c r="AC310" s="1430"/>
      <c r="AD310" s="1430"/>
      <c r="AE310" s="1430"/>
      <c r="AF310" s="1430"/>
      <c r="AG310" s="1430"/>
      <c r="AH310" s="1430"/>
      <c r="AI310" s="1430"/>
      <c r="AJ310" s="1430"/>
      <c r="AK310" s="1430"/>
      <c r="AL310" s="1430"/>
      <c r="AM310" s="1430"/>
      <c r="AN310" s="1430"/>
      <c r="AO310" s="1430"/>
      <c r="AP310" s="1430"/>
      <c r="AQ310" s="1430"/>
      <c r="AR310" s="1430"/>
      <c r="AS310" s="1430"/>
      <c r="AT310" s="1430"/>
      <c r="AU310" s="1430"/>
      <c r="AV310" s="1704"/>
      <c r="AW310" s="1430"/>
      <c r="AX310" s="1430"/>
      <c r="AY310" s="1430"/>
      <c r="AZ310" s="1430"/>
      <c r="BA310" s="1430"/>
      <c r="BB310" s="1430"/>
      <c r="BC310" s="1430"/>
      <c r="BD310" s="1475"/>
      <c r="BE310" s="1571" t="s">
        <v>1217</v>
      </c>
      <c r="BF310" s="1436">
        <v>21</v>
      </c>
      <c r="BG310" s="1436">
        <v>18</v>
      </c>
      <c r="BH310" s="1436">
        <v>1</v>
      </c>
      <c r="BI310" s="1495" t="b">
        <f t="shared" si="409"/>
        <v>1</v>
      </c>
      <c r="BJ310" s="1450" t="b">
        <f t="shared" si="417"/>
        <v>0</v>
      </c>
      <c r="BK310" s="1572">
        <f t="shared" si="418"/>
        <v>0</v>
      </c>
      <c r="BL310" s="1581">
        <f>IF(SUM(BL$293:BL309,BK310)&gt;$BS$4,0,BK310)</f>
        <v>0</v>
      </c>
      <c r="BM310" s="1436">
        <f t="shared" si="394"/>
        <v>0</v>
      </c>
      <c r="BN310" s="1495">
        <f t="shared" si="395"/>
        <v>0</v>
      </c>
      <c r="BO310" s="1437">
        <f t="shared" si="414"/>
        <v>0</v>
      </c>
      <c r="BP310" s="1762">
        <f t="shared" si="419"/>
        <v>0</v>
      </c>
      <c r="BQ310" s="1577">
        <f t="shared" si="420"/>
        <v>0</v>
      </c>
      <c r="BR310" s="1576">
        <f t="shared" si="396"/>
        <v>0</v>
      </c>
      <c r="BS310" s="1574">
        <f t="shared" si="421"/>
        <v>0</v>
      </c>
      <c r="BT310" s="1577">
        <f t="shared" si="422"/>
        <v>0</v>
      </c>
      <c r="BU310" s="1576">
        <f t="shared" si="397"/>
        <v>0</v>
      </c>
      <c r="BV310" s="1574">
        <f t="shared" si="423"/>
        <v>0</v>
      </c>
      <c r="BW310" s="1577">
        <f t="shared" si="424"/>
        <v>0</v>
      </c>
      <c r="BX310" s="1576">
        <f t="shared" si="398"/>
        <v>0</v>
      </c>
      <c r="BY310" s="1574">
        <f t="shared" si="425"/>
        <v>0</v>
      </c>
      <c r="BZ310" s="1577">
        <f t="shared" si="426"/>
        <v>0</v>
      </c>
      <c r="CA310" s="1576">
        <f t="shared" si="399"/>
        <v>0</v>
      </c>
      <c r="CB310" s="1495">
        <f t="shared" si="427"/>
        <v>0</v>
      </c>
      <c r="CC310" s="1577">
        <f t="shared" si="428"/>
        <v>0</v>
      </c>
      <c r="CD310" s="1576">
        <f t="shared" si="400"/>
        <v>0</v>
      </c>
      <c r="CE310" s="1495">
        <f t="shared" si="429"/>
        <v>0</v>
      </c>
      <c r="CF310" s="1577">
        <f t="shared" si="430"/>
        <v>0</v>
      </c>
      <c r="CG310" s="1576">
        <f t="shared" si="401"/>
        <v>0</v>
      </c>
      <c r="CH310" s="1495">
        <f t="shared" si="431"/>
        <v>0</v>
      </c>
      <c r="CI310" s="1577">
        <f t="shared" si="432"/>
        <v>0</v>
      </c>
      <c r="CJ310" s="1576">
        <f t="shared" si="402"/>
        <v>0</v>
      </c>
      <c r="CK310" s="1495">
        <f t="shared" si="433"/>
        <v>0</v>
      </c>
      <c r="CL310" s="1577">
        <f t="shared" si="434"/>
        <v>0</v>
      </c>
      <c r="CM310" s="1576">
        <f t="shared" si="403"/>
        <v>0</v>
      </c>
      <c r="CN310" s="1495">
        <f t="shared" si="435"/>
        <v>0</v>
      </c>
      <c r="CO310" s="1577">
        <f t="shared" si="436"/>
        <v>0</v>
      </c>
      <c r="CP310" s="1576">
        <f t="shared" si="404"/>
        <v>0</v>
      </c>
      <c r="CQ310" s="1495">
        <f t="shared" si="437"/>
        <v>0</v>
      </c>
      <c r="CR310" s="1577">
        <f t="shared" si="438"/>
        <v>0</v>
      </c>
      <c r="CS310" s="1576">
        <f t="shared" si="405"/>
        <v>0</v>
      </c>
      <c r="CT310" s="1495">
        <f t="shared" si="439"/>
        <v>0</v>
      </c>
      <c r="CU310" s="1577">
        <f t="shared" si="440"/>
        <v>0</v>
      </c>
      <c r="CV310" s="1576">
        <f t="shared" si="406"/>
        <v>0</v>
      </c>
      <c r="CW310" s="1495">
        <f t="shared" si="441"/>
        <v>0</v>
      </c>
      <c r="CX310" s="1577">
        <f t="shared" si="442"/>
        <v>0</v>
      </c>
      <c r="CY310" s="1576">
        <f t="shared" si="407"/>
        <v>0</v>
      </c>
      <c r="CZ310" s="1574">
        <f t="shared" si="408"/>
        <v>0</v>
      </c>
      <c r="DA310" s="1578">
        <f t="shared" si="410"/>
        <v>0</v>
      </c>
      <c r="DB310" s="1579">
        <f t="shared" si="411"/>
        <v>0</v>
      </c>
      <c r="DC310" s="1578">
        <f t="shared" si="412"/>
        <v>0</v>
      </c>
      <c r="DD310" s="1578">
        <f t="shared" si="412"/>
        <v>0</v>
      </c>
      <c r="DE310" s="1578">
        <f t="shared" si="412"/>
        <v>0</v>
      </c>
      <c r="DF310" s="1578">
        <f t="shared" si="413"/>
        <v>0</v>
      </c>
      <c r="DG310" s="1538"/>
      <c r="DH310" s="1538"/>
      <c r="DI310" s="1422"/>
      <c r="DJ310" s="1428"/>
      <c r="DK310" s="1428"/>
      <c r="DL310" s="1428"/>
      <c r="DM310" s="1428"/>
      <c r="DN310" s="1428"/>
      <c r="DO310" s="1428"/>
      <c r="DP310" s="1428"/>
      <c r="DQ310" s="1422"/>
      <c r="DR310" s="1428"/>
      <c r="DS310" s="1428"/>
      <c r="DT310" s="1428"/>
      <c r="DU310" s="1428"/>
      <c r="DV310" s="1428"/>
      <c r="DW310" s="1428"/>
      <c r="DX310" s="1428"/>
      <c r="DY310" s="1428"/>
      <c r="DZ310" s="1428"/>
      <c r="EA310" s="1428"/>
      <c r="EB310" s="1428"/>
      <c r="EC310" s="1428"/>
      <c r="ED310" s="1428"/>
      <c r="EE310" s="1428"/>
      <c r="EF310" s="1428"/>
      <c r="EG310" s="1428"/>
      <c r="EH310" s="1428"/>
      <c r="EI310" s="1428"/>
      <c r="EJ310" s="1428"/>
      <c r="EK310" s="1428"/>
      <c r="EL310" s="1428"/>
      <c r="EM310" s="1428"/>
      <c r="EN310" s="1428"/>
      <c r="EO310" s="1428"/>
      <c r="EP310" s="1428"/>
      <c r="EQ310" s="1428"/>
      <c r="ER310" s="1428"/>
      <c r="ES310" s="1428"/>
      <c r="ET310" s="1428"/>
      <c r="EU310" s="1428"/>
    </row>
    <row r="311" spans="1:151" s="1440" customFormat="1" ht="15" customHeight="1">
      <c r="A311" s="1834"/>
      <c r="C311" s="2466" t="s">
        <v>2291</v>
      </c>
      <c r="D311" s="2467"/>
      <c r="G311" s="2466" t="s">
        <v>2292</v>
      </c>
      <c r="H311" s="2473"/>
      <c r="K311" s="2466" t="s">
        <v>2293</v>
      </c>
      <c r="L311" s="2467"/>
      <c r="M311" s="1720"/>
      <c r="N311" s="1430" t="s">
        <v>2294</v>
      </c>
      <c r="O311" s="1430"/>
      <c r="P311" s="1430"/>
      <c r="Q311" s="1430"/>
      <c r="R311" s="1430"/>
      <c r="S311" s="1430"/>
      <c r="T311" s="1430"/>
      <c r="U311" s="1430"/>
      <c r="V311" s="1430"/>
      <c r="W311" s="1430"/>
      <c r="X311" s="1430"/>
      <c r="Y311" s="1430"/>
      <c r="Z311" s="1430"/>
      <c r="AA311" s="1430"/>
      <c r="AB311" s="1430"/>
      <c r="AC311" s="1430"/>
      <c r="AD311" s="1430"/>
      <c r="AE311" s="1430"/>
      <c r="AF311" s="1430"/>
      <c r="AG311" s="1430"/>
      <c r="AH311" s="1430"/>
      <c r="AI311" s="1430"/>
      <c r="AJ311" s="1430"/>
      <c r="AK311" s="1430"/>
      <c r="AL311" s="1430"/>
      <c r="AM311" s="1430"/>
      <c r="AN311" s="1430"/>
      <c r="AO311" s="1430"/>
      <c r="AP311" s="1430"/>
      <c r="AQ311" s="1430"/>
      <c r="AR311" s="1430"/>
      <c r="AS311" s="1430"/>
      <c r="AT311" s="1430"/>
      <c r="AU311" s="1430"/>
      <c r="AV311" s="1704"/>
      <c r="AW311" s="1430"/>
      <c r="AX311" s="1430"/>
      <c r="AY311" s="1430"/>
      <c r="AZ311" s="1430"/>
      <c r="BA311" s="1430"/>
      <c r="BB311" s="1430"/>
      <c r="BC311" s="1430"/>
      <c r="BD311" s="1475"/>
      <c r="BE311" s="1571" t="s">
        <v>1217</v>
      </c>
      <c r="BF311" s="1436">
        <v>21</v>
      </c>
      <c r="BG311" s="1436">
        <v>19</v>
      </c>
      <c r="BH311" s="1436">
        <v>2</v>
      </c>
      <c r="BI311" s="1495" t="b">
        <f t="shared" si="409"/>
        <v>1</v>
      </c>
      <c r="BJ311" s="1450" t="b">
        <f t="shared" si="417"/>
        <v>0</v>
      </c>
      <c r="BK311" s="1572">
        <f t="shared" si="418"/>
        <v>0</v>
      </c>
      <c r="BL311" s="1581">
        <f>IF(SUM(BL$293:BL310,BK311)&gt;$BS$4,0,BK311)</f>
        <v>0</v>
      </c>
      <c r="BM311" s="1436">
        <f t="shared" si="394"/>
        <v>0</v>
      </c>
      <c r="BN311" s="1495">
        <f t="shared" si="395"/>
        <v>0</v>
      </c>
      <c r="BO311" s="1437">
        <f t="shared" si="414"/>
        <v>0</v>
      </c>
      <c r="BP311" s="1762">
        <f t="shared" si="419"/>
        <v>0</v>
      </c>
      <c r="BQ311" s="1577">
        <f t="shared" si="420"/>
        <v>0</v>
      </c>
      <c r="BR311" s="1576">
        <f t="shared" si="396"/>
        <v>0</v>
      </c>
      <c r="BS311" s="1574">
        <f t="shared" si="421"/>
        <v>0</v>
      </c>
      <c r="BT311" s="1577">
        <f t="shared" si="422"/>
        <v>0</v>
      </c>
      <c r="BU311" s="1576">
        <f t="shared" si="397"/>
        <v>0</v>
      </c>
      <c r="BV311" s="1574">
        <f t="shared" si="423"/>
        <v>0</v>
      </c>
      <c r="BW311" s="1577">
        <f t="shared" si="424"/>
        <v>0</v>
      </c>
      <c r="BX311" s="1576">
        <f t="shared" si="398"/>
        <v>0</v>
      </c>
      <c r="BY311" s="1574">
        <f t="shared" si="425"/>
        <v>0</v>
      </c>
      <c r="BZ311" s="1577">
        <f t="shared" si="426"/>
        <v>0</v>
      </c>
      <c r="CA311" s="1576">
        <f t="shared" si="399"/>
        <v>0</v>
      </c>
      <c r="CB311" s="1495">
        <f t="shared" si="427"/>
        <v>0</v>
      </c>
      <c r="CC311" s="1577">
        <f t="shared" si="428"/>
        <v>0</v>
      </c>
      <c r="CD311" s="1576">
        <f t="shared" si="400"/>
        <v>0</v>
      </c>
      <c r="CE311" s="1495">
        <f t="shared" si="429"/>
        <v>0</v>
      </c>
      <c r="CF311" s="1577">
        <f t="shared" si="430"/>
        <v>0</v>
      </c>
      <c r="CG311" s="1576">
        <f t="shared" si="401"/>
        <v>0</v>
      </c>
      <c r="CH311" s="1495">
        <f t="shared" si="431"/>
        <v>0</v>
      </c>
      <c r="CI311" s="1577">
        <f t="shared" si="432"/>
        <v>0</v>
      </c>
      <c r="CJ311" s="1576">
        <f t="shared" si="402"/>
        <v>0</v>
      </c>
      <c r="CK311" s="1495">
        <f t="shared" si="433"/>
        <v>0</v>
      </c>
      <c r="CL311" s="1577">
        <f t="shared" si="434"/>
        <v>0</v>
      </c>
      <c r="CM311" s="1576">
        <f t="shared" si="403"/>
        <v>0</v>
      </c>
      <c r="CN311" s="1495">
        <f t="shared" si="435"/>
        <v>0</v>
      </c>
      <c r="CO311" s="1577">
        <f t="shared" si="436"/>
        <v>0</v>
      </c>
      <c r="CP311" s="1576">
        <f t="shared" si="404"/>
        <v>0</v>
      </c>
      <c r="CQ311" s="1495">
        <f t="shared" si="437"/>
        <v>0</v>
      </c>
      <c r="CR311" s="1577">
        <f t="shared" si="438"/>
        <v>0</v>
      </c>
      <c r="CS311" s="1576">
        <f t="shared" si="405"/>
        <v>0</v>
      </c>
      <c r="CT311" s="1495">
        <f t="shared" si="439"/>
        <v>0</v>
      </c>
      <c r="CU311" s="1577">
        <f t="shared" si="440"/>
        <v>0</v>
      </c>
      <c r="CV311" s="1576">
        <f t="shared" si="406"/>
        <v>0</v>
      </c>
      <c r="CW311" s="1495">
        <f t="shared" si="441"/>
        <v>0</v>
      </c>
      <c r="CX311" s="1577">
        <f t="shared" si="442"/>
        <v>0</v>
      </c>
      <c r="CY311" s="1576">
        <f t="shared" si="407"/>
        <v>0</v>
      </c>
      <c r="CZ311" s="1574">
        <f t="shared" si="408"/>
        <v>0</v>
      </c>
      <c r="DA311" s="1578">
        <f t="shared" si="410"/>
        <v>0</v>
      </c>
      <c r="DB311" s="1579">
        <f t="shared" si="411"/>
        <v>0</v>
      </c>
      <c r="DC311" s="1578">
        <f t="shared" si="412"/>
        <v>0</v>
      </c>
      <c r="DD311" s="1578">
        <f t="shared" si="412"/>
        <v>0</v>
      </c>
      <c r="DE311" s="1578">
        <f t="shared" si="412"/>
        <v>0</v>
      </c>
      <c r="DF311" s="1578">
        <f t="shared" si="413"/>
        <v>0</v>
      </c>
      <c r="DG311" s="1538"/>
      <c r="DH311" s="1538"/>
      <c r="DI311" s="1422"/>
      <c r="DJ311" s="1428"/>
      <c r="DK311" s="1428"/>
      <c r="DL311" s="1428"/>
      <c r="DM311" s="1428"/>
      <c r="DN311" s="1428"/>
      <c r="DO311" s="1428"/>
      <c r="DP311" s="1428"/>
      <c r="DQ311" s="1422"/>
      <c r="DR311" s="1428"/>
      <c r="DS311" s="1428"/>
      <c r="DT311" s="1428"/>
      <c r="DU311" s="1428"/>
      <c r="DV311" s="1428"/>
      <c r="DW311" s="1428"/>
      <c r="DX311" s="1428"/>
      <c r="DY311" s="1428"/>
      <c r="DZ311" s="1428"/>
      <c r="EA311" s="1428"/>
      <c r="EB311" s="1428"/>
      <c r="EC311" s="1428"/>
      <c r="ED311" s="1428"/>
      <c r="EE311" s="1428"/>
      <c r="EF311" s="1428"/>
      <c r="EG311" s="1428"/>
      <c r="EH311" s="1428"/>
      <c r="EI311" s="1428"/>
      <c r="EJ311" s="1428"/>
      <c r="EK311" s="1428"/>
      <c r="EL311" s="1428"/>
      <c r="EM311" s="1428"/>
      <c r="EN311" s="1428"/>
      <c r="EO311" s="1428"/>
      <c r="EP311" s="1428"/>
      <c r="EQ311" s="1428"/>
      <c r="ER311" s="1428"/>
      <c r="ES311" s="1428"/>
      <c r="ET311" s="1428"/>
      <c r="EU311" s="1428"/>
    </row>
    <row r="312" spans="1:151" s="1440" customFormat="1" ht="15" customHeight="1">
      <c r="A312" s="1834"/>
      <c r="B312" s="1475"/>
      <c r="C312" s="1681" t="s">
        <v>121</v>
      </c>
      <c r="D312" s="1682" t="s">
        <v>337</v>
      </c>
      <c r="G312" s="1681" t="s">
        <v>121</v>
      </c>
      <c r="H312" s="1682" t="s">
        <v>337</v>
      </c>
      <c r="K312" s="1681" t="s">
        <v>121</v>
      </c>
      <c r="L312" s="1682" t="s">
        <v>337</v>
      </c>
      <c r="M312" s="1720"/>
      <c r="N312" s="1430"/>
      <c r="O312" s="1430"/>
      <c r="P312" s="1430"/>
      <c r="Q312" s="1430"/>
      <c r="R312" s="1430"/>
      <c r="S312" s="1430"/>
      <c r="T312" s="1430"/>
      <c r="U312" s="1430"/>
      <c r="V312" s="1430"/>
      <c r="W312" s="1430"/>
      <c r="X312" s="1430"/>
      <c r="Y312" s="1430"/>
      <c r="Z312" s="1430"/>
      <c r="AA312" s="1430"/>
      <c r="AB312" s="1430"/>
      <c r="AC312" s="1430"/>
      <c r="AD312" s="1430"/>
      <c r="AE312" s="1430"/>
      <c r="AF312" s="1430"/>
      <c r="AG312" s="1430"/>
      <c r="AH312" s="1430"/>
      <c r="AI312" s="1430"/>
      <c r="AJ312" s="1430"/>
      <c r="AK312" s="1430"/>
      <c r="AL312" s="1430"/>
      <c r="AM312" s="1430"/>
      <c r="AN312" s="1430"/>
      <c r="AO312" s="1430"/>
      <c r="AP312" s="1430"/>
      <c r="AQ312" s="1430"/>
      <c r="AR312" s="1430"/>
      <c r="AS312" s="1430"/>
      <c r="AT312" s="1430"/>
      <c r="AU312" s="1430"/>
      <c r="AV312" s="1704"/>
      <c r="AW312" s="1430"/>
      <c r="AX312" s="1430"/>
      <c r="AY312" s="1430"/>
      <c r="AZ312" s="1430"/>
      <c r="BA312" s="1430"/>
      <c r="BB312" s="1430"/>
      <c r="BC312" s="1430"/>
      <c r="BD312" s="1475"/>
      <c r="BE312" s="1571" t="s">
        <v>1217</v>
      </c>
      <c r="BF312" s="1436">
        <v>21</v>
      </c>
      <c r="BG312" s="1436">
        <v>20</v>
      </c>
      <c r="BH312" s="1436">
        <v>3</v>
      </c>
      <c r="BI312" s="1495" t="b">
        <f t="shared" si="409"/>
        <v>1</v>
      </c>
      <c r="BJ312" s="1450" t="b">
        <f t="shared" si="417"/>
        <v>1</v>
      </c>
      <c r="BK312" s="1572">
        <f t="shared" si="418"/>
        <v>7.166666666666667</v>
      </c>
      <c r="BL312" s="1581">
        <f>IF(SUM(BL$293:BL311,BK312)&gt;$BS$4,0,BK312)</f>
        <v>7.166666666666667</v>
      </c>
      <c r="BM312" s="1436">
        <f t="shared" si="394"/>
        <v>0</v>
      </c>
      <c r="BN312" s="1495">
        <f t="shared" si="395"/>
        <v>0</v>
      </c>
      <c r="BO312" s="1437">
        <f t="shared" si="414"/>
        <v>0</v>
      </c>
      <c r="BP312" s="1762">
        <f t="shared" si="419"/>
        <v>0</v>
      </c>
      <c r="BQ312" s="1577">
        <f t="shared" si="420"/>
        <v>0</v>
      </c>
      <c r="BR312" s="1576">
        <f t="shared" si="396"/>
        <v>0</v>
      </c>
      <c r="BS312" s="1574">
        <f t="shared" si="421"/>
        <v>0</v>
      </c>
      <c r="BT312" s="1577">
        <f t="shared" si="422"/>
        <v>0</v>
      </c>
      <c r="BU312" s="1576">
        <f t="shared" si="397"/>
        <v>0</v>
      </c>
      <c r="BV312" s="1574">
        <f t="shared" si="423"/>
        <v>0</v>
      </c>
      <c r="BW312" s="1577">
        <f t="shared" si="424"/>
        <v>0</v>
      </c>
      <c r="BX312" s="1576">
        <f t="shared" si="398"/>
        <v>0</v>
      </c>
      <c r="BY312" s="1574">
        <f t="shared" si="425"/>
        <v>0</v>
      </c>
      <c r="BZ312" s="1577">
        <f t="shared" si="426"/>
        <v>0</v>
      </c>
      <c r="CA312" s="1576">
        <f t="shared" si="399"/>
        <v>0</v>
      </c>
      <c r="CB312" s="1495">
        <f t="shared" si="427"/>
        <v>0</v>
      </c>
      <c r="CC312" s="1577">
        <f t="shared" si="428"/>
        <v>0</v>
      </c>
      <c r="CD312" s="1576">
        <f t="shared" si="400"/>
        <v>0</v>
      </c>
      <c r="CE312" s="1495">
        <f t="shared" si="429"/>
        <v>0</v>
      </c>
      <c r="CF312" s="1577">
        <f t="shared" si="430"/>
        <v>0</v>
      </c>
      <c r="CG312" s="1576">
        <f t="shared" si="401"/>
        <v>0</v>
      </c>
      <c r="CH312" s="1495">
        <f t="shared" si="431"/>
        <v>0</v>
      </c>
      <c r="CI312" s="1577">
        <f t="shared" si="432"/>
        <v>0</v>
      </c>
      <c r="CJ312" s="1576">
        <f t="shared" si="402"/>
        <v>0</v>
      </c>
      <c r="CK312" s="1495">
        <f t="shared" si="433"/>
        <v>0</v>
      </c>
      <c r="CL312" s="1577">
        <f t="shared" si="434"/>
        <v>0</v>
      </c>
      <c r="CM312" s="1576">
        <f t="shared" si="403"/>
        <v>0</v>
      </c>
      <c r="CN312" s="1495">
        <f t="shared" si="435"/>
        <v>0</v>
      </c>
      <c r="CO312" s="1577">
        <f t="shared" si="436"/>
        <v>0</v>
      </c>
      <c r="CP312" s="1576">
        <f t="shared" si="404"/>
        <v>0</v>
      </c>
      <c r="CQ312" s="1495">
        <f t="shared" si="437"/>
        <v>0</v>
      </c>
      <c r="CR312" s="1577">
        <f t="shared" si="438"/>
        <v>0</v>
      </c>
      <c r="CS312" s="1576">
        <f t="shared" si="405"/>
        <v>0</v>
      </c>
      <c r="CT312" s="1495">
        <f t="shared" si="439"/>
        <v>0</v>
      </c>
      <c r="CU312" s="1577">
        <f t="shared" si="440"/>
        <v>0</v>
      </c>
      <c r="CV312" s="1576">
        <f t="shared" si="406"/>
        <v>0</v>
      </c>
      <c r="CW312" s="1495">
        <f t="shared" si="441"/>
        <v>0</v>
      </c>
      <c r="CX312" s="1577">
        <f t="shared" si="442"/>
        <v>0</v>
      </c>
      <c r="CY312" s="1576">
        <f t="shared" si="407"/>
        <v>0</v>
      </c>
      <c r="CZ312" s="1574">
        <f t="shared" si="408"/>
        <v>0</v>
      </c>
      <c r="DA312" s="1578">
        <f t="shared" si="410"/>
        <v>0</v>
      </c>
      <c r="DB312" s="1579">
        <f t="shared" si="411"/>
        <v>0</v>
      </c>
      <c r="DC312" s="1578">
        <f t="shared" si="412"/>
        <v>0</v>
      </c>
      <c r="DD312" s="1578">
        <f t="shared" si="412"/>
        <v>0</v>
      </c>
      <c r="DE312" s="1578">
        <f t="shared" si="412"/>
        <v>0</v>
      </c>
      <c r="DF312" s="1578">
        <f t="shared" si="413"/>
        <v>0</v>
      </c>
      <c r="DG312" s="1538"/>
      <c r="DH312" s="1538"/>
      <c r="DI312" s="1422"/>
      <c r="DJ312" s="1428"/>
      <c r="DK312" s="1428"/>
      <c r="DL312" s="1428"/>
      <c r="DM312" s="1428"/>
      <c r="DN312" s="1428"/>
      <c r="DO312" s="1428"/>
      <c r="DP312" s="1428"/>
      <c r="DQ312" s="1422"/>
      <c r="DR312" s="1428"/>
      <c r="DS312" s="1428"/>
      <c r="DT312" s="1428"/>
      <c r="DU312" s="1428"/>
      <c r="DV312" s="1428"/>
      <c r="DW312" s="1428"/>
      <c r="DX312" s="1428"/>
      <c r="DY312" s="1428"/>
      <c r="DZ312" s="1428"/>
      <c r="EA312" s="1428"/>
      <c r="EB312" s="1428"/>
      <c r="EC312" s="1428"/>
      <c r="ED312" s="1428"/>
      <c r="EE312" s="1428"/>
      <c r="EF312" s="1428"/>
      <c r="EG312" s="1428"/>
      <c r="EH312" s="1428"/>
      <c r="EI312" s="1428"/>
      <c r="EJ312" s="1428"/>
      <c r="EK312" s="1428"/>
      <c r="EL312" s="1428"/>
      <c r="EM312" s="1428"/>
      <c r="EN312" s="1428"/>
      <c r="EO312" s="1428"/>
      <c r="EP312" s="1428"/>
      <c r="EQ312" s="1428"/>
      <c r="ER312" s="1428"/>
      <c r="ES312" s="1428"/>
      <c r="ET312" s="1428"/>
      <c r="EU312" s="1428"/>
    </row>
    <row r="313" spans="1:151" s="1440" customFormat="1" ht="15" customHeight="1">
      <c r="A313" s="1834"/>
      <c r="B313" s="1475"/>
      <c r="C313" s="1700" t="s">
        <v>2295</v>
      </c>
      <c r="D313" s="1736" t="s">
        <v>2295</v>
      </c>
      <c r="G313" s="1700" t="s">
        <v>2295</v>
      </c>
      <c r="H313" s="1736" t="s">
        <v>2295</v>
      </c>
      <c r="K313" s="1700" t="s">
        <v>2295</v>
      </c>
      <c r="L313" s="1736" t="s">
        <v>2295</v>
      </c>
      <c r="M313" s="1720"/>
      <c r="N313" s="1430" t="s">
        <v>2296</v>
      </c>
      <c r="O313" s="1430"/>
      <c r="P313" s="1430"/>
      <c r="Q313" s="1430"/>
      <c r="R313" s="1430"/>
      <c r="S313" s="1430"/>
      <c r="T313" s="1430"/>
      <c r="U313" s="1430"/>
      <c r="V313" s="1430"/>
      <c r="W313" s="1430"/>
      <c r="X313" s="1430"/>
      <c r="Y313" s="1430"/>
      <c r="Z313" s="1430"/>
      <c r="AA313" s="1430"/>
      <c r="AB313" s="1430"/>
      <c r="AC313" s="1430"/>
      <c r="AD313" s="1430"/>
      <c r="AE313" s="1430"/>
      <c r="AF313" s="1430"/>
      <c r="AG313" s="1430"/>
      <c r="AH313" s="1430"/>
      <c r="AI313" s="1430"/>
      <c r="AJ313" s="1430"/>
      <c r="AK313" s="1430"/>
      <c r="AL313" s="1430"/>
      <c r="AM313" s="1430"/>
      <c r="AN313" s="1430"/>
      <c r="AO313" s="1430"/>
      <c r="AP313" s="1430"/>
      <c r="AQ313" s="1430"/>
      <c r="AR313" s="1430"/>
      <c r="AS313" s="1430"/>
      <c r="AT313" s="1430"/>
      <c r="AU313" s="1430"/>
      <c r="AV313" s="1704"/>
      <c r="AW313" s="1430"/>
      <c r="AX313" s="1430"/>
      <c r="AY313" s="1430"/>
      <c r="AZ313" s="1430"/>
      <c r="BA313" s="1430"/>
      <c r="BB313" s="1430"/>
      <c r="BC313" s="1430"/>
      <c r="BD313" s="1475"/>
      <c r="BE313" s="1571" t="s">
        <v>1217</v>
      </c>
      <c r="BF313" s="1436">
        <v>21</v>
      </c>
      <c r="BG313" s="1436">
        <v>21</v>
      </c>
      <c r="BH313" s="1436">
        <v>4</v>
      </c>
      <c r="BI313" s="1495" t="b">
        <f t="shared" si="409"/>
        <v>1</v>
      </c>
      <c r="BJ313" s="1450" t="b">
        <f t="shared" si="417"/>
        <v>0</v>
      </c>
      <c r="BK313" s="1572">
        <f t="shared" si="418"/>
        <v>0</v>
      </c>
      <c r="BL313" s="1581">
        <f>IF(SUM(BL$293:BL312,BK313)&gt;$BS$4,0,BK313)</f>
        <v>0</v>
      </c>
      <c r="BM313" s="1436">
        <f t="shared" si="394"/>
        <v>0</v>
      </c>
      <c r="BN313" s="1495">
        <f t="shared" si="395"/>
        <v>0</v>
      </c>
      <c r="BO313" s="1437">
        <f t="shared" si="414"/>
        <v>0</v>
      </c>
      <c r="BP313" s="1762">
        <f t="shared" si="419"/>
        <v>0</v>
      </c>
      <c r="BQ313" s="1577">
        <f t="shared" si="420"/>
        <v>0</v>
      </c>
      <c r="BR313" s="1576">
        <f t="shared" si="396"/>
        <v>0</v>
      </c>
      <c r="BS313" s="1574">
        <f t="shared" si="421"/>
        <v>0</v>
      </c>
      <c r="BT313" s="1577">
        <f t="shared" si="422"/>
        <v>0</v>
      </c>
      <c r="BU313" s="1576">
        <f t="shared" si="397"/>
        <v>0</v>
      </c>
      <c r="BV313" s="1574">
        <f t="shared" si="423"/>
        <v>0</v>
      </c>
      <c r="BW313" s="1577">
        <f t="shared" si="424"/>
        <v>0</v>
      </c>
      <c r="BX313" s="1576">
        <f t="shared" si="398"/>
        <v>0</v>
      </c>
      <c r="BY313" s="1574">
        <f t="shared" si="425"/>
        <v>0</v>
      </c>
      <c r="BZ313" s="1577">
        <f t="shared" si="426"/>
        <v>0</v>
      </c>
      <c r="CA313" s="1576">
        <f t="shared" si="399"/>
        <v>0</v>
      </c>
      <c r="CB313" s="1495">
        <f t="shared" si="427"/>
        <v>0</v>
      </c>
      <c r="CC313" s="1577">
        <f t="shared" si="428"/>
        <v>0</v>
      </c>
      <c r="CD313" s="1576">
        <f t="shared" si="400"/>
        <v>0</v>
      </c>
      <c r="CE313" s="1495">
        <f t="shared" si="429"/>
        <v>0</v>
      </c>
      <c r="CF313" s="1577">
        <f t="shared" si="430"/>
        <v>0</v>
      </c>
      <c r="CG313" s="1576">
        <f t="shared" si="401"/>
        <v>0</v>
      </c>
      <c r="CH313" s="1495">
        <f t="shared" si="431"/>
        <v>0</v>
      </c>
      <c r="CI313" s="1577">
        <f t="shared" si="432"/>
        <v>0</v>
      </c>
      <c r="CJ313" s="1576">
        <f t="shared" si="402"/>
        <v>0</v>
      </c>
      <c r="CK313" s="1495">
        <f t="shared" si="433"/>
        <v>0</v>
      </c>
      <c r="CL313" s="1577">
        <f t="shared" si="434"/>
        <v>0</v>
      </c>
      <c r="CM313" s="1576">
        <f t="shared" si="403"/>
        <v>0</v>
      </c>
      <c r="CN313" s="1495">
        <f t="shared" si="435"/>
        <v>0</v>
      </c>
      <c r="CO313" s="1577">
        <f t="shared" si="436"/>
        <v>0</v>
      </c>
      <c r="CP313" s="1576">
        <f t="shared" si="404"/>
        <v>0</v>
      </c>
      <c r="CQ313" s="1495">
        <f t="shared" si="437"/>
        <v>0</v>
      </c>
      <c r="CR313" s="1577">
        <f t="shared" si="438"/>
        <v>0</v>
      </c>
      <c r="CS313" s="1576">
        <f t="shared" si="405"/>
        <v>0</v>
      </c>
      <c r="CT313" s="1495">
        <f t="shared" si="439"/>
        <v>0</v>
      </c>
      <c r="CU313" s="1577">
        <f t="shared" si="440"/>
        <v>0</v>
      </c>
      <c r="CV313" s="1576">
        <f t="shared" si="406"/>
        <v>0</v>
      </c>
      <c r="CW313" s="1495">
        <f t="shared" si="441"/>
        <v>0</v>
      </c>
      <c r="CX313" s="1577">
        <f t="shared" si="442"/>
        <v>0</v>
      </c>
      <c r="CY313" s="1576">
        <f t="shared" si="407"/>
        <v>0</v>
      </c>
      <c r="CZ313" s="1574">
        <f t="shared" si="408"/>
        <v>0</v>
      </c>
      <c r="DA313" s="1578">
        <f t="shared" si="410"/>
        <v>0</v>
      </c>
      <c r="DB313" s="1579">
        <f t="shared" si="411"/>
        <v>0</v>
      </c>
      <c r="DC313" s="1578">
        <f t="shared" si="412"/>
        <v>0</v>
      </c>
      <c r="DD313" s="1578">
        <f t="shared" si="412"/>
        <v>0</v>
      </c>
      <c r="DE313" s="1578">
        <f t="shared" si="412"/>
        <v>0</v>
      </c>
      <c r="DF313" s="1578">
        <f t="shared" si="413"/>
        <v>0</v>
      </c>
      <c r="DG313" s="1538"/>
      <c r="DH313" s="1538"/>
      <c r="DI313" s="1422"/>
      <c r="DJ313" s="1428"/>
      <c r="DK313" s="1428"/>
      <c r="DL313" s="1428"/>
      <c r="DM313" s="1428"/>
      <c r="DN313" s="1428"/>
      <c r="DO313" s="1428"/>
      <c r="DP313" s="1428"/>
      <c r="DQ313" s="1422"/>
      <c r="DR313" s="1428"/>
      <c r="DS313" s="1428"/>
      <c r="DT313" s="1428"/>
      <c r="DU313" s="1428"/>
      <c r="DV313" s="1428"/>
      <c r="DW313" s="1428"/>
      <c r="DX313" s="1428"/>
      <c r="DY313" s="1428"/>
      <c r="DZ313" s="1428"/>
      <c r="EA313" s="1428"/>
      <c r="EB313" s="1428"/>
      <c r="EC313" s="1428"/>
      <c r="ED313" s="1428"/>
      <c r="EE313" s="1428"/>
      <c r="EF313" s="1428"/>
      <c r="EG313" s="1428"/>
      <c r="EH313" s="1428"/>
      <c r="EI313" s="1428"/>
      <c r="EJ313" s="1428"/>
      <c r="EK313" s="1428"/>
      <c r="EL313" s="1428"/>
      <c r="EM313" s="1428"/>
      <c r="EN313" s="1428"/>
      <c r="EO313" s="1428"/>
      <c r="EP313" s="1428"/>
      <c r="EQ313" s="1428"/>
      <c r="ER313" s="1428"/>
      <c r="ES313" s="1428"/>
      <c r="ET313" s="1428"/>
      <c r="EU313" s="1428"/>
    </row>
    <row r="314" spans="1:151" s="1440" customFormat="1" ht="15" customHeight="1">
      <c r="A314" s="1834"/>
      <c r="B314" s="1600" t="s">
        <v>800</v>
      </c>
      <c r="C314" s="1979"/>
      <c r="D314" s="1979"/>
      <c r="G314" s="1979"/>
      <c r="H314" s="1979"/>
      <c r="K314" s="1979"/>
      <c r="L314" s="1979"/>
      <c r="M314" s="1720"/>
      <c r="N314" s="1430" t="str">
        <f>C311</f>
        <v>{Other Water Use 1}</v>
      </c>
      <c r="O314" s="1430"/>
      <c r="P314" s="1430" t="b">
        <f>AND(D330&gt;N306,O304)</f>
        <v>0</v>
      </c>
      <c r="Q314" s="1430"/>
      <c r="R314" s="1430"/>
      <c r="S314" s="1430"/>
      <c r="T314" s="1430"/>
      <c r="U314" s="1430"/>
      <c r="V314" s="1430"/>
      <c r="W314" s="1430"/>
      <c r="X314" s="1430"/>
      <c r="Y314" s="1430"/>
      <c r="Z314" s="1430"/>
      <c r="AA314" s="1430"/>
      <c r="AB314" s="1430"/>
      <c r="AC314" s="1430"/>
      <c r="AD314" s="1430"/>
      <c r="AE314" s="1430"/>
      <c r="AF314" s="1430"/>
      <c r="AG314" s="1430"/>
      <c r="AH314" s="1430"/>
      <c r="AI314" s="1430"/>
      <c r="AJ314" s="1430"/>
      <c r="AK314" s="1430"/>
      <c r="AL314" s="1430"/>
      <c r="AM314" s="1430"/>
      <c r="AN314" s="1430"/>
      <c r="AO314" s="1430"/>
      <c r="AP314" s="1430"/>
      <c r="AQ314" s="1430"/>
      <c r="AR314" s="1430"/>
      <c r="AS314" s="1430"/>
      <c r="AT314" s="1430"/>
      <c r="AU314" s="1430"/>
      <c r="AV314" s="1704"/>
      <c r="AW314" s="1430"/>
      <c r="AX314" s="1430"/>
      <c r="AY314" s="1430"/>
      <c r="AZ314" s="1430"/>
      <c r="BA314" s="1430"/>
      <c r="BB314" s="1430"/>
      <c r="BC314" s="1430"/>
      <c r="BD314" s="1475"/>
      <c r="BE314" s="1571" t="s">
        <v>1217</v>
      </c>
      <c r="BF314" s="1436">
        <v>21</v>
      </c>
      <c r="BG314" s="1436">
        <v>22</v>
      </c>
      <c r="BH314" s="1436">
        <v>5</v>
      </c>
      <c r="BI314" s="1495" t="b">
        <f t="shared" si="409"/>
        <v>1</v>
      </c>
      <c r="BJ314" s="1450" t="b">
        <f t="shared" si="417"/>
        <v>0</v>
      </c>
      <c r="BK314" s="1572">
        <f t="shared" si="418"/>
        <v>0</v>
      </c>
      <c r="BL314" s="1581">
        <f>IF(SUM(BL$293:BL313,BK314)&gt;$BS$4,0,BK314)</f>
        <v>0</v>
      </c>
      <c r="BM314" s="1436">
        <f t="shared" si="394"/>
        <v>0</v>
      </c>
      <c r="BN314" s="1495">
        <f t="shared" si="395"/>
        <v>0</v>
      </c>
      <c r="BO314" s="1437">
        <f t="shared" si="414"/>
        <v>0</v>
      </c>
      <c r="BP314" s="1762">
        <f t="shared" si="419"/>
        <v>0</v>
      </c>
      <c r="BQ314" s="1577">
        <f t="shared" si="420"/>
        <v>0</v>
      </c>
      <c r="BR314" s="1576">
        <f t="shared" si="396"/>
        <v>0</v>
      </c>
      <c r="BS314" s="1574">
        <f t="shared" si="421"/>
        <v>0</v>
      </c>
      <c r="BT314" s="1577">
        <f t="shared" si="422"/>
        <v>0</v>
      </c>
      <c r="BU314" s="1576">
        <f t="shared" si="397"/>
        <v>0</v>
      </c>
      <c r="BV314" s="1574">
        <f t="shared" si="423"/>
        <v>0</v>
      </c>
      <c r="BW314" s="1577">
        <f t="shared" si="424"/>
        <v>0</v>
      </c>
      <c r="BX314" s="1576">
        <f t="shared" si="398"/>
        <v>0</v>
      </c>
      <c r="BY314" s="1574">
        <f t="shared" si="425"/>
        <v>0</v>
      </c>
      <c r="BZ314" s="1577">
        <f t="shared" si="426"/>
        <v>0</v>
      </c>
      <c r="CA314" s="1576">
        <f t="shared" si="399"/>
        <v>0</v>
      </c>
      <c r="CB314" s="1495">
        <f t="shared" si="427"/>
        <v>0</v>
      </c>
      <c r="CC314" s="1577">
        <f t="shared" si="428"/>
        <v>0</v>
      </c>
      <c r="CD314" s="1576">
        <f t="shared" si="400"/>
        <v>0</v>
      </c>
      <c r="CE314" s="1495">
        <f t="shared" si="429"/>
        <v>0</v>
      </c>
      <c r="CF314" s="1577">
        <f t="shared" si="430"/>
        <v>0</v>
      </c>
      <c r="CG314" s="1576">
        <f t="shared" si="401"/>
        <v>0</v>
      </c>
      <c r="CH314" s="1495">
        <f t="shared" si="431"/>
        <v>0</v>
      </c>
      <c r="CI314" s="1577">
        <f t="shared" si="432"/>
        <v>0</v>
      </c>
      <c r="CJ314" s="1576">
        <f t="shared" si="402"/>
        <v>0</v>
      </c>
      <c r="CK314" s="1495">
        <f t="shared" si="433"/>
        <v>0</v>
      </c>
      <c r="CL314" s="1577">
        <f t="shared" si="434"/>
        <v>0</v>
      </c>
      <c r="CM314" s="1576">
        <f t="shared" si="403"/>
        <v>0</v>
      </c>
      <c r="CN314" s="1495">
        <f t="shared" si="435"/>
        <v>0</v>
      </c>
      <c r="CO314" s="1577">
        <f t="shared" si="436"/>
        <v>0</v>
      </c>
      <c r="CP314" s="1576">
        <f t="shared" si="404"/>
        <v>0</v>
      </c>
      <c r="CQ314" s="1495">
        <f t="shared" si="437"/>
        <v>0</v>
      </c>
      <c r="CR314" s="1577">
        <f t="shared" si="438"/>
        <v>0</v>
      </c>
      <c r="CS314" s="1576">
        <f t="shared" si="405"/>
        <v>0</v>
      </c>
      <c r="CT314" s="1495">
        <f t="shared" si="439"/>
        <v>0</v>
      </c>
      <c r="CU314" s="1577">
        <f t="shared" si="440"/>
        <v>0</v>
      </c>
      <c r="CV314" s="1576">
        <f t="shared" si="406"/>
        <v>0</v>
      </c>
      <c r="CW314" s="1495">
        <f t="shared" si="441"/>
        <v>0</v>
      </c>
      <c r="CX314" s="1577">
        <f t="shared" si="442"/>
        <v>0</v>
      </c>
      <c r="CY314" s="1576">
        <f t="shared" si="407"/>
        <v>0</v>
      </c>
      <c r="CZ314" s="1574">
        <f t="shared" si="408"/>
        <v>0</v>
      </c>
      <c r="DA314" s="1578">
        <f t="shared" si="410"/>
        <v>0</v>
      </c>
      <c r="DB314" s="1579">
        <f t="shared" si="411"/>
        <v>0</v>
      </c>
      <c r="DC314" s="1578">
        <f t="shared" si="412"/>
        <v>0</v>
      </c>
      <c r="DD314" s="1578">
        <f t="shared" si="412"/>
        <v>0</v>
      </c>
      <c r="DE314" s="1578">
        <f t="shared" si="412"/>
        <v>0</v>
      </c>
      <c r="DF314" s="1578">
        <f t="shared" si="413"/>
        <v>0</v>
      </c>
      <c r="DG314" s="1538"/>
      <c r="DH314" s="1538"/>
      <c r="DI314" s="1422"/>
      <c r="DJ314" s="1428"/>
      <c r="DK314" s="1428"/>
      <c r="DL314" s="1428"/>
      <c r="DM314" s="1428"/>
      <c r="DN314" s="1428"/>
      <c r="DO314" s="1428"/>
      <c r="DP314" s="1428"/>
      <c r="DQ314" s="1422"/>
      <c r="DR314" s="1428"/>
      <c r="DS314" s="1428"/>
      <c r="DT314" s="1428"/>
      <c r="DU314" s="1428"/>
      <c r="DV314" s="1428"/>
      <c r="DW314" s="1428"/>
      <c r="DX314" s="1428"/>
      <c r="DY314" s="1428"/>
      <c r="DZ314" s="1428"/>
      <c r="EA314" s="1428"/>
      <c r="EB314" s="1428"/>
      <c r="EC314" s="1428"/>
      <c r="ED314" s="1428"/>
      <c r="EE314" s="1428"/>
      <c r="EF314" s="1428"/>
      <c r="EG314" s="1428"/>
      <c r="EH314" s="1428"/>
      <c r="EI314" s="1428"/>
      <c r="EJ314" s="1428"/>
      <c r="EK314" s="1428"/>
      <c r="EL314" s="1428"/>
      <c r="EM314" s="1428"/>
      <c r="EN314" s="1428"/>
      <c r="EO314" s="1428"/>
      <c r="EP314" s="1428"/>
      <c r="EQ314" s="1428"/>
      <c r="ER314" s="1428"/>
      <c r="ES314" s="1428"/>
      <c r="ET314" s="1428"/>
      <c r="EU314" s="1428"/>
    </row>
    <row r="315" spans="1:151" s="1440" customFormat="1" ht="15" customHeight="1">
      <c r="A315" s="1834"/>
      <c r="B315" s="1600" t="s">
        <v>801</v>
      </c>
      <c r="C315" s="1979"/>
      <c r="D315" s="1979"/>
      <c r="G315" s="1979"/>
      <c r="H315" s="1979"/>
      <c r="K315" s="1979"/>
      <c r="L315" s="1979"/>
      <c r="M315" s="1720"/>
      <c r="N315" s="1430" t="str">
        <f>G311</f>
        <v>{Other Water Use 2}</v>
      </c>
      <c r="O315" s="1430"/>
      <c r="P315" s="1430" t="b">
        <f>AND(H330&gt;N306,O304)</f>
        <v>0</v>
      </c>
      <c r="Q315" s="1430"/>
      <c r="R315" s="1430"/>
      <c r="S315" s="1430"/>
      <c r="T315" s="1430"/>
      <c r="U315" s="1430"/>
      <c r="V315" s="1430"/>
      <c r="W315" s="1430"/>
      <c r="X315" s="1430"/>
      <c r="Y315" s="1430"/>
      <c r="Z315" s="1430"/>
      <c r="AA315" s="1430"/>
      <c r="AB315" s="1430"/>
      <c r="AC315" s="1430"/>
      <c r="AD315" s="1430"/>
      <c r="AE315" s="1430"/>
      <c r="AF315" s="1430"/>
      <c r="AG315" s="1430"/>
      <c r="AH315" s="1430"/>
      <c r="AI315" s="1430"/>
      <c r="AJ315" s="1430"/>
      <c r="AK315" s="1430"/>
      <c r="AL315" s="1430"/>
      <c r="AM315" s="1430"/>
      <c r="AN315" s="1430"/>
      <c r="AO315" s="1430"/>
      <c r="AP315" s="1430"/>
      <c r="AQ315" s="1430"/>
      <c r="AR315" s="1430"/>
      <c r="AS315" s="1430"/>
      <c r="AT315" s="1430"/>
      <c r="AU315" s="1430"/>
      <c r="AV315" s="1704"/>
      <c r="AW315" s="1430"/>
      <c r="AX315" s="1430"/>
      <c r="AY315" s="1430"/>
      <c r="AZ315" s="1430"/>
      <c r="BA315" s="1430"/>
      <c r="BB315" s="1430"/>
      <c r="BC315" s="1430"/>
      <c r="BD315" s="1475"/>
      <c r="BE315" s="1571" t="s">
        <v>1217</v>
      </c>
      <c r="BF315" s="1436">
        <v>21</v>
      </c>
      <c r="BG315" s="1436">
        <v>23</v>
      </c>
      <c r="BH315" s="1436">
        <v>6</v>
      </c>
      <c r="BI315" s="1495" t="b">
        <f t="shared" si="409"/>
        <v>0</v>
      </c>
      <c r="BJ315" s="1450" t="b">
        <f t="shared" si="417"/>
        <v>0</v>
      </c>
      <c r="BK315" s="1572">
        <f t="shared" si="418"/>
        <v>0</v>
      </c>
      <c r="BL315" s="1581">
        <f>IF(SUM(BL$293:BL314,BK315)&gt;$BS$4,0,BK315)</f>
        <v>0</v>
      </c>
      <c r="BM315" s="1436">
        <f t="shared" si="394"/>
        <v>0</v>
      </c>
      <c r="BN315" s="1495">
        <f t="shared" si="395"/>
        <v>0</v>
      </c>
      <c r="BO315" s="1437">
        <f t="shared" si="414"/>
        <v>0</v>
      </c>
      <c r="BP315" s="1762">
        <f t="shared" si="419"/>
        <v>0</v>
      </c>
      <c r="BQ315" s="1577">
        <f t="shared" si="420"/>
        <v>0</v>
      </c>
      <c r="BR315" s="1576">
        <f t="shared" si="396"/>
        <v>0</v>
      </c>
      <c r="BS315" s="1574">
        <f t="shared" si="421"/>
        <v>0</v>
      </c>
      <c r="BT315" s="1577">
        <f t="shared" si="422"/>
        <v>0</v>
      </c>
      <c r="BU315" s="1576">
        <f t="shared" si="397"/>
        <v>0</v>
      </c>
      <c r="BV315" s="1574">
        <f t="shared" si="423"/>
        <v>0</v>
      </c>
      <c r="BW315" s="1577">
        <f t="shared" si="424"/>
        <v>0</v>
      </c>
      <c r="BX315" s="1576">
        <f t="shared" si="398"/>
        <v>0</v>
      </c>
      <c r="BY315" s="1574">
        <f t="shared" si="425"/>
        <v>0</v>
      </c>
      <c r="BZ315" s="1577">
        <f t="shared" si="426"/>
        <v>0</v>
      </c>
      <c r="CA315" s="1576">
        <f t="shared" si="399"/>
        <v>0</v>
      </c>
      <c r="CB315" s="1495">
        <f t="shared" si="427"/>
        <v>0</v>
      </c>
      <c r="CC315" s="1577">
        <f t="shared" si="428"/>
        <v>0</v>
      </c>
      <c r="CD315" s="1576">
        <f t="shared" si="400"/>
        <v>0</v>
      </c>
      <c r="CE315" s="1495">
        <f t="shared" si="429"/>
        <v>0</v>
      </c>
      <c r="CF315" s="1577">
        <f t="shared" si="430"/>
        <v>0</v>
      </c>
      <c r="CG315" s="1576">
        <f t="shared" si="401"/>
        <v>0</v>
      </c>
      <c r="CH315" s="1495">
        <f t="shared" si="431"/>
        <v>0</v>
      </c>
      <c r="CI315" s="1577">
        <f t="shared" si="432"/>
        <v>0</v>
      </c>
      <c r="CJ315" s="1576">
        <f t="shared" si="402"/>
        <v>0</v>
      </c>
      <c r="CK315" s="1495">
        <f t="shared" si="433"/>
        <v>0</v>
      </c>
      <c r="CL315" s="1577">
        <f t="shared" si="434"/>
        <v>0</v>
      </c>
      <c r="CM315" s="1576">
        <f t="shared" si="403"/>
        <v>0</v>
      </c>
      <c r="CN315" s="1495">
        <f t="shared" si="435"/>
        <v>0</v>
      </c>
      <c r="CO315" s="1577">
        <f t="shared" si="436"/>
        <v>0</v>
      </c>
      <c r="CP315" s="1576">
        <f t="shared" si="404"/>
        <v>0</v>
      </c>
      <c r="CQ315" s="1495">
        <f t="shared" si="437"/>
        <v>0</v>
      </c>
      <c r="CR315" s="1577">
        <f t="shared" si="438"/>
        <v>0</v>
      </c>
      <c r="CS315" s="1576">
        <f t="shared" si="405"/>
        <v>0</v>
      </c>
      <c r="CT315" s="1495">
        <f t="shared" si="439"/>
        <v>0</v>
      </c>
      <c r="CU315" s="1577">
        <f t="shared" si="440"/>
        <v>0</v>
      </c>
      <c r="CV315" s="1576">
        <f t="shared" si="406"/>
        <v>0</v>
      </c>
      <c r="CW315" s="1495">
        <f t="shared" si="441"/>
        <v>0</v>
      </c>
      <c r="CX315" s="1577">
        <f t="shared" si="442"/>
        <v>0</v>
      </c>
      <c r="CY315" s="1576">
        <f t="shared" si="407"/>
        <v>0</v>
      </c>
      <c r="CZ315" s="1574">
        <f t="shared" si="408"/>
        <v>0</v>
      </c>
      <c r="DA315" s="1578">
        <f t="shared" si="410"/>
        <v>0</v>
      </c>
      <c r="DB315" s="1579">
        <f t="shared" si="411"/>
        <v>0</v>
      </c>
      <c r="DC315" s="1578">
        <f t="shared" si="412"/>
        <v>0</v>
      </c>
      <c r="DD315" s="1578">
        <f t="shared" si="412"/>
        <v>0</v>
      </c>
      <c r="DE315" s="1578">
        <f t="shared" si="412"/>
        <v>0</v>
      </c>
      <c r="DF315" s="1578">
        <f t="shared" si="413"/>
        <v>0</v>
      </c>
      <c r="DG315" s="1538"/>
      <c r="DH315" s="1538"/>
      <c r="DI315" s="1422"/>
      <c r="DJ315" s="1428"/>
      <c r="DK315" s="1428"/>
      <c r="DL315" s="1428"/>
      <c r="DM315" s="1428"/>
      <c r="DN315" s="1428"/>
      <c r="DO315" s="1428"/>
      <c r="DP315" s="1428"/>
      <c r="DQ315" s="1422"/>
      <c r="DR315" s="1428"/>
      <c r="DS315" s="1428"/>
      <c r="DT315" s="1428"/>
      <c r="DU315" s="1428"/>
      <c r="DV315" s="1428"/>
      <c r="DW315" s="1428"/>
      <c r="DX315" s="1428"/>
      <c r="DY315" s="1428"/>
      <c r="DZ315" s="1428"/>
      <c r="EA315" s="1428"/>
      <c r="EB315" s="1428"/>
      <c r="EC315" s="1428"/>
      <c r="ED315" s="1428"/>
      <c r="EE315" s="1428"/>
      <c r="EF315" s="1428"/>
      <c r="EG315" s="1428"/>
      <c r="EH315" s="1428"/>
      <c r="EI315" s="1428"/>
      <c r="EJ315" s="1428"/>
      <c r="EK315" s="1428"/>
      <c r="EL315" s="1428"/>
      <c r="EM315" s="1428"/>
      <c r="EN315" s="1428"/>
      <c r="EO315" s="1428"/>
      <c r="EP315" s="1428"/>
      <c r="EQ315" s="1428"/>
      <c r="ER315" s="1428"/>
      <c r="ES315" s="1428"/>
      <c r="ET315" s="1428"/>
      <c r="EU315" s="1428"/>
    </row>
    <row r="316" spans="1:151" s="1440" customFormat="1" ht="15" customHeight="1">
      <c r="A316" s="1834"/>
      <c r="B316" s="1600" t="s">
        <v>881</v>
      </c>
      <c r="C316" s="1979"/>
      <c r="D316" s="1979"/>
      <c r="G316" s="1979"/>
      <c r="H316" s="1979"/>
      <c r="K316" s="1979"/>
      <c r="L316" s="1979"/>
      <c r="M316" s="1720"/>
      <c r="N316" s="1430" t="str">
        <f>K311</f>
        <v>{Other Water Use 3}</v>
      </c>
      <c r="O316" s="1430"/>
      <c r="P316" s="1430" t="b">
        <f>AND(L330&gt;N306,O304)</f>
        <v>0</v>
      </c>
      <c r="Q316" s="1430"/>
      <c r="R316" s="1430"/>
      <c r="S316" s="1430"/>
      <c r="T316" s="1430"/>
      <c r="U316" s="1430"/>
      <c r="V316" s="1430"/>
      <c r="W316" s="1430"/>
      <c r="X316" s="1430"/>
      <c r="Y316" s="1430"/>
      <c r="Z316" s="1430"/>
      <c r="AA316" s="1430"/>
      <c r="AB316" s="1430"/>
      <c r="AC316" s="1430"/>
      <c r="AD316" s="1430"/>
      <c r="AE316" s="1430"/>
      <c r="AF316" s="1430"/>
      <c r="AG316" s="1430"/>
      <c r="AH316" s="1430"/>
      <c r="AI316" s="1430"/>
      <c r="AJ316" s="1430"/>
      <c r="AK316" s="1430"/>
      <c r="AL316" s="1430"/>
      <c r="AM316" s="1430"/>
      <c r="AN316" s="1430"/>
      <c r="AO316" s="1430"/>
      <c r="AP316" s="1430"/>
      <c r="AQ316" s="1430"/>
      <c r="AR316" s="1430"/>
      <c r="AS316" s="1430"/>
      <c r="AT316" s="1430"/>
      <c r="AU316" s="1430"/>
      <c r="AV316" s="1704"/>
      <c r="AW316" s="1430"/>
      <c r="AX316" s="1430"/>
      <c r="AY316" s="1430"/>
      <c r="AZ316" s="1430"/>
      <c r="BA316" s="1430"/>
      <c r="BB316" s="1430"/>
      <c r="BC316" s="1430"/>
      <c r="BD316" s="1475"/>
      <c r="BE316" s="1571" t="s">
        <v>1217</v>
      </c>
      <c r="BF316" s="1436">
        <v>21</v>
      </c>
      <c r="BG316" s="1436">
        <v>24</v>
      </c>
      <c r="BH316" s="1436">
        <v>7</v>
      </c>
      <c r="BI316" s="1495" t="b">
        <f t="shared" si="409"/>
        <v>0</v>
      </c>
      <c r="BJ316" s="1450" t="b">
        <f t="shared" si="417"/>
        <v>0</v>
      </c>
      <c r="BK316" s="1572">
        <f t="shared" si="418"/>
        <v>0</v>
      </c>
      <c r="BL316" s="1581">
        <f>IF(SUM(BL$293:BL315,BK316)&gt;$BS$4,0,BK316)</f>
        <v>0</v>
      </c>
      <c r="BM316" s="1436">
        <f t="shared" si="394"/>
        <v>0</v>
      </c>
      <c r="BN316" s="1495">
        <f t="shared" si="395"/>
        <v>0</v>
      </c>
      <c r="BO316" s="1437">
        <f t="shared" si="414"/>
        <v>0</v>
      </c>
      <c r="BP316" s="1762">
        <f t="shared" si="419"/>
        <v>0</v>
      </c>
      <c r="BQ316" s="1577">
        <f t="shared" si="420"/>
        <v>0</v>
      </c>
      <c r="BR316" s="1576">
        <f t="shared" si="396"/>
        <v>0</v>
      </c>
      <c r="BS316" s="1574">
        <f t="shared" si="421"/>
        <v>0</v>
      </c>
      <c r="BT316" s="1577">
        <f t="shared" si="422"/>
        <v>0</v>
      </c>
      <c r="BU316" s="1576">
        <f t="shared" si="397"/>
        <v>0</v>
      </c>
      <c r="BV316" s="1574">
        <f t="shared" si="423"/>
        <v>0</v>
      </c>
      <c r="BW316" s="1577">
        <f t="shared" si="424"/>
        <v>0</v>
      </c>
      <c r="BX316" s="1576">
        <f t="shared" si="398"/>
        <v>0</v>
      </c>
      <c r="BY316" s="1574">
        <f t="shared" si="425"/>
        <v>0</v>
      </c>
      <c r="BZ316" s="1577">
        <f t="shared" si="426"/>
        <v>0</v>
      </c>
      <c r="CA316" s="1576">
        <f t="shared" si="399"/>
        <v>0</v>
      </c>
      <c r="CB316" s="1495">
        <f t="shared" si="427"/>
        <v>0</v>
      </c>
      <c r="CC316" s="1577">
        <f t="shared" si="428"/>
        <v>0</v>
      </c>
      <c r="CD316" s="1576">
        <f t="shared" si="400"/>
        <v>0</v>
      </c>
      <c r="CE316" s="1495">
        <f t="shared" si="429"/>
        <v>0</v>
      </c>
      <c r="CF316" s="1577">
        <f t="shared" si="430"/>
        <v>0</v>
      </c>
      <c r="CG316" s="1576">
        <f t="shared" si="401"/>
        <v>0</v>
      </c>
      <c r="CH316" s="1495">
        <f t="shared" si="431"/>
        <v>0</v>
      </c>
      <c r="CI316" s="1577">
        <f t="shared" si="432"/>
        <v>0</v>
      </c>
      <c r="CJ316" s="1576">
        <f t="shared" si="402"/>
        <v>0</v>
      </c>
      <c r="CK316" s="1495">
        <f t="shared" si="433"/>
        <v>0</v>
      </c>
      <c r="CL316" s="1577">
        <f t="shared" si="434"/>
        <v>0</v>
      </c>
      <c r="CM316" s="1576">
        <f t="shared" si="403"/>
        <v>0</v>
      </c>
      <c r="CN316" s="1495">
        <f t="shared" si="435"/>
        <v>0</v>
      </c>
      <c r="CO316" s="1577">
        <f t="shared" si="436"/>
        <v>0</v>
      </c>
      <c r="CP316" s="1576">
        <f t="shared" si="404"/>
        <v>0</v>
      </c>
      <c r="CQ316" s="1495">
        <f t="shared" si="437"/>
        <v>0</v>
      </c>
      <c r="CR316" s="1577">
        <f t="shared" si="438"/>
        <v>0</v>
      </c>
      <c r="CS316" s="1576">
        <f t="shared" si="405"/>
        <v>0</v>
      </c>
      <c r="CT316" s="1495">
        <f t="shared" si="439"/>
        <v>0</v>
      </c>
      <c r="CU316" s="1577">
        <f t="shared" si="440"/>
        <v>0</v>
      </c>
      <c r="CV316" s="1576">
        <f t="shared" si="406"/>
        <v>0</v>
      </c>
      <c r="CW316" s="1495">
        <f t="shared" si="441"/>
        <v>0</v>
      </c>
      <c r="CX316" s="1577">
        <f t="shared" si="442"/>
        <v>0</v>
      </c>
      <c r="CY316" s="1576">
        <f t="shared" si="407"/>
        <v>0</v>
      </c>
      <c r="CZ316" s="1574">
        <f t="shared" si="408"/>
        <v>0</v>
      </c>
      <c r="DA316" s="1578">
        <f t="shared" si="410"/>
        <v>0</v>
      </c>
      <c r="DB316" s="1579">
        <f t="shared" si="411"/>
        <v>0</v>
      </c>
      <c r="DC316" s="1578">
        <f t="shared" si="412"/>
        <v>0</v>
      </c>
      <c r="DD316" s="1578">
        <f t="shared" si="412"/>
        <v>0</v>
      </c>
      <c r="DE316" s="1578">
        <f t="shared" si="412"/>
        <v>0</v>
      </c>
      <c r="DF316" s="1578">
        <f>IF(DA316-(DE315+CZ316)&lt;0,0,DA316-(DE315+CZ316))</f>
        <v>0</v>
      </c>
      <c r="DG316" s="1538"/>
      <c r="DH316" s="1538"/>
      <c r="DI316" s="1422"/>
      <c r="DJ316" s="1428"/>
      <c r="DK316" s="1428"/>
      <c r="DL316" s="1428"/>
      <c r="DM316" s="1428"/>
      <c r="DN316" s="1428"/>
      <c r="DO316" s="1428"/>
      <c r="DP316" s="1428"/>
      <c r="DQ316" s="1422"/>
      <c r="DR316" s="1428"/>
      <c r="DS316" s="1428"/>
      <c r="DT316" s="1428"/>
      <c r="DU316" s="1428"/>
      <c r="DV316" s="1428"/>
      <c r="DW316" s="1428"/>
      <c r="DX316" s="1428"/>
      <c r="DY316" s="1428"/>
      <c r="DZ316" s="1428"/>
      <c r="EA316" s="1428"/>
      <c r="EB316" s="1428"/>
      <c r="EC316" s="1428"/>
      <c r="ED316" s="1428"/>
      <c r="EE316" s="1428"/>
      <c r="EF316" s="1428"/>
      <c r="EG316" s="1428"/>
      <c r="EH316" s="1428"/>
      <c r="EI316" s="1428"/>
      <c r="EJ316" s="1428"/>
      <c r="EK316" s="1428"/>
      <c r="EL316" s="1428"/>
      <c r="EM316" s="1428"/>
      <c r="EN316" s="1428"/>
      <c r="EO316" s="1428"/>
      <c r="EP316" s="1428"/>
      <c r="EQ316" s="1428"/>
      <c r="ER316" s="1428"/>
      <c r="ES316" s="1428"/>
      <c r="ET316" s="1428"/>
      <c r="EU316" s="1428"/>
    </row>
    <row r="317" spans="1:151" s="1440" customFormat="1" ht="15" customHeight="1">
      <c r="A317" s="1834"/>
      <c r="B317" s="1600" t="s">
        <v>882</v>
      </c>
      <c r="C317" s="1979"/>
      <c r="D317" s="1979"/>
      <c r="G317" s="1979"/>
      <c r="H317" s="1979"/>
      <c r="K317" s="1979"/>
      <c r="L317" s="1979"/>
      <c r="M317" s="1720"/>
      <c r="N317" s="1430"/>
      <c r="O317" s="1430"/>
      <c r="P317" s="1430"/>
      <c r="Q317" s="1430"/>
      <c r="R317" s="1430"/>
      <c r="S317" s="1430"/>
      <c r="T317" s="1430"/>
      <c r="U317" s="1430"/>
      <c r="V317" s="1430"/>
      <c r="W317" s="1430"/>
      <c r="X317" s="1430"/>
      <c r="Y317" s="1430"/>
      <c r="Z317" s="1430"/>
      <c r="AA317" s="1430"/>
      <c r="AB317" s="1430"/>
      <c r="AC317" s="1430"/>
      <c r="AD317" s="1430"/>
      <c r="AE317" s="1430"/>
      <c r="AF317" s="1430"/>
      <c r="AG317" s="1430"/>
      <c r="AH317" s="1430"/>
      <c r="AI317" s="1430"/>
      <c r="AJ317" s="1430"/>
      <c r="AK317" s="1430"/>
      <c r="AL317" s="1430"/>
      <c r="AM317" s="1430"/>
      <c r="AN317" s="1430"/>
      <c r="AO317" s="1430"/>
      <c r="AP317" s="1430"/>
      <c r="AQ317" s="1430"/>
      <c r="AR317" s="1430"/>
      <c r="AS317" s="1430"/>
      <c r="AT317" s="1430"/>
      <c r="AU317" s="1430"/>
      <c r="AV317" s="1704"/>
      <c r="AW317" s="1430"/>
      <c r="AX317" s="1430"/>
      <c r="AY317" s="1430"/>
      <c r="AZ317" s="1430"/>
      <c r="BA317" s="1430"/>
      <c r="BB317" s="1430"/>
      <c r="BC317" s="1430"/>
      <c r="BD317" s="1475"/>
      <c r="BE317" s="1571" t="s">
        <v>1217</v>
      </c>
      <c r="BF317" s="1436">
        <v>21</v>
      </c>
      <c r="BG317" s="1436">
        <v>25</v>
      </c>
      <c r="BH317" s="1436">
        <v>1</v>
      </c>
      <c r="BI317" s="1495" t="b">
        <f t="shared" si="409"/>
        <v>1</v>
      </c>
      <c r="BJ317" s="1450" t="b">
        <f t="shared" si="417"/>
        <v>1</v>
      </c>
      <c r="BK317" s="1572">
        <f t="shared" si="418"/>
        <v>7.166666666666667</v>
      </c>
      <c r="BL317" s="1581">
        <f>IF(SUM(BL$293:BL316,BK317)&gt;$BS$4,0,BK317)</f>
        <v>7.166666666666667</v>
      </c>
      <c r="BM317" s="1436">
        <f t="shared" si="394"/>
        <v>0</v>
      </c>
      <c r="BN317" s="1495">
        <f t="shared" si="395"/>
        <v>0</v>
      </c>
      <c r="BO317" s="1437">
        <f t="shared" si="414"/>
        <v>0</v>
      </c>
      <c r="BP317" s="1762">
        <f t="shared" si="419"/>
        <v>0</v>
      </c>
      <c r="BQ317" s="1577">
        <f t="shared" si="420"/>
        <v>0</v>
      </c>
      <c r="BR317" s="1576">
        <f t="shared" si="396"/>
        <v>0</v>
      </c>
      <c r="BS317" s="1574">
        <f t="shared" si="421"/>
        <v>0</v>
      </c>
      <c r="BT317" s="1577">
        <f t="shared" si="422"/>
        <v>0</v>
      </c>
      <c r="BU317" s="1576">
        <f t="shared" si="397"/>
        <v>0</v>
      </c>
      <c r="BV317" s="1574">
        <f t="shared" si="423"/>
        <v>0</v>
      </c>
      <c r="BW317" s="1577">
        <f t="shared" si="424"/>
        <v>0</v>
      </c>
      <c r="BX317" s="1576">
        <f t="shared" si="398"/>
        <v>0</v>
      </c>
      <c r="BY317" s="1574">
        <f t="shared" si="425"/>
        <v>0</v>
      </c>
      <c r="BZ317" s="1577">
        <f t="shared" si="426"/>
        <v>0</v>
      </c>
      <c r="CA317" s="1576">
        <f t="shared" si="399"/>
        <v>0</v>
      </c>
      <c r="CB317" s="1495">
        <f t="shared" si="427"/>
        <v>0</v>
      </c>
      <c r="CC317" s="1577">
        <f t="shared" si="428"/>
        <v>0</v>
      </c>
      <c r="CD317" s="1576">
        <f t="shared" si="400"/>
        <v>0</v>
      </c>
      <c r="CE317" s="1495">
        <f t="shared" si="429"/>
        <v>0</v>
      </c>
      <c r="CF317" s="1577">
        <f t="shared" si="430"/>
        <v>0</v>
      </c>
      <c r="CG317" s="1576">
        <f t="shared" si="401"/>
        <v>0</v>
      </c>
      <c r="CH317" s="1495">
        <f t="shared" si="431"/>
        <v>0</v>
      </c>
      <c r="CI317" s="1577">
        <f t="shared" si="432"/>
        <v>0</v>
      </c>
      <c r="CJ317" s="1576">
        <f t="shared" si="402"/>
        <v>0</v>
      </c>
      <c r="CK317" s="1495">
        <f t="shared" si="433"/>
        <v>0</v>
      </c>
      <c r="CL317" s="1577">
        <f t="shared" si="434"/>
        <v>0</v>
      </c>
      <c r="CM317" s="1576">
        <f t="shared" si="403"/>
        <v>0</v>
      </c>
      <c r="CN317" s="1495">
        <f t="shared" si="435"/>
        <v>0</v>
      </c>
      <c r="CO317" s="1577">
        <f t="shared" si="436"/>
        <v>0</v>
      </c>
      <c r="CP317" s="1576">
        <f t="shared" si="404"/>
        <v>0</v>
      </c>
      <c r="CQ317" s="1495">
        <f t="shared" si="437"/>
        <v>0</v>
      </c>
      <c r="CR317" s="1577">
        <f t="shared" si="438"/>
        <v>0</v>
      </c>
      <c r="CS317" s="1576">
        <f t="shared" si="405"/>
        <v>0</v>
      </c>
      <c r="CT317" s="1495">
        <f t="shared" si="439"/>
        <v>0</v>
      </c>
      <c r="CU317" s="1577">
        <f t="shared" si="440"/>
        <v>0</v>
      </c>
      <c r="CV317" s="1576">
        <f t="shared" si="406"/>
        <v>0</v>
      </c>
      <c r="CW317" s="1495">
        <f t="shared" si="441"/>
        <v>0</v>
      </c>
      <c r="CX317" s="1577">
        <f t="shared" si="442"/>
        <v>0</v>
      </c>
      <c r="CY317" s="1576">
        <f t="shared" si="407"/>
        <v>0</v>
      </c>
      <c r="CZ317" s="1574">
        <f t="shared" si="408"/>
        <v>0</v>
      </c>
      <c r="DA317" s="1578">
        <f t="shared" si="410"/>
        <v>0</v>
      </c>
      <c r="DB317" s="1579">
        <f t="shared" si="411"/>
        <v>0</v>
      </c>
      <c r="DC317" s="1578">
        <f t="shared" si="412"/>
        <v>0</v>
      </c>
      <c r="DD317" s="1578">
        <f t="shared" si="412"/>
        <v>0</v>
      </c>
      <c r="DE317" s="1578">
        <f t="shared" si="412"/>
        <v>0</v>
      </c>
      <c r="DF317" s="1578">
        <f t="shared" si="413"/>
        <v>0</v>
      </c>
      <c r="DG317" s="1538"/>
      <c r="DH317" s="1538"/>
      <c r="DI317" s="1422"/>
      <c r="DJ317" s="1795" t="s">
        <v>2263</v>
      </c>
      <c r="DK317" s="1827"/>
      <c r="DL317" s="1827"/>
      <c r="DM317" s="1428"/>
      <c r="DN317" s="1428"/>
      <c r="DO317" s="1428"/>
      <c r="DP317" s="1428"/>
      <c r="DQ317" s="1422"/>
      <c r="DR317" s="1428"/>
      <c r="DS317" s="1428"/>
      <c r="DT317" s="1428"/>
      <c r="DU317" s="1428"/>
      <c r="DV317" s="1428"/>
      <c r="DW317" s="1428"/>
      <c r="DX317" s="1428"/>
      <c r="DY317" s="1428"/>
      <c r="DZ317" s="1428"/>
      <c r="EA317" s="1428"/>
      <c r="EB317" s="1428"/>
      <c r="EC317" s="1428"/>
      <c r="ED317" s="1428"/>
      <c r="EE317" s="1428"/>
      <c r="EF317" s="1428"/>
      <c r="EG317" s="1428"/>
      <c r="EH317" s="1428"/>
      <c r="EI317" s="1428"/>
      <c r="EJ317" s="1428"/>
      <c r="EK317" s="1428"/>
      <c r="EL317" s="1428"/>
      <c r="EM317" s="1428"/>
      <c r="EN317" s="1428"/>
      <c r="EO317" s="1428"/>
      <c r="EP317" s="1428"/>
      <c r="EQ317" s="1428"/>
      <c r="ER317" s="1428"/>
      <c r="ES317" s="1428"/>
      <c r="ET317" s="1428"/>
      <c r="EU317" s="1428"/>
    </row>
    <row r="318" spans="1:151" s="1440" customFormat="1" ht="15" customHeight="1">
      <c r="A318" s="1834"/>
      <c r="B318" s="1600" t="s">
        <v>1212</v>
      </c>
      <c r="C318" s="1979"/>
      <c r="D318" s="1979"/>
      <c r="G318" s="1979"/>
      <c r="H318" s="1979"/>
      <c r="K318" s="1979"/>
      <c r="L318" s="1979"/>
      <c r="M318" s="1720"/>
      <c r="N318" s="1430"/>
      <c r="O318" s="1430"/>
      <c r="P318" s="1430"/>
      <c r="Q318" s="1430"/>
      <c r="R318" s="1430"/>
      <c r="S318" s="1430"/>
      <c r="T318" s="1430"/>
      <c r="U318" s="1430"/>
      <c r="V318" s="1430"/>
      <c r="W318" s="1430"/>
      <c r="X318" s="1430"/>
      <c r="Y318" s="1430"/>
      <c r="Z318" s="1430"/>
      <c r="AA318" s="1430"/>
      <c r="AB318" s="1430"/>
      <c r="AC318" s="1430"/>
      <c r="AD318" s="1430"/>
      <c r="AE318" s="1430"/>
      <c r="AF318" s="1430"/>
      <c r="AG318" s="1430"/>
      <c r="AH318" s="1430"/>
      <c r="AI318" s="1430"/>
      <c r="AJ318" s="1430"/>
      <c r="AK318" s="1430"/>
      <c r="AL318" s="1430"/>
      <c r="AM318" s="1430"/>
      <c r="AN318" s="1430"/>
      <c r="AO318" s="1430"/>
      <c r="AP318" s="1430"/>
      <c r="AQ318" s="1430"/>
      <c r="AR318" s="1430"/>
      <c r="AS318" s="1430"/>
      <c r="AT318" s="1430"/>
      <c r="AU318" s="1430"/>
      <c r="AV318" s="1704"/>
      <c r="AW318" s="1430"/>
      <c r="AX318" s="1430"/>
      <c r="AY318" s="1430"/>
      <c r="AZ318" s="1430"/>
      <c r="BA318" s="1430"/>
      <c r="BB318" s="1430"/>
      <c r="BC318" s="1430"/>
      <c r="BD318" s="1475"/>
      <c r="BE318" s="1571" t="s">
        <v>1217</v>
      </c>
      <c r="BF318" s="1436">
        <v>21</v>
      </c>
      <c r="BG318" s="1436">
        <v>26</v>
      </c>
      <c r="BH318" s="1436">
        <v>2</v>
      </c>
      <c r="BI318" s="1495" t="b">
        <f t="shared" si="409"/>
        <v>1</v>
      </c>
      <c r="BJ318" s="1450" t="b">
        <f t="shared" si="417"/>
        <v>0</v>
      </c>
      <c r="BK318" s="1572">
        <f t="shared" si="418"/>
        <v>0</v>
      </c>
      <c r="BL318" s="1581">
        <f>IF(SUM(BL$293:BL317,BK318)&gt;$BS$4,0,BK318)</f>
        <v>0</v>
      </c>
      <c r="BM318" s="1436">
        <f t="shared" si="394"/>
        <v>0</v>
      </c>
      <c r="BN318" s="1495">
        <f t="shared" si="395"/>
        <v>0</v>
      </c>
      <c r="BO318" s="1437">
        <f t="shared" si="414"/>
        <v>0</v>
      </c>
      <c r="BP318" s="1762">
        <f t="shared" si="419"/>
        <v>0</v>
      </c>
      <c r="BQ318" s="1577">
        <f t="shared" si="420"/>
        <v>0</v>
      </c>
      <c r="BR318" s="1576">
        <f t="shared" si="396"/>
        <v>0</v>
      </c>
      <c r="BS318" s="1574">
        <f t="shared" si="421"/>
        <v>0</v>
      </c>
      <c r="BT318" s="1577">
        <f t="shared" si="422"/>
        <v>0</v>
      </c>
      <c r="BU318" s="1576">
        <f t="shared" si="397"/>
        <v>0</v>
      </c>
      <c r="BV318" s="1574">
        <f t="shared" si="423"/>
        <v>0</v>
      </c>
      <c r="BW318" s="1577">
        <f t="shared" si="424"/>
        <v>0</v>
      </c>
      <c r="BX318" s="1576">
        <f t="shared" si="398"/>
        <v>0</v>
      </c>
      <c r="BY318" s="1574">
        <f t="shared" si="425"/>
        <v>0</v>
      </c>
      <c r="BZ318" s="1577">
        <f t="shared" si="426"/>
        <v>0</v>
      </c>
      <c r="CA318" s="1576">
        <f t="shared" si="399"/>
        <v>0</v>
      </c>
      <c r="CB318" s="1495">
        <f t="shared" si="427"/>
        <v>0</v>
      </c>
      <c r="CC318" s="1577">
        <f t="shared" si="428"/>
        <v>0</v>
      </c>
      <c r="CD318" s="1576">
        <f t="shared" si="400"/>
        <v>0</v>
      </c>
      <c r="CE318" s="1495">
        <f t="shared" si="429"/>
        <v>0</v>
      </c>
      <c r="CF318" s="1577">
        <f t="shared" si="430"/>
        <v>0</v>
      </c>
      <c r="CG318" s="1576">
        <f t="shared" si="401"/>
        <v>0</v>
      </c>
      <c r="CH318" s="1495">
        <f t="shared" si="431"/>
        <v>0</v>
      </c>
      <c r="CI318" s="1577">
        <f t="shared" si="432"/>
        <v>0</v>
      </c>
      <c r="CJ318" s="1576">
        <f t="shared" si="402"/>
        <v>0</v>
      </c>
      <c r="CK318" s="1495">
        <f t="shared" si="433"/>
        <v>0</v>
      </c>
      <c r="CL318" s="1577">
        <f t="shared" si="434"/>
        <v>0</v>
      </c>
      <c r="CM318" s="1576">
        <f t="shared" si="403"/>
        <v>0</v>
      </c>
      <c r="CN318" s="1495">
        <f t="shared" si="435"/>
        <v>0</v>
      </c>
      <c r="CO318" s="1577">
        <f t="shared" si="436"/>
        <v>0</v>
      </c>
      <c r="CP318" s="1576">
        <f t="shared" si="404"/>
        <v>0</v>
      </c>
      <c r="CQ318" s="1495">
        <f t="shared" si="437"/>
        <v>0</v>
      </c>
      <c r="CR318" s="1577">
        <f t="shared" si="438"/>
        <v>0</v>
      </c>
      <c r="CS318" s="1576">
        <f t="shared" si="405"/>
        <v>0</v>
      </c>
      <c r="CT318" s="1495">
        <f t="shared" si="439"/>
        <v>0</v>
      </c>
      <c r="CU318" s="1577">
        <f t="shared" si="440"/>
        <v>0</v>
      </c>
      <c r="CV318" s="1576">
        <f t="shared" si="406"/>
        <v>0</v>
      </c>
      <c r="CW318" s="1495">
        <f t="shared" si="441"/>
        <v>0</v>
      </c>
      <c r="CX318" s="1577">
        <f t="shared" si="442"/>
        <v>0</v>
      </c>
      <c r="CY318" s="1576">
        <f t="shared" si="407"/>
        <v>0</v>
      </c>
      <c r="CZ318" s="1574">
        <f t="shared" si="408"/>
        <v>0</v>
      </c>
      <c r="DA318" s="1578">
        <f t="shared" si="410"/>
        <v>0</v>
      </c>
      <c r="DB318" s="1579">
        <f t="shared" si="411"/>
        <v>0</v>
      </c>
      <c r="DC318" s="1578">
        <f t="shared" si="412"/>
        <v>0</v>
      </c>
      <c r="DD318" s="1578">
        <f t="shared" si="412"/>
        <v>0</v>
      </c>
      <c r="DE318" s="1578">
        <f t="shared" si="412"/>
        <v>0</v>
      </c>
      <c r="DF318" s="1578">
        <f t="shared" si="413"/>
        <v>0</v>
      </c>
      <c r="DG318" s="1538"/>
      <c r="DH318" s="1538"/>
      <c r="DI318" s="1422"/>
      <c r="DJ318" s="1863"/>
      <c r="DK318" s="2468" t="s">
        <v>2265</v>
      </c>
      <c r="DL318" s="2469"/>
      <c r="DM318" s="1795" t="s">
        <v>2266</v>
      </c>
      <c r="DN318" s="1795" t="s">
        <v>2267</v>
      </c>
      <c r="DO318" s="1428"/>
      <c r="DP318" s="1428"/>
      <c r="DQ318" s="1422"/>
      <c r="DR318" s="1428"/>
      <c r="DS318" s="1428"/>
      <c r="DT318" s="1428"/>
      <c r="DU318" s="1428"/>
      <c r="DV318" s="1428"/>
      <c r="DW318" s="1428"/>
      <c r="DX318" s="1428"/>
      <c r="DY318" s="1428"/>
      <c r="DZ318" s="1428"/>
      <c r="EA318" s="1428"/>
      <c r="EB318" s="1428"/>
      <c r="EC318" s="1428"/>
      <c r="ED318" s="1428"/>
      <c r="EE318" s="1428"/>
      <c r="EF318" s="1428"/>
      <c r="EG318" s="1428"/>
      <c r="EH318" s="1428"/>
      <c r="EI318" s="1428"/>
      <c r="EJ318" s="1428"/>
      <c r="EK318" s="1428"/>
      <c r="EL318" s="1428"/>
      <c r="EM318" s="1428"/>
      <c r="EN318" s="1428"/>
      <c r="EO318" s="1428"/>
      <c r="EP318" s="1428"/>
      <c r="EQ318" s="1428"/>
      <c r="ER318" s="1428"/>
      <c r="ES318" s="1428"/>
      <c r="ET318" s="1428"/>
      <c r="EU318" s="1428"/>
    </row>
    <row r="319" spans="1:151" s="1440" customFormat="1" ht="15" customHeight="1">
      <c r="A319" s="1834"/>
      <c r="B319" s="1600" t="s">
        <v>883</v>
      </c>
      <c r="C319" s="1979"/>
      <c r="D319" s="1979"/>
      <c r="G319" s="1979"/>
      <c r="H319" s="1979"/>
      <c r="K319" s="1979"/>
      <c r="L319" s="1979"/>
      <c r="M319" s="1720"/>
      <c r="N319" s="1430"/>
      <c r="O319" s="1430"/>
      <c r="P319" s="1430"/>
      <c r="Q319" s="1430"/>
      <c r="R319" s="1430"/>
      <c r="S319" s="1430"/>
      <c r="T319" s="1430"/>
      <c r="U319" s="1430"/>
      <c r="V319" s="1430"/>
      <c r="W319" s="1430"/>
      <c r="X319" s="1430"/>
      <c r="Y319" s="1430"/>
      <c r="Z319" s="1430"/>
      <c r="AA319" s="1430"/>
      <c r="AB319" s="1430"/>
      <c r="AC319" s="1430"/>
      <c r="AD319" s="1430"/>
      <c r="AE319" s="1430"/>
      <c r="AF319" s="1430"/>
      <c r="AG319" s="1430"/>
      <c r="AH319" s="1430"/>
      <c r="AI319" s="1430"/>
      <c r="AJ319" s="1430"/>
      <c r="AK319" s="1430"/>
      <c r="AL319" s="1430"/>
      <c r="AM319" s="1430"/>
      <c r="AN319" s="1430"/>
      <c r="AO319" s="1430"/>
      <c r="AP319" s="1430"/>
      <c r="AQ319" s="1430"/>
      <c r="AR319" s="1430"/>
      <c r="AS319" s="1430"/>
      <c r="AT319" s="1430"/>
      <c r="AU319" s="1430"/>
      <c r="AV319" s="1704"/>
      <c r="AW319" s="1430"/>
      <c r="AX319" s="1430"/>
      <c r="AY319" s="1430"/>
      <c r="AZ319" s="1430"/>
      <c r="BA319" s="1430"/>
      <c r="BB319" s="1430"/>
      <c r="BC319" s="1430"/>
      <c r="BD319" s="1475"/>
      <c r="BE319" s="1571" t="s">
        <v>1217</v>
      </c>
      <c r="BF319" s="1436">
        <v>21</v>
      </c>
      <c r="BG319" s="1436">
        <v>27</v>
      </c>
      <c r="BH319" s="1436">
        <v>3</v>
      </c>
      <c r="BI319" s="1495" t="b">
        <f t="shared" si="409"/>
        <v>1</v>
      </c>
      <c r="BJ319" s="1450" t="b">
        <f t="shared" si="417"/>
        <v>0</v>
      </c>
      <c r="BK319" s="1572">
        <f>IF(BJ319,BS$8,0)</f>
        <v>0</v>
      </c>
      <c r="BL319" s="1581">
        <f>IF(SUM(BL$293:BL318,BK319)&gt;$BS$4,0,BK319)</f>
        <v>0</v>
      </c>
      <c r="BM319" s="1436">
        <f t="shared" si="394"/>
        <v>0</v>
      </c>
      <c r="BN319" s="1495">
        <f t="shared" si="395"/>
        <v>0</v>
      </c>
      <c r="BO319" s="1437">
        <f t="shared" si="414"/>
        <v>0</v>
      </c>
      <c r="BP319" s="1762">
        <f t="shared" si="419"/>
        <v>0</v>
      </c>
      <c r="BQ319" s="1577">
        <f t="shared" si="420"/>
        <v>0</v>
      </c>
      <c r="BR319" s="1576">
        <f t="shared" si="396"/>
        <v>0</v>
      </c>
      <c r="BS319" s="1574">
        <f t="shared" si="421"/>
        <v>0</v>
      </c>
      <c r="BT319" s="1577">
        <f t="shared" si="422"/>
        <v>0</v>
      </c>
      <c r="BU319" s="1576">
        <f t="shared" si="397"/>
        <v>0</v>
      </c>
      <c r="BV319" s="1574">
        <f t="shared" si="423"/>
        <v>0</v>
      </c>
      <c r="BW319" s="1577">
        <f t="shared" si="424"/>
        <v>0</v>
      </c>
      <c r="BX319" s="1576">
        <f t="shared" si="398"/>
        <v>0</v>
      </c>
      <c r="BY319" s="1574">
        <f t="shared" si="425"/>
        <v>0</v>
      </c>
      <c r="BZ319" s="1577">
        <f t="shared" si="426"/>
        <v>0</v>
      </c>
      <c r="CA319" s="1576">
        <f t="shared" si="399"/>
        <v>0</v>
      </c>
      <c r="CB319" s="1495">
        <f t="shared" si="427"/>
        <v>0</v>
      </c>
      <c r="CC319" s="1577">
        <f t="shared" si="428"/>
        <v>0</v>
      </c>
      <c r="CD319" s="1576">
        <f t="shared" si="400"/>
        <v>0</v>
      </c>
      <c r="CE319" s="1495">
        <f t="shared" si="429"/>
        <v>0</v>
      </c>
      <c r="CF319" s="1577">
        <f t="shared" si="430"/>
        <v>0</v>
      </c>
      <c r="CG319" s="1576">
        <f t="shared" si="401"/>
        <v>0</v>
      </c>
      <c r="CH319" s="1495">
        <f t="shared" si="431"/>
        <v>0</v>
      </c>
      <c r="CI319" s="1577">
        <f t="shared" si="432"/>
        <v>0</v>
      </c>
      <c r="CJ319" s="1576">
        <f t="shared" si="402"/>
        <v>0</v>
      </c>
      <c r="CK319" s="1495">
        <f t="shared" si="433"/>
        <v>0</v>
      </c>
      <c r="CL319" s="1577">
        <f t="shared" si="434"/>
        <v>0</v>
      </c>
      <c r="CM319" s="1576">
        <f t="shared" si="403"/>
        <v>0</v>
      </c>
      <c r="CN319" s="1495">
        <f t="shared" si="435"/>
        <v>0</v>
      </c>
      <c r="CO319" s="1577">
        <f t="shared" si="436"/>
        <v>0</v>
      </c>
      <c r="CP319" s="1576">
        <f t="shared" si="404"/>
        <v>0</v>
      </c>
      <c r="CQ319" s="1495">
        <f t="shared" si="437"/>
        <v>0</v>
      </c>
      <c r="CR319" s="1577">
        <f t="shared" si="438"/>
        <v>0</v>
      </c>
      <c r="CS319" s="1576">
        <f t="shared" si="405"/>
        <v>0</v>
      </c>
      <c r="CT319" s="1495">
        <f t="shared" si="439"/>
        <v>0</v>
      </c>
      <c r="CU319" s="1577">
        <f t="shared" si="440"/>
        <v>0</v>
      </c>
      <c r="CV319" s="1576">
        <f t="shared" si="406"/>
        <v>0</v>
      </c>
      <c r="CW319" s="1495">
        <f t="shared" si="441"/>
        <v>0</v>
      </c>
      <c r="CX319" s="1577">
        <f t="shared" si="442"/>
        <v>0</v>
      </c>
      <c r="CY319" s="1576">
        <f t="shared" si="407"/>
        <v>0</v>
      </c>
      <c r="CZ319" s="1574">
        <f t="shared" si="408"/>
        <v>0</v>
      </c>
      <c r="DA319" s="1578">
        <f t="shared" si="410"/>
        <v>0</v>
      </c>
      <c r="DB319" s="1579">
        <f t="shared" si="411"/>
        <v>0</v>
      </c>
      <c r="DC319" s="1578">
        <f t="shared" si="412"/>
        <v>0</v>
      </c>
      <c r="DD319" s="1578">
        <f t="shared" si="412"/>
        <v>0</v>
      </c>
      <c r="DE319" s="1578">
        <f t="shared" si="412"/>
        <v>0</v>
      </c>
      <c r="DF319" s="1578">
        <f>IF(DA319-(DE318+CZ319)&lt;0,0,DA319-(DE318+CZ319))</f>
        <v>0</v>
      </c>
      <c r="DG319" s="1538"/>
      <c r="DH319" s="1538"/>
      <c r="DI319" s="1422"/>
      <c r="DJ319" s="1865" t="s">
        <v>1645</v>
      </c>
      <c r="DK319" s="1866">
        <v>13</v>
      </c>
      <c r="DL319" s="1866" t="s">
        <v>2272</v>
      </c>
      <c r="DM319" s="1866" t="s">
        <v>2273</v>
      </c>
      <c r="DN319" s="1866">
        <f>DK319/10</f>
        <v>1.3</v>
      </c>
      <c r="DO319" s="1428"/>
      <c r="DP319" s="1428"/>
      <c r="DQ319" s="1422"/>
      <c r="DR319" s="1428"/>
      <c r="DS319" s="1428"/>
      <c r="DT319" s="1428"/>
      <c r="DU319" s="1428"/>
      <c r="DV319" s="1428"/>
      <c r="DW319" s="1428"/>
      <c r="DX319" s="1428"/>
      <c r="DY319" s="1428"/>
      <c r="DZ319" s="1428"/>
      <c r="EA319" s="1428"/>
      <c r="EB319" s="1428"/>
      <c r="EC319" s="1428"/>
      <c r="ED319" s="1428"/>
      <c r="EE319" s="1428"/>
      <c r="EF319" s="1428"/>
      <c r="EG319" s="1428"/>
      <c r="EH319" s="1428"/>
      <c r="EI319" s="1428"/>
      <c r="EJ319" s="1428"/>
      <c r="EK319" s="1428"/>
      <c r="EL319" s="1428"/>
      <c r="EM319" s="1428"/>
      <c r="EN319" s="1428"/>
      <c r="EO319" s="1428"/>
      <c r="EP319" s="1428"/>
      <c r="EQ319" s="1428"/>
      <c r="ER319" s="1428"/>
      <c r="ES319" s="1428"/>
      <c r="ET319" s="1428"/>
      <c r="EU319" s="1428"/>
    </row>
    <row r="320" spans="1:151" s="1440" customFormat="1" ht="15" customHeight="1">
      <c r="A320" s="1834"/>
      <c r="B320" s="1600" t="s">
        <v>884</v>
      </c>
      <c r="C320" s="1979"/>
      <c r="D320" s="1979"/>
      <c r="G320" s="1979"/>
      <c r="H320" s="1979"/>
      <c r="K320" s="1979"/>
      <c r="L320" s="1979"/>
      <c r="M320" s="1720"/>
      <c r="N320" s="1430"/>
      <c r="O320" s="1430"/>
      <c r="P320" s="1430"/>
      <c r="Q320" s="1430"/>
      <c r="R320" s="1430"/>
      <c r="S320" s="1430"/>
      <c r="T320" s="1430"/>
      <c r="U320" s="1430"/>
      <c r="V320" s="1430"/>
      <c r="W320" s="1430"/>
      <c r="X320" s="1430"/>
      <c r="Y320" s="1430"/>
      <c r="Z320" s="1430"/>
      <c r="AA320" s="1430"/>
      <c r="AB320" s="1430"/>
      <c r="AC320" s="1430"/>
      <c r="AD320" s="1430"/>
      <c r="AE320" s="1430"/>
      <c r="AF320" s="1430"/>
      <c r="AG320" s="1430"/>
      <c r="AH320" s="1430"/>
      <c r="AI320" s="1430"/>
      <c r="AJ320" s="1430"/>
      <c r="AK320" s="1430"/>
      <c r="AL320" s="1430"/>
      <c r="AM320" s="1430"/>
      <c r="AN320" s="1430"/>
      <c r="AO320" s="1430"/>
      <c r="AP320" s="1430"/>
      <c r="AQ320" s="1430"/>
      <c r="AR320" s="1430"/>
      <c r="AS320" s="1430"/>
      <c r="AT320" s="1430"/>
      <c r="AU320" s="1430"/>
      <c r="AV320" s="1704"/>
      <c r="AW320" s="1430"/>
      <c r="AX320" s="1430"/>
      <c r="AY320" s="1430"/>
      <c r="AZ320" s="1430"/>
      <c r="BA320" s="1430"/>
      <c r="BB320" s="1430"/>
      <c r="BC320" s="1430"/>
      <c r="BD320" s="1475"/>
      <c r="BE320" s="1571" t="s">
        <v>1217</v>
      </c>
      <c r="BF320" s="1436">
        <v>21</v>
      </c>
      <c r="BG320" s="1436">
        <v>28</v>
      </c>
      <c r="BH320" s="1436">
        <v>4</v>
      </c>
      <c r="BI320" s="1495" t="b">
        <f t="shared" si="409"/>
        <v>1</v>
      </c>
      <c r="BJ320" s="1450" t="b">
        <f t="shared" si="417"/>
        <v>0</v>
      </c>
      <c r="BK320" s="1572">
        <f>IF(BJ320,BS$8,0)</f>
        <v>0</v>
      </c>
      <c r="BL320" s="1581">
        <f>IF(SUM(BL$293:BL319,BK320)&gt;$BS$4,0,BK320)</f>
        <v>0</v>
      </c>
      <c r="BM320" s="1436">
        <f t="shared" si="394"/>
        <v>0</v>
      </c>
      <c r="BN320" s="1495">
        <f t="shared" si="395"/>
        <v>0</v>
      </c>
      <c r="BO320" s="1437">
        <f t="shared" si="414"/>
        <v>0</v>
      </c>
      <c r="BP320" s="1762">
        <f t="shared" si="419"/>
        <v>0</v>
      </c>
      <c r="BQ320" s="1577">
        <f t="shared" si="420"/>
        <v>0</v>
      </c>
      <c r="BR320" s="1576">
        <f t="shared" si="396"/>
        <v>0</v>
      </c>
      <c r="BS320" s="1574">
        <f t="shared" si="421"/>
        <v>0</v>
      </c>
      <c r="BT320" s="1577">
        <f t="shared" si="422"/>
        <v>0</v>
      </c>
      <c r="BU320" s="1576">
        <f t="shared" si="397"/>
        <v>0</v>
      </c>
      <c r="BV320" s="1574">
        <f t="shared" si="423"/>
        <v>0</v>
      </c>
      <c r="BW320" s="1577">
        <f t="shared" si="424"/>
        <v>0</v>
      </c>
      <c r="BX320" s="1576">
        <f t="shared" si="398"/>
        <v>0</v>
      </c>
      <c r="BY320" s="1574">
        <f t="shared" si="425"/>
        <v>0</v>
      </c>
      <c r="BZ320" s="1577">
        <f t="shared" si="426"/>
        <v>0</v>
      </c>
      <c r="CA320" s="1576">
        <f t="shared" si="399"/>
        <v>0</v>
      </c>
      <c r="CB320" s="1495">
        <f t="shared" si="427"/>
        <v>0</v>
      </c>
      <c r="CC320" s="1577">
        <f t="shared" si="428"/>
        <v>0</v>
      </c>
      <c r="CD320" s="1576">
        <f t="shared" si="400"/>
        <v>0</v>
      </c>
      <c r="CE320" s="1495">
        <f t="shared" si="429"/>
        <v>0</v>
      </c>
      <c r="CF320" s="1577">
        <f t="shared" si="430"/>
        <v>0</v>
      </c>
      <c r="CG320" s="1576">
        <f t="shared" si="401"/>
        <v>0</v>
      </c>
      <c r="CH320" s="1495">
        <f t="shared" si="431"/>
        <v>0</v>
      </c>
      <c r="CI320" s="1577">
        <f t="shared" si="432"/>
        <v>0</v>
      </c>
      <c r="CJ320" s="1576">
        <f t="shared" si="402"/>
        <v>0</v>
      </c>
      <c r="CK320" s="1495">
        <f t="shared" si="433"/>
        <v>0</v>
      </c>
      <c r="CL320" s="1577">
        <f t="shared" si="434"/>
        <v>0</v>
      </c>
      <c r="CM320" s="1576">
        <f t="shared" si="403"/>
        <v>0</v>
      </c>
      <c r="CN320" s="1495">
        <f t="shared" si="435"/>
        <v>0</v>
      </c>
      <c r="CO320" s="1577">
        <f t="shared" si="436"/>
        <v>0</v>
      </c>
      <c r="CP320" s="1576">
        <f t="shared" si="404"/>
        <v>0</v>
      </c>
      <c r="CQ320" s="1495">
        <f t="shared" si="437"/>
        <v>0</v>
      </c>
      <c r="CR320" s="1577">
        <f t="shared" si="438"/>
        <v>0</v>
      </c>
      <c r="CS320" s="1576">
        <f t="shared" si="405"/>
        <v>0</v>
      </c>
      <c r="CT320" s="1495">
        <f t="shared" si="439"/>
        <v>0</v>
      </c>
      <c r="CU320" s="1577">
        <f t="shared" si="440"/>
        <v>0</v>
      </c>
      <c r="CV320" s="1576">
        <f t="shared" si="406"/>
        <v>0</v>
      </c>
      <c r="CW320" s="1495">
        <f t="shared" si="441"/>
        <v>0</v>
      </c>
      <c r="CX320" s="1577">
        <f t="shared" si="442"/>
        <v>0</v>
      </c>
      <c r="CY320" s="1576">
        <f t="shared" si="407"/>
        <v>0</v>
      </c>
      <c r="CZ320" s="1574">
        <f t="shared" si="408"/>
        <v>0</v>
      </c>
      <c r="DA320" s="1578">
        <f t="shared" si="410"/>
        <v>0</v>
      </c>
      <c r="DB320" s="1579">
        <f t="shared" si="411"/>
        <v>0</v>
      </c>
      <c r="DC320" s="1578">
        <f t="shared" si="412"/>
        <v>0</v>
      </c>
      <c r="DD320" s="1578">
        <f t="shared" si="412"/>
        <v>0</v>
      </c>
      <c r="DE320" s="1578">
        <f t="shared" si="412"/>
        <v>0</v>
      </c>
      <c r="DF320" s="1578">
        <f t="shared" si="413"/>
        <v>0</v>
      </c>
      <c r="DG320" s="1538"/>
      <c r="DH320" s="1538"/>
      <c r="DI320" s="1422"/>
      <c r="DJ320" s="1865" t="s">
        <v>2257</v>
      </c>
      <c r="DK320" s="1866">
        <v>20</v>
      </c>
      <c r="DL320" s="1866" t="s">
        <v>2278</v>
      </c>
      <c r="DM320" s="1866" t="s">
        <v>2279</v>
      </c>
      <c r="DN320" s="1866">
        <f>DK320/5</f>
        <v>4</v>
      </c>
      <c r="DO320" s="1428"/>
      <c r="DP320" s="1428"/>
      <c r="DQ320" s="1422"/>
      <c r="DR320" s="1428"/>
      <c r="DS320" s="1428"/>
      <c r="DT320" s="1428"/>
      <c r="DU320" s="1428"/>
      <c r="DV320" s="1428"/>
      <c r="DW320" s="1428"/>
      <c r="DX320" s="1428"/>
      <c r="DY320" s="1428"/>
      <c r="DZ320" s="1428"/>
      <c r="EA320" s="1428"/>
      <c r="EB320" s="1428"/>
      <c r="EC320" s="1428"/>
      <c r="ED320" s="1428"/>
      <c r="EE320" s="1428"/>
      <c r="EF320" s="1428"/>
      <c r="EG320" s="1428"/>
      <c r="EH320" s="1428"/>
      <c r="EI320" s="1428"/>
      <c r="EJ320" s="1428"/>
      <c r="EK320" s="1428"/>
      <c r="EL320" s="1428"/>
      <c r="EM320" s="1428"/>
      <c r="EN320" s="1428"/>
      <c r="EO320" s="1428"/>
      <c r="EP320" s="1428"/>
      <c r="EQ320" s="1428"/>
      <c r="ER320" s="1428"/>
      <c r="ES320" s="1428"/>
      <c r="ET320" s="1428"/>
      <c r="EU320" s="1428"/>
    </row>
    <row r="321" spans="1:151" s="1440" customFormat="1" ht="15" customHeight="1">
      <c r="A321" s="1834"/>
      <c r="B321" s="1600" t="s">
        <v>885</v>
      </c>
      <c r="C321" s="1979"/>
      <c r="D321" s="1979"/>
      <c r="G321" s="1979"/>
      <c r="H321" s="1979"/>
      <c r="K321" s="1979"/>
      <c r="L321" s="1979"/>
      <c r="M321" s="1720"/>
      <c r="N321" s="1430"/>
      <c r="O321" s="1430"/>
      <c r="P321" s="1430"/>
      <c r="Q321" s="1430"/>
      <c r="R321" s="1430"/>
      <c r="S321" s="1430"/>
      <c r="T321" s="1430"/>
      <c r="U321" s="1430"/>
      <c r="V321" s="1430"/>
      <c r="W321" s="1430"/>
      <c r="X321" s="1430"/>
      <c r="Y321" s="1430"/>
      <c r="Z321" s="1430"/>
      <c r="AA321" s="1430"/>
      <c r="AB321" s="1430"/>
      <c r="AC321" s="1430"/>
      <c r="AD321" s="1430"/>
      <c r="AE321" s="1430"/>
      <c r="AF321" s="1430"/>
      <c r="AG321" s="1430"/>
      <c r="AH321" s="1430"/>
      <c r="AI321" s="1430"/>
      <c r="AJ321" s="1430"/>
      <c r="AK321" s="1430"/>
      <c r="AL321" s="1430"/>
      <c r="AM321" s="1430"/>
      <c r="AN321" s="1430"/>
      <c r="AO321" s="1430"/>
      <c r="AP321" s="1430"/>
      <c r="AQ321" s="1430"/>
      <c r="AR321" s="1430"/>
      <c r="AS321" s="1430"/>
      <c r="AT321" s="1430"/>
      <c r="AU321" s="1430"/>
      <c r="AV321" s="1704"/>
      <c r="AW321" s="1430"/>
      <c r="AX321" s="1430"/>
      <c r="AY321" s="1430"/>
      <c r="AZ321" s="1430"/>
      <c r="BA321" s="1430"/>
      <c r="BB321" s="1430"/>
      <c r="BC321" s="1430"/>
      <c r="BD321" s="1475"/>
      <c r="BE321" s="1571" t="s">
        <v>1217</v>
      </c>
      <c r="BF321" s="1436">
        <v>21</v>
      </c>
      <c r="BG321" s="1436">
        <v>29</v>
      </c>
      <c r="BH321" s="1436">
        <v>5</v>
      </c>
      <c r="BI321" s="1495" t="b">
        <f t="shared" si="409"/>
        <v>1</v>
      </c>
      <c r="BJ321" s="1450" t="b">
        <f t="shared" si="417"/>
        <v>0</v>
      </c>
      <c r="BK321" s="1572">
        <f>IF(BJ321,BS$8,0)</f>
        <v>0</v>
      </c>
      <c r="BL321" s="1581">
        <f>IF(SUM(BL$293:BL320,BK321)&gt;$BS$4,0,BK321)</f>
        <v>0</v>
      </c>
      <c r="BM321" s="1436">
        <f t="shared" si="394"/>
        <v>0</v>
      </c>
      <c r="BN321" s="1495">
        <f t="shared" si="395"/>
        <v>0</v>
      </c>
      <c r="BO321" s="1437">
        <f t="shared" si="414"/>
        <v>0</v>
      </c>
      <c r="BP321" s="1762">
        <f t="shared" si="419"/>
        <v>0</v>
      </c>
      <c r="BQ321" s="1577">
        <f t="shared" si="420"/>
        <v>0</v>
      </c>
      <c r="BR321" s="1576">
        <f t="shared" si="396"/>
        <v>0</v>
      </c>
      <c r="BS321" s="1574">
        <f t="shared" si="421"/>
        <v>0</v>
      </c>
      <c r="BT321" s="1577">
        <f t="shared" si="422"/>
        <v>0</v>
      </c>
      <c r="BU321" s="1576">
        <f t="shared" si="397"/>
        <v>0</v>
      </c>
      <c r="BV321" s="1574">
        <f t="shared" si="423"/>
        <v>0</v>
      </c>
      <c r="BW321" s="1577">
        <f t="shared" si="424"/>
        <v>0</v>
      </c>
      <c r="BX321" s="1576">
        <f t="shared" si="398"/>
        <v>0</v>
      </c>
      <c r="BY321" s="1574">
        <f t="shared" si="425"/>
        <v>0</v>
      </c>
      <c r="BZ321" s="1577">
        <f t="shared" si="426"/>
        <v>0</v>
      </c>
      <c r="CA321" s="1576">
        <f t="shared" si="399"/>
        <v>0</v>
      </c>
      <c r="CB321" s="1495">
        <f t="shared" si="427"/>
        <v>0</v>
      </c>
      <c r="CC321" s="1577">
        <f t="shared" si="428"/>
        <v>0</v>
      </c>
      <c r="CD321" s="1576">
        <f t="shared" si="400"/>
        <v>0</v>
      </c>
      <c r="CE321" s="1495">
        <f t="shared" si="429"/>
        <v>0</v>
      </c>
      <c r="CF321" s="1577">
        <f t="shared" si="430"/>
        <v>0</v>
      </c>
      <c r="CG321" s="1576">
        <f t="shared" si="401"/>
        <v>0</v>
      </c>
      <c r="CH321" s="1495">
        <f t="shared" si="431"/>
        <v>0</v>
      </c>
      <c r="CI321" s="1577">
        <f t="shared" si="432"/>
        <v>0</v>
      </c>
      <c r="CJ321" s="1576">
        <f t="shared" si="402"/>
        <v>0</v>
      </c>
      <c r="CK321" s="1495">
        <f t="shared" si="433"/>
        <v>0</v>
      </c>
      <c r="CL321" s="1577">
        <f t="shared" si="434"/>
        <v>0</v>
      </c>
      <c r="CM321" s="1576">
        <f t="shared" si="403"/>
        <v>0</v>
      </c>
      <c r="CN321" s="1495">
        <f t="shared" si="435"/>
        <v>0</v>
      </c>
      <c r="CO321" s="1577">
        <f t="shared" si="436"/>
        <v>0</v>
      </c>
      <c r="CP321" s="1576">
        <f t="shared" si="404"/>
        <v>0</v>
      </c>
      <c r="CQ321" s="1495">
        <f t="shared" si="437"/>
        <v>0</v>
      </c>
      <c r="CR321" s="1577">
        <f t="shared" si="438"/>
        <v>0</v>
      </c>
      <c r="CS321" s="1576">
        <f t="shared" si="405"/>
        <v>0</v>
      </c>
      <c r="CT321" s="1495">
        <f t="shared" si="439"/>
        <v>0</v>
      </c>
      <c r="CU321" s="1577">
        <f t="shared" si="440"/>
        <v>0</v>
      </c>
      <c r="CV321" s="1576">
        <f t="shared" si="406"/>
        <v>0</v>
      </c>
      <c r="CW321" s="1495">
        <f t="shared" si="441"/>
        <v>0</v>
      </c>
      <c r="CX321" s="1577">
        <f t="shared" si="442"/>
        <v>0</v>
      </c>
      <c r="CY321" s="1576">
        <f t="shared" si="407"/>
        <v>0</v>
      </c>
      <c r="CZ321" s="1574">
        <f t="shared" si="408"/>
        <v>0</v>
      </c>
      <c r="DA321" s="1578">
        <f t="shared" si="410"/>
        <v>0</v>
      </c>
      <c r="DB321" s="1579">
        <f t="shared" si="411"/>
        <v>0</v>
      </c>
      <c r="DC321" s="1578">
        <f t="shared" si="412"/>
        <v>0</v>
      </c>
      <c r="DD321" s="1578">
        <f t="shared" si="412"/>
        <v>0</v>
      </c>
      <c r="DE321" s="1578">
        <f t="shared" si="412"/>
        <v>0</v>
      </c>
      <c r="DF321" s="1578">
        <f t="shared" si="413"/>
        <v>0</v>
      </c>
      <c r="DG321" s="1538"/>
      <c r="DH321" s="1538"/>
      <c r="DI321" s="1422"/>
      <c r="DJ321" s="1865" t="s">
        <v>2280</v>
      </c>
      <c r="DK321" s="1866">
        <v>12</v>
      </c>
      <c r="DL321" s="1866" t="s">
        <v>2278</v>
      </c>
      <c r="DM321" s="1866" t="s">
        <v>2279</v>
      </c>
      <c r="DN321" s="1866">
        <f>DK321/5</f>
        <v>2.4</v>
      </c>
      <c r="DO321" s="1428"/>
      <c r="DP321" s="1428"/>
      <c r="DQ321" s="1422"/>
      <c r="DR321" s="1428"/>
      <c r="DS321" s="1428"/>
      <c r="DT321" s="1428"/>
      <c r="DU321" s="1428"/>
      <c r="DV321" s="1428"/>
      <c r="DW321" s="1428"/>
      <c r="DX321" s="1428"/>
      <c r="DY321" s="1428"/>
      <c r="DZ321" s="1428"/>
      <c r="EA321" s="1428"/>
      <c r="EB321" s="1428"/>
      <c r="EC321" s="1428"/>
      <c r="ED321" s="1428"/>
      <c r="EE321" s="1428"/>
      <c r="EF321" s="1428"/>
      <c r="EG321" s="1428"/>
      <c r="EH321" s="1428"/>
      <c r="EI321" s="1428"/>
      <c r="EJ321" s="1428"/>
      <c r="EK321" s="1428"/>
      <c r="EL321" s="1428"/>
      <c r="EM321" s="1428"/>
      <c r="EN321" s="1428"/>
      <c r="EO321" s="1428"/>
      <c r="EP321" s="1428"/>
      <c r="EQ321" s="1428"/>
      <c r="ER321" s="1428"/>
      <c r="ES321" s="1428"/>
      <c r="ET321" s="1428"/>
      <c r="EU321" s="1428"/>
    </row>
    <row r="322" spans="1:151" s="1440" customFormat="1" ht="15" customHeight="1">
      <c r="A322" s="1834"/>
      <c r="B322" s="1600" t="s">
        <v>802</v>
      </c>
      <c r="C322" s="1979"/>
      <c r="D322" s="1979"/>
      <c r="G322" s="1979"/>
      <c r="H322" s="1979"/>
      <c r="K322" s="1979"/>
      <c r="L322" s="1979"/>
      <c r="M322" s="1720"/>
      <c r="N322" s="1430"/>
      <c r="O322" s="1430"/>
      <c r="P322" s="1430"/>
      <c r="Q322" s="1430"/>
      <c r="R322" s="1430"/>
      <c r="S322" s="1430"/>
      <c r="T322" s="1430"/>
      <c r="U322" s="1430"/>
      <c r="V322" s="1430"/>
      <c r="W322" s="1430"/>
      <c r="X322" s="1430"/>
      <c r="Y322" s="1430"/>
      <c r="Z322" s="1430"/>
      <c r="AA322" s="1430"/>
      <c r="AB322" s="1430"/>
      <c r="AC322" s="1430"/>
      <c r="AD322" s="1430"/>
      <c r="AE322" s="1430"/>
      <c r="AF322" s="1430"/>
      <c r="AG322" s="1430"/>
      <c r="AH322" s="1430"/>
      <c r="AI322" s="1430"/>
      <c r="AJ322" s="1430"/>
      <c r="AK322" s="1430"/>
      <c r="AL322" s="1430"/>
      <c r="AM322" s="1430"/>
      <c r="AN322" s="1430"/>
      <c r="AO322" s="1430"/>
      <c r="AP322" s="1430"/>
      <c r="AQ322" s="1430"/>
      <c r="AR322" s="1430"/>
      <c r="AS322" s="1430"/>
      <c r="AT322" s="1430"/>
      <c r="AU322" s="1430"/>
      <c r="AV322" s="1704"/>
      <c r="AW322" s="1430"/>
      <c r="AX322" s="1430"/>
      <c r="AY322" s="1430"/>
      <c r="AZ322" s="1430"/>
      <c r="BA322" s="1430"/>
      <c r="BB322" s="1430"/>
      <c r="BC322" s="1430"/>
      <c r="BD322" s="1475"/>
      <c r="BE322" s="1571" t="s">
        <v>1217</v>
      </c>
      <c r="BF322" s="1436">
        <v>21</v>
      </c>
      <c r="BG322" s="1436">
        <v>30</v>
      </c>
      <c r="BH322" s="1436">
        <v>6</v>
      </c>
      <c r="BI322" s="1495" t="b">
        <f t="shared" si="409"/>
        <v>0</v>
      </c>
      <c r="BJ322" s="1450" t="b">
        <f t="shared" si="417"/>
        <v>1</v>
      </c>
      <c r="BK322" s="1572">
        <f>IF(BJ322,BS$8,0)</f>
        <v>7.166666666666667</v>
      </c>
      <c r="BL322" s="1581">
        <f>IF(SUM(BL$293:BL321,BK322)&gt;$BS$4,0,BK322)</f>
        <v>7.166666666666667</v>
      </c>
      <c r="BM322" s="1436">
        <f t="shared" si="394"/>
        <v>0</v>
      </c>
      <c r="BN322" s="1495">
        <f t="shared" si="395"/>
        <v>0</v>
      </c>
      <c r="BO322" s="1437">
        <f t="shared" si="414"/>
        <v>0</v>
      </c>
      <c r="BP322" s="1762">
        <f t="shared" si="419"/>
        <v>0</v>
      </c>
      <c r="BQ322" s="1577">
        <f t="shared" si="420"/>
        <v>0</v>
      </c>
      <c r="BR322" s="1576">
        <f t="shared" si="396"/>
        <v>0</v>
      </c>
      <c r="BS322" s="1574">
        <f t="shared" si="421"/>
        <v>0</v>
      </c>
      <c r="BT322" s="1577">
        <f t="shared" si="422"/>
        <v>0</v>
      </c>
      <c r="BU322" s="1576">
        <f t="shared" si="397"/>
        <v>0</v>
      </c>
      <c r="BV322" s="1574">
        <f t="shared" si="423"/>
        <v>0</v>
      </c>
      <c r="BW322" s="1577">
        <f t="shared" si="424"/>
        <v>0</v>
      </c>
      <c r="BX322" s="1576">
        <f t="shared" si="398"/>
        <v>0</v>
      </c>
      <c r="BY322" s="1574">
        <f t="shared" si="425"/>
        <v>0</v>
      </c>
      <c r="BZ322" s="1577">
        <f t="shared" si="426"/>
        <v>0</v>
      </c>
      <c r="CA322" s="1576">
        <f t="shared" si="399"/>
        <v>0</v>
      </c>
      <c r="CB322" s="1495">
        <f t="shared" si="427"/>
        <v>0</v>
      </c>
      <c r="CC322" s="1577">
        <f t="shared" si="428"/>
        <v>0</v>
      </c>
      <c r="CD322" s="1576">
        <f t="shared" si="400"/>
        <v>0</v>
      </c>
      <c r="CE322" s="1495">
        <f t="shared" si="429"/>
        <v>0</v>
      </c>
      <c r="CF322" s="1577">
        <f t="shared" si="430"/>
        <v>0</v>
      </c>
      <c r="CG322" s="1576">
        <f t="shared" si="401"/>
        <v>0</v>
      </c>
      <c r="CH322" s="1495">
        <f t="shared" si="431"/>
        <v>0</v>
      </c>
      <c r="CI322" s="1577">
        <f t="shared" si="432"/>
        <v>0</v>
      </c>
      <c r="CJ322" s="1576">
        <f t="shared" si="402"/>
        <v>0</v>
      </c>
      <c r="CK322" s="1495">
        <f t="shared" si="433"/>
        <v>0</v>
      </c>
      <c r="CL322" s="1577">
        <f t="shared" si="434"/>
        <v>0</v>
      </c>
      <c r="CM322" s="1576">
        <f t="shared" si="403"/>
        <v>0</v>
      </c>
      <c r="CN322" s="1495">
        <f t="shared" si="435"/>
        <v>0</v>
      </c>
      <c r="CO322" s="1577">
        <f t="shared" si="436"/>
        <v>0</v>
      </c>
      <c r="CP322" s="1576">
        <f t="shared" si="404"/>
        <v>0</v>
      </c>
      <c r="CQ322" s="1495">
        <f t="shared" si="437"/>
        <v>0</v>
      </c>
      <c r="CR322" s="1577">
        <f t="shared" si="438"/>
        <v>0</v>
      </c>
      <c r="CS322" s="1576">
        <f t="shared" si="405"/>
        <v>0</v>
      </c>
      <c r="CT322" s="1495">
        <f t="shared" si="439"/>
        <v>0</v>
      </c>
      <c r="CU322" s="1577">
        <f t="shared" si="440"/>
        <v>0</v>
      </c>
      <c r="CV322" s="1576">
        <f t="shared" si="406"/>
        <v>0</v>
      </c>
      <c r="CW322" s="1495">
        <f t="shared" si="441"/>
        <v>0</v>
      </c>
      <c r="CX322" s="1577">
        <f t="shared" si="442"/>
        <v>0</v>
      </c>
      <c r="CY322" s="1576">
        <f t="shared" si="407"/>
        <v>0</v>
      </c>
      <c r="CZ322" s="1574">
        <f t="shared" si="408"/>
        <v>0</v>
      </c>
      <c r="DA322" s="1578">
        <f t="shared" si="410"/>
        <v>0</v>
      </c>
      <c r="DB322" s="1579">
        <f t="shared" si="411"/>
        <v>0</v>
      </c>
      <c r="DC322" s="1578">
        <f t="shared" si="412"/>
        <v>0</v>
      </c>
      <c r="DD322" s="1578">
        <f t="shared" si="412"/>
        <v>0</v>
      </c>
      <c r="DE322" s="1578">
        <f t="shared" si="412"/>
        <v>0</v>
      </c>
      <c r="DF322" s="1578">
        <f t="shared" si="413"/>
        <v>0</v>
      </c>
      <c r="DG322" s="1538"/>
      <c r="DH322" s="1538"/>
      <c r="DI322" s="1422"/>
      <c r="DJ322" s="1865" t="s">
        <v>2260</v>
      </c>
      <c r="DK322" s="1866">
        <v>57</v>
      </c>
      <c r="DL322" s="1866" t="s">
        <v>2281</v>
      </c>
      <c r="DM322" s="1866" t="s">
        <v>2282</v>
      </c>
      <c r="DN322" s="1866">
        <f>DK322/25</f>
        <v>2.2799999999999998</v>
      </c>
      <c r="DO322" s="1428"/>
      <c r="DP322" s="1428"/>
      <c r="DQ322" s="1422"/>
      <c r="DR322" s="1428"/>
      <c r="DS322" s="1428"/>
      <c r="DT322" s="1428"/>
      <c r="DU322" s="1428"/>
      <c r="DV322" s="1428"/>
      <c r="DW322" s="1428"/>
      <c r="DX322" s="1428"/>
      <c r="DY322" s="1428"/>
      <c r="DZ322" s="1428"/>
      <c r="EA322" s="1428"/>
      <c r="EB322" s="1428"/>
      <c r="EC322" s="1428"/>
      <c r="ED322" s="1428"/>
      <c r="EE322" s="1428"/>
      <c r="EF322" s="1428"/>
      <c r="EG322" s="1428"/>
      <c r="EH322" s="1428"/>
      <c r="EI322" s="1428"/>
      <c r="EJ322" s="1428"/>
      <c r="EK322" s="1428"/>
      <c r="EL322" s="1428"/>
      <c r="EM322" s="1428"/>
      <c r="EN322" s="1428"/>
      <c r="EO322" s="1428"/>
      <c r="EP322" s="1428"/>
      <c r="EQ322" s="1428"/>
      <c r="ER322" s="1428"/>
      <c r="ES322" s="1428"/>
      <c r="ET322" s="1428"/>
      <c r="EU322" s="1428"/>
    </row>
    <row r="323" spans="1:151" s="1440" customFormat="1" ht="15" customHeight="1">
      <c r="A323" s="1834"/>
      <c r="B323" s="1600" t="s">
        <v>803</v>
      </c>
      <c r="C323" s="1979"/>
      <c r="D323" s="1979"/>
      <c r="G323" s="1979"/>
      <c r="H323" s="1979"/>
      <c r="K323" s="1979"/>
      <c r="L323" s="1979"/>
      <c r="M323" s="1720"/>
      <c r="N323" s="1847"/>
      <c r="O323" s="1430"/>
      <c r="P323" s="1430"/>
      <c r="Q323" s="1430"/>
      <c r="R323" s="1430"/>
      <c r="S323" s="1430"/>
      <c r="T323" s="1430"/>
      <c r="U323" s="1430"/>
      <c r="V323" s="1430"/>
      <c r="W323" s="1430"/>
      <c r="X323" s="1430"/>
      <c r="Y323" s="1430"/>
      <c r="Z323" s="1430"/>
      <c r="AA323" s="1430"/>
      <c r="AB323" s="1430"/>
      <c r="AC323" s="1430"/>
      <c r="AD323" s="1430"/>
      <c r="AE323" s="1430"/>
      <c r="AF323" s="1430"/>
      <c r="AG323" s="1430"/>
      <c r="AH323" s="1430"/>
      <c r="AI323" s="1430"/>
      <c r="AJ323" s="1430"/>
      <c r="AK323" s="1430"/>
      <c r="AL323" s="1430"/>
      <c r="AM323" s="1430"/>
      <c r="AN323" s="1430"/>
      <c r="AO323" s="1430"/>
      <c r="AP323" s="1430"/>
      <c r="AQ323" s="1430"/>
      <c r="AR323" s="1430"/>
      <c r="AS323" s="1430"/>
      <c r="AT323" s="1430"/>
      <c r="AU323" s="1430"/>
      <c r="AV323" s="1704"/>
      <c r="AW323" s="1430"/>
      <c r="AX323" s="1430"/>
      <c r="AY323" s="1430"/>
      <c r="AZ323" s="1430"/>
      <c r="BA323" s="1430"/>
      <c r="BB323" s="1430"/>
      <c r="BC323" s="1430"/>
      <c r="BD323" s="1475"/>
      <c r="BE323" s="1571" t="s">
        <v>1217</v>
      </c>
      <c r="BF323" s="1436">
        <v>21</v>
      </c>
      <c r="BG323" s="1436">
        <v>31</v>
      </c>
      <c r="BH323" s="1436">
        <v>7</v>
      </c>
      <c r="BI323" s="1495" t="b">
        <f t="shared" si="409"/>
        <v>0</v>
      </c>
      <c r="BJ323" s="1450" t="b">
        <f t="shared" si="417"/>
        <v>0</v>
      </c>
      <c r="BK323" s="1572">
        <f>IF(BJ323,BS$8,0)</f>
        <v>0</v>
      </c>
      <c r="BL323" s="1573">
        <f>$BS$4-SUM(BL293:BL322)</f>
        <v>0</v>
      </c>
      <c r="BM323" s="1436">
        <f t="shared" si="394"/>
        <v>0</v>
      </c>
      <c r="BN323" s="1495">
        <f t="shared" si="395"/>
        <v>0</v>
      </c>
      <c r="BO323" s="1437">
        <f t="shared" si="414"/>
        <v>0</v>
      </c>
      <c r="BP323" s="1762">
        <f t="shared" si="419"/>
        <v>0</v>
      </c>
      <c r="BQ323" s="1577">
        <f t="shared" si="420"/>
        <v>0</v>
      </c>
      <c r="BR323" s="1576">
        <f t="shared" si="396"/>
        <v>0</v>
      </c>
      <c r="BS323" s="1574">
        <f t="shared" si="421"/>
        <v>0</v>
      </c>
      <c r="BT323" s="1577">
        <f t="shared" si="422"/>
        <v>0</v>
      </c>
      <c r="BU323" s="1576">
        <f t="shared" si="397"/>
        <v>0</v>
      </c>
      <c r="BV323" s="1574">
        <f t="shared" si="423"/>
        <v>0</v>
      </c>
      <c r="BW323" s="1577">
        <f t="shared" si="424"/>
        <v>0</v>
      </c>
      <c r="BX323" s="1576">
        <f t="shared" si="398"/>
        <v>0</v>
      </c>
      <c r="BY323" s="1574">
        <f t="shared" si="425"/>
        <v>0</v>
      </c>
      <c r="BZ323" s="1577">
        <f t="shared" si="426"/>
        <v>0</v>
      </c>
      <c r="CA323" s="1576">
        <f t="shared" si="399"/>
        <v>0</v>
      </c>
      <c r="CB323" s="1495">
        <f t="shared" si="427"/>
        <v>0</v>
      </c>
      <c r="CC323" s="1577">
        <f t="shared" si="428"/>
        <v>0</v>
      </c>
      <c r="CD323" s="1576">
        <f t="shared" si="400"/>
        <v>0</v>
      </c>
      <c r="CE323" s="1495">
        <f t="shared" si="429"/>
        <v>0</v>
      </c>
      <c r="CF323" s="1577">
        <f t="shared" si="430"/>
        <v>0</v>
      </c>
      <c r="CG323" s="1576">
        <f t="shared" si="401"/>
        <v>0</v>
      </c>
      <c r="CH323" s="1495">
        <f t="shared" si="431"/>
        <v>0</v>
      </c>
      <c r="CI323" s="1577">
        <f t="shared" si="432"/>
        <v>0</v>
      </c>
      <c r="CJ323" s="1576">
        <f t="shared" si="402"/>
        <v>0</v>
      </c>
      <c r="CK323" s="1495">
        <f t="shared" si="433"/>
        <v>0</v>
      </c>
      <c r="CL323" s="1577">
        <f t="shared" si="434"/>
        <v>0</v>
      </c>
      <c r="CM323" s="1576">
        <f t="shared" si="403"/>
        <v>0</v>
      </c>
      <c r="CN323" s="1495">
        <f t="shared" si="435"/>
        <v>0</v>
      </c>
      <c r="CO323" s="1577">
        <f t="shared" si="436"/>
        <v>0</v>
      </c>
      <c r="CP323" s="1576">
        <f t="shared" si="404"/>
        <v>0</v>
      </c>
      <c r="CQ323" s="1495">
        <f t="shared" si="437"/>
        <v>0</v>
      </c>
      <c r="CR323" s="1577">
        <f t="shared" si="438"/>
        <v>0</v>
      </c>
      <c r="CS323" s="1576">
        <f t="shared" si="405"/>
        <v>0</v>
      </c>
      <c r="CT323" s="1495">
        <f t="shared" si="439"/>
        <v>0</v>
      </c>
      <c r="CU323" s="1577">
        <f t="shared" si="440"/>
        <v>0</v>
      </c>
      <c r="CV323" s="1576">
        <f t="shared" si="406"/>
        <v>0</v>
      </c>
      <c r="CW323" s="1495">
        <f t="shared" si="441"/>
        <v>0</v>
      </c>
      <c r="CX323" s="1577">
        <f t="shared" si="442"/>
        <v>0</v>
      </c>
      <c r="CY323" s="1576">
        <f t="shared" si="407"/>
        <v>0</v>
      </c>
      <c r="CZ323" s="1574">
        <f t="shared" si="408"/>
        <v>0</v>
      </c>
      <c r="DA323" s="1578">
        <f t="shared" si="410"/>
        <v>0</v>
      </c>
      <c r="DB323" s="1579">
        <f t="shared" si="411"/>
        <v>0</v>
      </c>
      <c r="DC323" s="1578">
        <f t="shared" si="412"/>
        <v>0</v>
      </c>
      <c r="DD323" s="1578">
        <f t="shared" si="412"/>
        <v>0</v>
      </c>
      <c r="DE323" s="1578">
        <f t="shared" si="412"/>
        <v>0</v>
      </c>
      <c r="DF323" s="1578">
        <f t="shared" si="413"/>
        <v>0</v>
      </c>
      <c r="DG323" s="1538"/>
      <c r="DH323" s="1538"/>
      <c r="DI323" s="1422"/>
      <c r="DJ323" s="1428"/>
      <c r="DK323" s="1428"/>
      <c r="DL323" s="1428"/>
      <c r="DM323" s="1428"/>
      <c r="DN323" s="1428"/>
      <c r="DO323" s="1428"/>
      <c r="DP323" s="1428"/>
      <c r="DQ323" s="1422"/>
      <c r="DR323" s="1428"/>
      <c r="DS323" s="1428"/>
      <c r="DT323" s="1428"/>
      <c r="DU323" s="1428"/>
      <c r="DV323" s="1428"/>
      <c r="DW323" s="1428"/>
      <c r="DX323" s="1428"/>
      <c r="DY323" s="1428"/>
      <c r="DZ323" s="1428"/>
      <c r="EA323" s="1428"/>
      <c r="EB323" s="1428"/>
      <c r="EC323" s="1428"/>
      <c r="ED323" s="1428"/>
      <c r="EE323" s="1428"/>
      <c r="EF323" s="1428"/>
      <c r="EG323" s="1428"/>
      <c r="EH323" s="1428"/>
      <c r="EI323" s="1428"/>
      <c r="EJ323" s="1428"/>
      <c r="EK323" s="1428"/>
      <c r="EL323" s="1428"/>
      <c r="EM323" s="1428"/>
      <c r="EN323" s="1428"/>
      <c r="EO323" s="1428"/>
      <c r="EP323" s="1428"/>
      <c r="EQ323" s="1428"/>
      <c r="ER323" s="1428"/>
      <c r="ES323" s="1428"/>
      <c r="ET323" s="1428"/>
      <c r="EU323" s="1428"/>
    </row>
    <row r="324" spans="1:151" s="1440" customFormat="1" ht="15" customHeight="1">
      <c r="A324" s="1834"/>
      <c r="B324" s="1600" t="s">
        <v>804</v>
      </c>
      <c r="C324" s="1979"/>
      <c r="D324" s="1979"/>
      <c r="G324" s="1979"/>
      <c r="H324" s="1979"/>
      <c r="K324" s="1979"/>
      <c r="L324" s="1979"/>
      <c r="M324" s="1720"/>
      <c r="N324" s="1847"/>
      <c r="O324" s="1430"/>
      <c r="P324" s="1430"/>
      <c r="Q324" s="1430"/>
      <c r="R324" s="1430"/>
      <c r="S324" s="1430"/>
      <c r="T324" s="1430"/>
      <c r="U324" s="1430"/>
      <c r="V324" s="1430"/>
      <c r="W324" s="1430"/>
      <c r="X324" s="1430"/>
      <c r="Y324" s="1430"/>
      <c r="Z324" s="1430"/>
      <c r="AA324" s="1430"/>
      <c r="AB324" s="1430"/>
      <c r="AC324" s="1430"/>
      <c r="AD324" s="1430"/>
      <c r="AE324" s="1430"/>
      <c r="AF324" s="1430"/>
      <c r="AG324" s="1430"/>
      <c r="AH324" s="1430"/>
      <c r="AI324" s="1430"/>
      <c r="AJ324" s="1430"/>
      <c r="AK324" s="1430"/>
      <c r="AL324" s="1430"/>
      <c r="AM324" s="1430"/>
      <c r="AN324" s="1430"/>
      <c r="AO324" s="1430"/>
      <c r="AP324" s="1430"/>
      <c r="AQ324" s="1430"/>
      <c r="AR324" s="1430"/>
      <c r="AS324" s="1430"/>
      <c r="AT324" s="1430"/>
      <c r="AU324" s="1430"/>
      <c r="AV324" s="1704"/>
      <c r="AW324" s="1430"/>
      <c r="AX324" s="1430"/>
      <c r="AY324" s="1430"/>
      <c r="AZ324" s="1430"/>
      <c r="BA324" s="1430"/>
      <c r="BB324" s="1430"/>
      <c r="BC324" s="1430"/>
      <c r="BD324" s="1475"/>
      <c r="BE324" s="1571" t="s">
        <v>1218</v>
      </c>
      <c r="BF324" s="1436">
        <v>22</v>
      </c>
      <c r="BG324" s="1436">
        <v>1</v>
      </c>
      <c r="BH324" s="1436">
        <v>1</v>
      </c>
      <c r="BI324" s="1495" t="b">
        <f t="shared" si="409"/>
        <v>1</v>
      </c>
      <c r="BJ324" s="1450" t="b">
        <f t="shared" ref="BJ324:BJ352" si="443">MOD(BG324,$BT$7)=0</f>
        <v>0</v>
      </c>
      <c r="BK324" s="1572">
        <f>IF(BJ324,BT$8,0)</f>
        <v>0</v>
      </c>
      <c r="BL324" s="1573">
        <f>BK324</f>
        <v>0</v>
      </c>
      <c r="BM324" s="1436">
        <f t="shared" si="394"/>
        <v>0</v>
      </c>
      <c r="BN324" s="1495">
        <f t="shared" si="395"/>
        <v>0</v>
      </c>
      <c r="BO324" s="1437">
        <f t="shared" si="414"/>
        <v>0</v>
      </c>
      <c r="BP324" s="1762">
        <f t="shared" ref="BP324:BP353" si="444">$Q$344/$BF$324*BR$16*$BI324</f>
        <v>0</v>
      </c>
      <c r="BQ324" s="1577">
        <f t="shared" ref="BQ324:BQ353" si="445">AQ$379/$BF324*$BI324</f>
        <v>0</v>
      </c>
      <c r="BR324" s="1576">
        <f t="shared" si="396"/>
        <v>0</v>
      </c>
      <c r="BS324" s="1574">
        <f t="shared" ref="BS324:BS353" si="446">$R$344/$BF324*BU$16*$BI324</f>
        <v>0</v>
      </c>
      <c r="BT324" s="1577">
        <f t="shared" ref="BT324:BT353" si="447">AR$379/$BF324*$BI324</f>
        <v>0</v>
      </c>
      <c r="BU324" s="1576">
        <f t="shared" si="397"/>
        <v>0</v>
      </c>
      <c r="BV324" s="1574">
        <f t="shared" ref="BV324:BV353" si="448">$S$344/$BF324*BX$16*$BI324</f>
        <v>0</v>
      </c>
      <c r="BW324" s="1577">
        <f t="shared" ref="BW324:BW353" si="449">AS$379/$BF324*$BI324</f>
        <v>0</v>
      </c>
      <c r="BX324" s="1576">
        <f t="shared" si="398"/>
        <v>0</v>
      </c>
      <c r="BY324" s="1574">
        <f t="shared" ref="BY324:BY353" si="450">$T$344/$BF324*CA$16*$BI324</f>
        <v>0</v>
      </c>
      <c r="BZ324" s="1577">
        <f t="shared" ref="BZ324:BZ353" si="451">AT$379/$BF324*$BI324</f>
        <v>0</v>
      </c>
      <c r="CA324" s="1576">
        <f t="shared" si="399"/>
        <v>0</v>
      </c>
      <c r="CB324" s="1495">
        <f t="shared" ref="CB324:CB353" si="452">$W$344/BF324*BI324*$C$419</f>
        <v>0</v>
      </c>
      <c r="CC324" s="1577">
        <f t="shared" ref="CC324:CC353" si="453">AU$379/$BF324*$BI324</f>
        <v>0</v>
      </c>
      <c r="CD324" s="1576">
        <f t="shared" si="400"/>
        <v>0</v>
      </c>
      <c r="CE324" s="1495">
        <f t="shared" ref="CE324:CE353" si="454">$X$344/BF324*BI324*$C$420</f>
        <v>0</v>
      </c>
      <c r="CF324" s="1577">
        <f t="shared" ref="CF324:CF353" si="455">AV$379/$BF324*$BI324</f>
        <v>0</v>
      </c>
      <c r="CG324" s="1576">
        <f t="shared" si="401"/>
        <v>0</v>
      </c>
      <c r="CH324" s="1495">
        <f t="shared" ref="CH324:CH353" si="456">$Y$344/BF324*BI324*$C$421</f>
        <v>0</v>
      </c>
      <c r="CI324" s="1577">
        <f t="shared" ref="CI324:CI353" si="457">AW$379/$BF324*$BI324</f>
        <v>0</v>
      </c>
      <c r="CJ324" s="1576">
        <f t="shared" si="402"/>
        <v>0</v>
      </c>
      <c r="CK324" s="1495">
        <f t="shared" ref="CK324:CK353" si="458">$Z$344/BF324*BI324*$CM$16</f>
        <v>0</v>
      </c>
      <c r="CL324" s="1577">
        <f t="shared" ref="CL324:CL353" si="459">AX$379/$BF324*$BI324</f>
        <v>0</v>
      </c>
      <c r="CM324" s="1576">
        <f t="shared" si="403"/>
        <v>0</v>
      </c>
      <c r="CN324" s="1495">
        <f t="shared" ref="CN324:CN353" si="460">$AA$344/BF324*BI324*$CP$16</f>
        <v>0</v>
      </c>
      <c r="CO324" s="1577">
        <f t="shared" ref="CO324:CO353" si="461">$AY$379/$BF324*$BI324</f>
        <v>0</v>
      </c>
      <c r="CP324" s="1576">
        <f t="shared" si="404"/>
        <v>0</v>
      </c>
      <c r="CQ324" s="1495">
        <f t="shared" ref="CQ324:CQ353" si="462">$AB$344/BF324*BI324*$CS$16</f>
        <v>0</v>
      </c>
      <c r="CR324" s="1577">
        <f t="shared" ref="CR324:CR353" si="463">AZ$379/$BF324*$BI324</f>
        <v>0</v>
      </c>
      <c r="CS324" s="1576">
        <f t="shared" si="405"/>
        <v>0</v>
      </c>
      <c r="CT324" s="1495">
        <f t="shared" ref="CT324:CT353" si="464">$AC$344/BF324*BI324*$CV$16</f>
        <v>0</v>
      </c>
      <c r="CU324" s="1577">
        <f t="shared" ref="CU324:CU353" si="465">BA$379/$BF324*$BI324</f>
        <v>0</v>
      </c>
      <c r="CV324" s="1576">
        <f t="shared" si="406"/>
        <v>0</v>
      </c>
      <c r="CW324" s="1495">
        <f t="shared" ref="CW324:CW353" si="466">$AD$344/BF324*BI324*$CY$16</f>
        <v>0</v>
      </c>
      <c r="CX324" s="1577">
        <f t="shared" ref="CX324:CX353" si="467">BB$379/$BF324*$BI324</f>
        <v>0</v>
      </c>
      <c r="CY324" s="1576">
        <f t="shared" si="407"/>
        <v>0</v>
      </c>
      <c r="CZ324" s="1574">
        <f t="shared" si="408"/>
        <v>0</v>
      </c>
      <c r="DA324" s="1578">
        <f t="shared" si="410"/>
        <v>0</v>
      </c>
      <c r="DB324" s="1579">
        <f t="shared" si="411"/>
        <v>0</v>
      </c>
      <c r="DC324" s="1578">
        <f t="shared" si="412"/>
        <v>0</v>
      </c>
      <c r="DD324" s="1578">
        <f t="shared" si="412"/>
        <v>0</v>
      </c>
      <c r="DE324" s="1578">
        <f t="shared" si="412"/>
        <v>0</v>
      </c>
      <c r="DF324" s="1578">
        <f>IF(DA324-(DE323+CZ324)&lt;0,0,DA324-(DE323+CZ324))</f>
        <v>0</v>
      </c>
      <c r="DG324" s="1538"/>
      <c r="DH324" s="1538"/>
      <c r="DI324" s="1422"/>
      <c r="DJ324" s="1428"/>
      <c r="DK324" s="1428"/>
      <c r="DL324" s="1428"/>
      <c r="DM324" s="1428"/>
      <c r="DN324" s="1428"/>
      <c r="DO324" s="1428"/>
      <c r="DP324" s="1428"/>
      <c r="DQ324" s="1422"/>
      <c r="DR324" s="1428"/>
      <c r="DS324" s="1428"/>
      <c r="DT324" s="1428"/>
      <c r="DU324" s="1428"/>
      <c r="DV324" s="1428"/>
      <c r="DW324" s="1428"/>
      <c r="DX324" s="1428"/>
      <c r="DY324" s="1428"/>
      <c r="DZ324" s="1428"/>
      <c r="EA324" s="1428"/>
      <c r="EB324" s="1428"/>
      <c r="EC324" s="1428"/>
      <c r="ED324" s="1428"/>
      <c r="EE324" s="1428"/>
      <c r="EF324" s="1428"/>
      <c r="EG324" s="1428"/>
      <c r="EH324" s="1428"/>
      <c r="EI324" s="1428"/>
      <c r="EJ324" s="1428"/>
      <c r="EK324" s="1428"/>
      <c r="EL324" s="1428"/>
      <c r="EM324" s="1428"/>
      <c r="EN324" s="1428"/>
      <c r="EO324" s="1428"/>
      <c r="EP324" s="1428"/>
      <c r="EQ324" s="1428"/>
      <c r="ER324" s="1428"/>
      <c r="ES324" s="1428"/>
      <c r="ET324" s="1428"/>
      <c r="EU324" s="1428"/>
    </row>
    <row r="325" spans="1:151" s="1440" customFormat="1" ht="15" customHeight="1">
      <c r="A325" s="1834"/>
      <c r="B325" s="1600" t="s">
        <v>1603</v>
      </c>
      <c r="C325" s="1979"/>
      <c r="D325" s="1979"/>
      <c r="G325" s="1979"/>
      <c r="H325" s="1979"/>
      <c r="K325" s="1979"/>
      <c r="L325" s="1979"/>
      <c r="M325" s="1720"/>
      <c r="N325" s="1847"/>
      <c r="O325" s="1430"/>
      <c r="P325" s="1430"/>
      <c r="Q325" s="1430"/>
      <c r="R325" s="1430"/>
      <c r="S325" s="1430"/>
      <c r="T325" s="1430"/>
      <c r="U325" s="1430"/>
      <c r="V325" s="1430"/>
      <c r="W325" s="1430"/>
      <c r="X325" s="1430"/>
      <c r="Y325" s="1430"/>
      <c r="Z325" s="1430"/>
      <c r="AA325" s="1430"/>
      <c r="AB325" s="1430"/>
      <c r="AC325" s="1430"/>
      <c r="AD325" s="1430"/>
      <c r="AE325" s="1430"/>
      <c r="AF325" s="1430"/>
      <c r="AG325" s="1430"/>
      <c r="AH325" s="1430"/>
      <c r="AI325" s="1430"/>
      <c r="AJ325" s="1430"/>
      <c r="AK325" s="1430"/>
      <c r="AL325" s="1430"/>
      <c r="AM325" s="1430"/>
      <c r="AN325" s="1430"/>
      <c r="AO325" s="1430"/>
      <c r="AP325" s="1430"/>
      <c r="AQ325" s="1430"/>
      <c r="AR325" s="1430"/>
      <c r="AS325" s="1430"/>
      <c r="AT325" s="1430"/>
      <c r="AU325" s="1430"/>
      <c r="AV325" s="1704"/>
      <c r="AW325" s="1430"/>
      <c r="AX325" s="1430"/>
      <c r="AY325" s="1430"/>
      <c r="AZ325" s="1430"/>
      <c r="BA325" s="1430"/>
      <c r="BB325" s="1430"/>
      <c r="BC325" s="1430"/>
      <c r="BD325" s="1475"/>
      <c r="BE325" s="1571" t="s">
        <v>1218</v>
      </c>
      <c r="BF325" s="1436">
        <v>22</v>
      </c>
      <c r="BG325" s="1436">
        <v>2</v>
      </c>
      <c r="BH325" s="1436">
        <v>2</v>
      </c>
      <c r="BI325" s="1495" t="b">
        <f t="shared" si="409"/>
        <v>1</v>
      </c>
      <c r="BJ325" s="1450" t="b">
        <f t="shared" si="443"/>
        <v>0</v>
      </c>
      <c r="BK325" s="1572">
        <f>IF(BJ325,BT$8,0)</f>
        <v>0</v>
      </c>
      <c r="BL325" s="1581">
        <f>IF(SUM(BL$324:BL324,BK325)&gt;$BT$4,0,BK325)</f>
        <v>0</v>
      </c>
      <c r="BM325" s="1436">
        <f t="shared" si="394"/>
        <v>0</v>
      </c>
      <c r="BN325" s="1495">
        <f t="shared" si="395"/>
        <v>0</v>
      </c>
      <c r="BO325" s="1437">
        <f t="shared" si="414"/>
        <v>0</v>
      </c>
      <c r="BP325" s="1762">
        <f t="shared" si="444"/>
        <v>0</v>
      </c>
      <c r="BQ325" s="1577">
        <f t="shared" si="445"/>
        <v>0</v>
      </c>
      <c r="BR325" s="1576">
        <f t="shared" si="396"/>
        <v>0</v>
      </c>
      <c r="BS325" s="1574">
        <f t="shared" si="446"/>
        <v>0</v>
      </c>
      <c r="BT325" s="1577">
        <f t="shared" si="447"/>
        <v>0</v>
      </c>
      <c r="BU325" s="1576">
        <f t="shared" si="397"/>
        <v>0</v>
      </c>
      <c r="BV325" s="1574">
        <f t="shared" si="448"/>
        <v>0</v>
      </c>
      <c r="BW325" s="1577">
        <f t="shared" si="449"/>
        <v>0</v>
      </c>
      <c r="BX325" s="1576">
        <f t="shared" si="398"/>
        <v>0</v>
      </c>
      <c r="BY325" s="1574">
        <f t="shared" si="450"/>
        <v>0</v>
      </c>
      <c r="BZ325" s="1577">
        <f t="shared" si="451"/>
        <v>0</v>
      </c>
      <c r="CA325" s="1576">
        <f t="shared" si="399"/>
        <v>0</v>
      </c>
      <c r="CB325" s="1495">
        <f t="shared" si="452"/>
        <v>0</v>
      </c>
      <c r="CC325" s="1577">
        <f t="shared" si="453"/>
        <v>0</v>
      </c>
      <c r="CD325" s="1576">
        <f t="shared" si="400"/>
        <v>0</v>
      </c>
      <c r="CE325" s="1495">
        <f t="shared" si="454"/>
        <v>0</v>
      </c>
      <c r="CF325" s="1577">
        <f t="shared" si="455"/>
        <v>0</v>
      </c>
      <c r="CG325" s="1576">
        <f t="shared" si="401"/>
        <v>0</v>
      </c>
      <c r="CH325" s="1495">
        <f t="shared" si="456"/>
        <v>0</v>
      </c>
      <c r="CI325" s="1577">
        <f t="shared" si="457"/>
        <v>0</v>
      </c>
      <c r="CJ325" s="1576">
        <f t="shared" si="402"/>
        <v>0</v>
      </c>
      <c r="CK325" s="1495">
        <f t="shared" si="458"/>
        <v>0</v>
      </c>
      <c r="CL325" s="1577">
        <f t="shared" si="459"/>
        <v>0</v>
      </c>
      <c r="CM325" s="1576">
        <f t="shared" si="403"/>
        <v>0</v>
      </c>
      <c r="CN325" s="1495">
        <f t="shared" si="460"/>
        <v>0</v>
      </c>
      <c r="CO325" s="1577">
        <f t="shared" si="461"/>
        <v>0</v>
      </c>
      <c r="CP325" s="1576">
        <f t="shared" si="404"/>
        <v>0</v>
      </c>
      <c r="CQ325" s="1495">
        <f t="shared" si="462"/>
        <v>0</v>
      </c>
      <c r="CR325" s="1577">
        <f t="shared" si="463"/>
        <v>0</v>
      </c>
      <c r="CS325" s="1576">
        <f t="shared" si="405"/>
        <v>0</v>
      </c>
      <c r="CT325" s="1495">
        <f t="shared" si="464"/>
        <v>0</v>
      </c>
      <c r="CU325" s="1577">
        <f t="shared" si="465"/>
        <v>0</v>
      </c>
      <c r="CV325" s="1576">
        <f t="shared" si="406"/>
        <v>0</v>
      </c>
      <c r="CW325" s="1495">
        <f t="shared" si="466"/>
        <v>0</v>
      </c>
      <c r="CX325" s="1577">
        <f t="shared" si="467"/>
        <v>0</v>
      </c>
      <c r="CY325" s="1576">
        <f t="shared" si="407"/>
        <v>0</v>
      </c>
      <c r="CZ325" s="1574">
        <f t="shared" si="408"/>
        <v>0</v>
      </c>
      <c r="DA325" s="1578">
        <f t="shared" si="410"/>
        <v>0</v>
      </c>
      <c r="DB325" s="1579">
        <f t="shared" si="411"/>
        <v>0</v>
      </c>
      <c r="DC325" s="1578">
        <f t="shared" si="412"/>
        <v>0</v>
      </c>
      <c r="DD325" s="1578">
        <f t="shared" si="412"/>
        <v>0</v>
      </c>
      <c r="DE325" s="1578">
        <f t="shared" si="412"/>
        <v>0</v>
      </c>
      <c r="DF325" s="1578">
        <f>IF(DA325-(DE324+CZ325)&lt;0,0,DA325-(DE324+CZ325))</f>
        <v>0</v>
      </c>
      <c r="DG325" s="1538"/>
      <c r="DH325" s="1538"/>
      <c r="DI325" s="1422"/>
      <c r="DJ325" s="1428"/>
      <c r="DK325" s="1428"/>
      <c r="DL325" s="1428"/>
      <c r="DM325" s="1428"/>
      <c r="DN325" s="1428"/>
      <c r="DO325" s="1428"/>
      <c r="DP325" s="1428"/>
      <c r="DQ325" s="1422"/>
      <c r="DR325" s="1428"/>
      <c r="DS325" s="1428"/>
      <c r="DT325" s="1428"/>
      <c r="DU325" s="1428"/>
      <c r="DV325" s="1428"/>
      <c r="DW325" s="1428"/>
      <c r="DX325" s="1428"/>
      <c r="DY325" s="1428"/>
      <c r="DZ325" s="1428"/>
      <c r="EA325" s="1428"/>
      <c r="EB325" s="1428"/>
      <c r="EC325" s="1428"/>
      <c r="ED325" s="1428"/>
      <c r="EE325" s="1428"/>
      <c r="EF325" s="1428"/>
      <c r="EG325" s="1428"/>
      <c r="EH325" s="1428"/>
      <c r="EI325" s="1428"/>
      <c r="EJ325" s="1428"/>
      <c r="EK325" s="1428"/>
      <c r="EL325" s="1428"/>
      <c r="EM325" s="1428"/>
      <c r="EN325" s="1428"/>
      <c r="EO325" s="1428"/>
      <c r="EP325" s="1428"/>
      <c r="EQ325" s="1428"/>
      <c r="ER325" s="1428"/>
      <c r="ES325" s="1428"/>
      <c r="ET325" s="1428"/>
      <c r="EU325" s="1428"/>
    </row>
    <row r="326" spans="1:151" s="1440" customFormat="1" ht="15" customHeight="1">
      <c r="A326" s="1834"/>
      <c r="B326" s="1764" t="s">
        <v>2297</v>
      </c>
      <c r="C326" s="1684">
        <f>SUM(C314:C325)</f>
        <v>0</v>
      </c>
      <c r="D326" s="1682">
        <f>SUM(D314:D325)</f>
        <v>0</v>
      </c>
      <c r="G326" s="1684">
        <f>SUM(G314:G325)</f>
        <v>0</v>
      </c>
      <c r="H326" s="1682">
        <f>SUM(H314:H325)</f>
        <v>0</v>
      </c>
      <c r="K326" s="1684">
        <f>SUM(K314:K325)</f>
        <v>0</v>
      </c>
      <c r="L326" s="1682">
        <f>SUM(L314:L325)</f>
        <v>0</v>
      </c>
      <c r="M326" s="1720"/>
      <c r="N326" s="1847"/>
      <c r="O326" s="1430"/>
      <c r="P326" s="1430"/>
      <c r="Q326" s="1430"/>
      <c r="R326" s="1430"/>
      <c r="S326" s="1430"/>
      <c r="T326" s="1430"/>
      <c r="U326" s="1430"/>
      <c r="V326" s="1430"/>
      <c r="W326" s="1430"/>
      <c r="X326" s="1430"/>
      <c r="Y326" s="1430"/>
      <c r="Z326" s="1430"/>
      <c r="AA326" s="1430"/>
      <c r="AB326" s="1430"/>
      <c r="AC326" s="1430"/>
      <c r="AD326" s="1430"/>
      <c r="AE326" s="1430"/>
      <c r="AF326" s="1430"/>
      <c r="AG326" s="1430"/>
      <c r="AH326" s="1430"/>
      <c r="AI326" s="1430"/>
      <c r="AJ326" s="1430"/>
      <c r="AK326" s="1430"/>
      <c r="AL326" s="1430"/>
      <c r="AM326" s="1430"/>
      <c r="AN326" s="1430"/>
      <c r="AO326" s="1430"/>
      <c r="AP326" s="1430"/>
      <c r="AQ326" s="1430"/>
      <c r="AR326" s="1430"/>
      <c r="AS326" s="1430"/>
      <c r="AT326" s="1430"/>
      <c r="AU326" s="1430"/>
      <c r="AV326" s="1704"/>
      <c r="AW326" s="1430"/>
      <c r="AX326" s="1430"/>
      <c r="AY326" s="1430"/>
      <c r="AZ326" s="1430"/>
      <c r="BA326" s="1430"/>
      <c r="BB326" s="1430"/>
      <c r="BC326" s="1430"/>
      <c r="BD326" s="1475"/>
      <c r="BE326" s="1571" t="s">
        <v>1218</v>
      </c>
      <c r="BF326" s="1436">
        <v>22</v>
      </c>
      <c r="BG326" s="1436">
        <v>3</v>
      </c>
      <c r="BH326" s="1436">
        <v>3</v>
      </c>
      <c r="BI326" s="1495" t="b">
        <f t="shared" si="409"/>
        <v>1</v>
      </c>
      <c r="BJ326" s="1450" t="b">
        <f t="shared" si="443"/>
        <v>1</v>
      </c>
      <c r="BK326" s="1572">
        <f>IF(BJ326,BT$8,0)</f>
        <v>7.083333333333333</v>
      </c>
      <c r="BL326" s="1581">
        <f>IF(SUM(BL$324:BL325,BK326)&gt;$BT$4,0,BK326)</f>
        <v>7.083333333333333</v>
      </c>
      <c r="BM326" s="1436">
        <f t="shared" si="394"/>
        <v>0</v>
      </c>
      <c r="BN326" s="1495">
        <f t="shared" si="395"/>
        <v>0</v>
      </c>
      <c r="BO326" s="1437">
        <f t="shared" si="414"/>
        <v>0</v>
      </c>
      <c r="BP326" s="1762">
        <f t="shared" si="444"/>
        <v>0</v>
      </c>
      <c r="BQ326" s="1577">
        <f t="shared" si="445"/>
        <v>0</v>
      </c>
      <c r="BR326" s="1576">
        <f t="shared" si="396"/>
        <v>0</v>
      </c>
      <c r="BS326" s="1574">
        <f t="shared" si="446"/>
        <v>0</v>
      </c>
      <c r="BT326" s="1577">
        <f t="shared" si="447"/>
        <v>0</v>
      </c>
      <c r="BU326" s="1576">
        <f t="shared" si="397"/>
        <v>0</v>
      </c>
      <c r="BV326" s="1574">
        <f t="shared" si="448"/>
        <v>0</v>
      </c>
      <c r="BW326" s="1577">
        <f t="shared" si="449"/>
        <v>0</v>
      </c>
      <c r="BX326" s="1576">
        <f t="shared" si="398"/>
        <v>0</v>
      </c>
      <c r="BY326" s="1574">
        <f t="shared" si="450"/>
        <v>0</v>
      </c>
      <c r="BZ326" s="1577">
        <f t="shared" si="451"/>
        <v>0</v>
      </c>
      <c r="CA326" s="1576">
        <f t="shared" si="399"/>
        <v>0</v>
      </c>
      <c r="CB326" s="1495">
        <f t="shared" si="452"/>
        <v>0</v>
      </c>
      <c r="CC326" s="1577">
        <f t="shared" si="453"/>
        <v>0</v>
      </c>
      <c r="CD326" s="1576">
        <f t="shared" si="400"/>
        <v>0</v>
      </c>
      <c r="CE326" s="1495">
        <f t="shared" si="454"/>
        <v>0</v>
      </c>
      <c r="CF326" s="1577">
        <f t="shared" si="455"/>
        <v>0</v>
      </c>
      <c r="CG326" s="1576">
        <f t="shared" si="401"/>
        <v>0</v>
      </c>
      <c r="CH326" s="1495">
        <f t="shared" si="456"/>
        <v>0</v>
      </c>
      <c r="CI326" s="1577">
        <f t="shared" si="457"/>
        <v>0</v>
      </c>
      <c r="CJ326" s="1576">
        <f t="shared" si="402"/>
        <v>0</v>
      </c>
      <c r="CK326" s="1495">
        <f t="shared" si="458"/>
        <v>0</v>
      </c>
      <c r="CL326" s="1577">
        <f t="shared" si="459"/>
        <v>0</v>
      </c>
      <c r="CM326" s="1576">
        <f t="shared" si="403"/>
        <v>0</v>
      </c>
      <c r="CN326" s="1495">
        <f t="shared" si="460"/>
        <v>0</v>
      </c>
      <c r="CO326" s="1577">
        <f t="shared" si="461"/>
        <v>0</v>
      </c>
      <c r="CP326" s="1576">
        <f t="shared" si="404"/>
        <v>0</v>
      </c>
      <c r="CQ326" s="1495">
        <f t="shared" si="462"/>
        <v>0</v>
      </c>
      <c r="CR326" s="1577">
        <f t="shared" si="463"/>
        <v>0</v>
      </c>
      <c r="CS326" s="1576">
        <f t="shared" si="405"/>
        <v>0</v>
      </c>
      <c r="CT326" s="1495">
        <f t="shared" si="464"/>
        <v>0</v>
      </c>
      <c r="CU326" s="1577">
        <f t="shared" si="465"/>
        <v>0</v>
      </c>
      <c r="CV326" s="1576">
        <f t="shared" si="406"/>
        <v>0</v>
      </c>
      <c r="CW326" s="1495">
        <f t="shared" si="466"/>
        <v>0</v>
      </c>
      <c r="CX326" s="1577">
        <f t="shared" si="467"/>
        <v>0</v>
      </c>
      <c r="CY326" s="1576">
        <f t="shared" si="407"/>
        <v>0</v>
      </c>
      <c r="CZ326" s="1574">
        <f t="shared" si="408"/>
        <v>0</v>
      </c>
      <c r="DA326" s="1578">
        <f t="shared" si="410"/>
        <v>0</v>
      </c>
      <c r="DB326" s="1579">
        <f t="shared" si="411"/>
        <v>0</v>
      </c>
      <c r="DC326" s="1578">
        <f t="shared" si="412"/>
        <v>0</v>
      </c>
      <c r="DD326" s="1578">
        <f t="shared" si="412"/>
        <v>0</v>
      </c>
      <c r="DE326" s="1578">
        <f t="shared" si="412"/>
        <v>0</v>
      </c>
      <c r="DF326" s="1578">
        <f t="shared" si="413"/>
        <v>0</v>
      </c>
      <c r="DG326" s="1538"/>
      <c r="DH326" s="1538"/>
      <c r="DI326" s="1422"/>
      <c r="DJ326" s="1428"/>
      <c r="DK326" s="1428"/>
      <c r="DL326" s="1428"/>
      <c r="DM326" s="1428"/>
      <c r="DN326" s="1428"/>
      <c r="DO326" s="1428"/>
      <c r="DP326" s="1428"/>
      <c r="DQ326" s="1422"/>
      <c r="DR326" s="1428"/>
      <c r="DS326" s="1428"/>
      <c r="DT326" s="1428"/>
      <c r="DU326" s="1428"/>
      <c r="DV326" s="1428"/>
      <c r="DW326" s="1428"/>
      <c r="DX326" s="1428"/>
      <c r="DY326" s="1428"/>
      <c r="DZ326" s="1428"/>
      <c r="EA326" s="1428"/>
      <c r="EB326" s="1428"/>
      <c r="EC326" s="1428"/>
      <c r="ED326" s="1428"/>
      <c r="EE326" s="1428"/>
      <c r="EF326" s="1428"/>
      <c r="EG326" s="1428"/>
      <c r="EH326" s="1428"/>
      <c r="EI326" s="1428"/>
      <c r="EJ326" s="1428"/>
      <c r="EK326" s="1428"/>
      <c r="EL326" s="1428"/>
      <c r="EM326" s="1428"/>
      <c r="EN326" s="1428"/>
      <c r="EO326" s="1428"/>
      <c r="EP326" s="1428"/>
      <c r="EQ326" s="1428"/>
      <c r="ER326" s="1428"/>
      <c r="ES326" s="1428"/>
      <c r="ET326" s="1428"/>
      <c r="EU326" s="1428"/>
    </row>
    <row r="327" spans="1:151" s="1440" customFormat="1" ht="15" customHeight="1">
      <c r="A327" s="1834"/>
      <c r="B327" s="1764"/>
      <c r="C327" s="1849"/>
      <c r="D327" s="1849"/>
      <c r="E327" s="1764"/>
      <c r="F327" s="1801"/>
      <c r="G327" s="1801"/>
      <c r="H327" s="1764"/>
      <c r="I327" s="1801"/>
      <c r="J327" s="1801"/>
      <c r="K327" s="1764"/>
      <c r="M327" s="1720"/>
      <c r="N327" s="1847"/>
      <c r="O327" s="1430"/>
      <c r="P327" s="1430"/>
      <c r="Q327" s="1430"/>
      <c r="R327" s="1430"/>
      <c r="S327" s="1430"/>
      <c r="T327" s="1430"/>
      <c r="U327" s="1430"/>
      <c r="V327" s="1430"/>
      <c r="W327" s="1430"/>
      <c r="X327" s="1430"/>
      <c r="Y327" s="1430"/>
      <c r="Z327" s="1430"/>
      <c r="AA327" s="1430"/>
      <c r="AB327" s="1430"/>
      <c r="AC327" s="1430"/>
      <c r="AD327" s="1430"/>
      <c r="AE327" s="1430"/>
      <c r="AF327" s="1430"/>
      <c r="AG327" s="1430"/>
      <c r="AH327" s="1430"/>
      <c r="AI327" s="1430"/>
      <c r="AJ327" s="1430"/>
      <c r="AK327" s="1430"/>
      <c r="AL327" s="1430"/>
      <c r="AM327" s="1430"/>
      <c r="AN327" s="1430"/>
      <c r="AO327" s="1430"/>
      <c r="AP327" s="1430"/>
      <c r="AQ327" s="1430"/>
      <c r="AR327" s="1430"/>
      <c r="AS327" s="1430"/>
      <c r="AT327" s="1430"/>
      <c r="AU327" s="1430"/>
      <c r="AV327" s="1704"/>
      <c r="AW327" s="1430"/>
      <c r="AX327" s="1430"/>
      <c r="AY327" s="1430"/>
      <c r="AZ327" s="1430"/>
      <c r="BA327" s="1430"/>
      <c r="BB327" s="1430"/>
      <c r="BC327" s="1430"/>
      <c r="BD327" s="1475"/>
      <c r="BE327" s="1571" t="s">
        <v>1218</v>
      </c>
      <c r="BF327" s="1436">
        <v>22</v>
      </c>
      <c r="BG327" s="1436">
        <v>4</v>
      </c>
      <c r="BH327" s="1436">
        <v>4</v>
      </c>
      <c r="BI327" s="1495" t="b">
        <f t="shared" si="409"/>
        <v>1</v>
      </c>
      <c r="BJ327" s="1450" t="b">
        <f t="shared" si="443"/>
        <v>0</v>
      </c>
      <c r="BK327" s="1572">
        <f>IF(BJ327,BT$8,0)</f>
        <v>0</v>
      </c>
      <c r="BL327" s="1581">
        <f>IF(SUM(BL$324:BL326,BK327)&gt;$BT$4,0,BK327)</f>
        <v>0</v>
      </c>
      <c r="BM327" s="1436">
        <f t="shared" si="394"/>
        <v>0</v>
      </c>
      <c r="BN327" s="1495">
        <f t="shared" si="395"/>
        <v>0</v>
      </c>
      <c r="BO327" s="1437">
        <f t="shared" si="414"/>
        <v>0</v>
      </c>
      <c r="BP327" s="1762">
        <f t="shared" si="444"/>
        <v>0</v>
      </c>
      <c r="BQ327" s="1577">
        <f t="shared" si="445"/>
        <v>0</v>
      </c>
      <c r="BR327" s="1576">
        <f t="shared" si="396"/>
        <v>0</v>
      </c>
      <c r="BS327" s="1574">
        <f t="shared" si="446"/>
        <v>0</v>
      </c>
      <c r="BT327" s="1577">
        <f t="shared" si="447"/>
        <v>0</v>
      </c>
      <c r="BU327" s="1576">
        <f t="shared" si="397"/>
        <v>0</v>
      </c>
      <c r="BV327" s="1574">
        <f t="shared" si="448"/>
        <v>0</v>
      </c>
      <c r="BW327" s="1577">
        <f t="shared" si="449"/>
        <v>0</v>
      </c>
      <c r="BX327" s="1576">
        <f t="shared" si="398"/>
        <v>0</v>
      </c>
      <c r="BY327" s="1574">
        <f t="shared" si="450"/>
        <v>0</v>
      </c>
      <c r="BZ327" s="1577">
        <f t="shared" si="451"/>
        <v>0</v>
      </c>
      <c r="CA327" s="1576">
        <f t="shared" si="399"/>
        <v>0</v>
      </c>
      <c r="CB327" s="1495">
        <f t="shared" si="452"/>
        <v>0</v>
      </c>
      <c r="CC327" s="1577">
        <f t="shared" si="453"/>
        <v>0</v>
      </c>
      <c r="CD327" s="1576">
        <f t="shared" si="400"/>
        <v>0</v>
      </c>
      <c r="CE327" s="1495">
        <f t="shared" si="454"/>
        <v>0</v>
      </c>
      <c r="CF327" s="1577">
        <f t="shared" si="455"/>
        <v>0</v>
      </c>
      <c r="CG327" s="1576">
        <f t="shared" si="401"/>
        <v>0</v>
      </c>
      <c r="CH327" s="1495">
        <f t="shared" si="456"/>
        <v>0</v>
      </c>
      <c r="CI327" s="1577">
        <f t="shared" si="457"/>
        <v>0</v>
      </c>
      <c r="CJ327" s="1576">
        <f t="shared" si="402"/>
        <v>0</v>
      </c>
      <c r="CK327" s="1495">
        <f t="shared" si="458"/>
        <v>0</v>
      </c>
      <c r="CL327" s="1577">
        <f t="shared" si="459"/>
        <v>0</v>
      </c>
      <c r="CM327" s="1576">
        <f t="shared" si="403"/>
        <v>0</v>
      </c>
      <c r="CN327" s="1495">
        <f t="shared" si="460"/>
        <v>0</v>
      </c>
      <c r="CO327" s="1577">
        <f t="shared" si="461"/>
        <v>0</v>
      </c>
      <c r="CP327" s="1576">
        <f t="shared" si="404"/>
        <v>0</v>
      </c>
      <c r="CQ327" s="1495">
        <f t="shared" si="462"/>
        <v>0</v>
      </c>
      <c r="CR327" s="1577">
        <f t="shared" si="463"/>
        <v>0</v>
      </c>
      <c r="CS327" s="1576">
        <f t="shared" si="405"/>
        <v>0</v>
      </c>
      <c r="CT327" s="1495">
        <f t="shared" si="464"/>
        <v>0</v>
      </c>
      <c r="CU327" s="1577">
        <f t="shared" si="465"/>
        <v>0</v>
      </c>
      <c r="CV327" s="1576">
        <f t="shared" si="406"/>
        <v>0</v>
      </c>
      <c r="CW327" s="1495">
        <f t="shared" si="466"/>
        <v>0</v>
      </c>
      <c r="CX327" s="1577">
        <f t="shared" si="467"/>
        <v>0</v>
      </c>
      <c r="CY327" s="1576">
        <f t="shared" si="407"/>
        <v>0</v>
      </c>
      <c r="CZ327" s="1574">
        <f t="shared" si="408"/>
        <v>0</v>
      </c>
      <c r="DA327" s="1578">
        <f t="shared" si="410"/>
        <v>0</v>
      </c>
      <c r="DB327" s="1579">
        <f t="shared" si="411"/>
        <v>0</v>
      </c>
      <c r="DC327" s="1578">
        <f t="shared" si="412"/>
        <v>0</v>
      </c>
      <c r="DD327" s="1578">
        <f t="shared" si="412"/>
        <v>0</v>
      </c>
      <c r="DE327" s="1578">
        <f t="shared" si="412"/>
        <v>0</v>
      </c>
      <c r="DF327" s="1578">
        <f t="shared" si="413"/>
        <v>0</v>
      </c>
      <c r="DG327" s="1538"/>
      <c r="DH327" s="1538"/>
      <c r="DI327" s="1422"/>
      <c r="DJ327" s="1428"/>
      <c r="DK327" s="1428"/>
      <c r="DL327" s="1428"/>
      <c r="DM327" s="1428"/>
      <c r="DN327" s="1428"/>
      <c r="DO327" s="1428"/>
      <c r="DP327" s="1428"/>
      <c r="DQ327" s="1422"/>
      <c r="DR327" s="1428"/>
      <c r="DS327" s="1428"/>
      <c r="DT327" s="1428"/>
      <c r="DU327" s="1428"/>
      <c r="DV327" s="1428"/>
      <c r="DW327" s="1428"/>
      <c r="DX327" s="1428"/>
      <c r="DY327" s="1428"/>
      <c r="DZ327" s="1428"/>
      <c r="EA327" s="1428"/>
      <c r="EB327" s="1428"/>
      <c r="EC327" s="1428"/>
      <c r="ED327" s="1428"/>
      <c r="EE327" s="1428"/>
      <c r="EF327" s="1428"/>
      <c r="EG327" s="1428"/>
      <c r="EH327" s="1428"/>
      <c r="EI327" s="1428"/>
      <c r="EJ327" s="1428"/>
      <c r="EK327" s="1428"/>
      <c r="EL327" s="1428"/>
      <c r="EM327" s="1428"/>
      <c r="EN327" s="1428"/>
      <c r="EO327" s="1428"/>
      <c r="EP327" s="1428"/>
      <c r="EQ327" s="1428"/>
      <c r="ER327" s="1428"/>
      <c r="ES327" s="1428"/>
      <c r="ET327" s="1428"/>
      <c r="EU327" s="1428"/>
    </row>
    <row r="328" spans="1:151" s="1440" customFormat="1" ht="15" customHeight="1">
      <c r="A328" s="1834"/>
      <c r="B328" s="1736" t="s">
        <v>337</v>
      </c>
      <c r="C328" s="1736"/>
      <c r="D328" s="1736"/>
      <c r="E328" s="1764"/>
      <c r="F328" s="1736" t="s">
        <v>337</v>
      </c>
      <c r="G328" s="1736"/>
      <c r="H328" s="1736"/>
      <c r="I328" s="1801"/>
      <c r="J328" s="1736" t="s">
        <v>337</v>
      </c>
      <c r="K328" s="1736"/>
      <c r="L328" s="1736"/>
      <c r="M328" s="1720"/>
      <c r="N328" s="1847"/>
      <c r="O328" s="1430"/>
      <c r="P328" s="1430"/>
      <c r="Q328" s="1430"/>
      <c r="R328" s="1430"/>
      <c r="S328" s="1430"/>
      <c r="T328" s="1430"/>
      <c r="U328" s="1430"/>
      <c r="V328" s="1430"/>
      <c r="W328" s="1430"/>
      <c r="X328" s="1430"/>
      <c r="Y328" s="1430"/>
      <c r="Z328" s="1430"/>
      <c r="AA328" s="1430"/>
      <c r="AB328" s="1430"/>
      <c r="AC328" s="1430"/>
      <c r="AD328" s="1430"/>
      <c r="AE328" s="1430"/>
      <c r="AF328" s="1430"/>
      <c r="AG328" s="1430"/>
      <c r="AH328" s="1430"/>
      <c r="AI328" s="1430"/>
      <c r="AJ328" s="1430"/>
      <c r="AK328" s="1430"/>
      <c r="AL328" s="1430"/>
      <c r="AM328" s="1430"/>
      <c r="AN328" s="1430"/>
      <c r="AO328" s="1430"/>
      <c r="AP328" s="1430"/>
      <c r="AQ328" s="1430"/>
      <c r="AR328" s="1430"/>
      <c r="AS328" s="1430"/>
      <c r="AT328" s="1430"/>
      <c r="AU328" s="1430"/>
      <c r="AV328" s="1704"/>
      <c r="AW328" s="1430"/>
      <c r="AX328" s="1430"/>
      <c r="AY328" s="1430"/>
      <c r="AZ328" s="1430"/>
      <c r="BA328" s="1430"/>
      <c r="BB328" s="1430"/>
      <c r="BC328" s="1430"/>
      <c r="BD328" s="1475"/>
      <c r="BE328" s="1571" t="s">
        <v>1218</v>
      </c>
      <c r="BF328" s="1436">
        <v>22</v>
      </c>
      <c r="BG328" s="1436">
        <v>5</v>
      </c>
      <c r="BH328" s="1436">
        <v>5</v>
      </c>
      <c r="BI328" s="1495" t="b">
        <f t="shared" si="409"/>
        <v>1</v>
      </c>
      <c r="BJ328" s="1450" t="b">
        <f t="shared" si="443"/>
        <v>0</v>
      </c>
      <c r="BK328" s="1572">
        <f t="shared" ref="BK328:BK352" si="468">IF(BJ328,BT$8,0)</f>
        <v>0</v>
      </c>
      <c r="BL328" s="1581">
        <f>IF(SUM(BL$324:BL327,BK328)&gt;$BT$4,0,BK328)</f>
        <v>0</v>
      </c>
      <c r="BM328" s="1436">
        <f t="shared" si="394"/>
        <v>0</v>
      </c>
      <c r="BN328" s="1495">
        <f t="shared" si="395"/>
        <v>0</v>
      </c>
      <c r="BO328" s="1437">
        <f t="shared" si="414"/>
        <v>0</v>
      </c>
      <c r="BP328" s="1762">
        <f t="shared" si="444"/>
        <v>0</v>
      </c>
      <c r="BQ328" s="1577">
        <f t="shared" si="445"/>
        <v>0</v>
      </c>
      <c r="BR328" s="1576">
        <f t="shared" si="396"/>
        <v>0</v>
      </c>
      <c r="BS328" s="1574">
        <f t="shared" si="446"/>
        <v>0</v>
      </c>
      <c r="BT328" s="1577">
        <f t="shared" si="447"/>
        <v>0</v>
      </c>
      <c r="BU328" s="1576">
        <f t="shared" si="397"/>
        <v>0</v>
      </c>
      <c r="BV328" s="1574">
        <f t="shared" si="448"/>
        <v>0</v>
      </c>
      <c r="BW328" s="1577">
        <f t="shared" si="449"/>
        <v>0</v>
      </c>
      <c r="BX328" s="1576">
        <f t="shared" si="398"/>
        <v>0</v>
      </c>
      <c r="BY328" s="1574">
        <f t="shared" si="450"/>
        <v>0</v>
      </c>
      <c r="BZ328" s="1577">
        <f t="shared" si="451"/>
        <v>0</v>
      </c>
      <c r="CA328" s="1576">
        <f t="shared" si="399"/>
        <v>0</v>
      </c>
      <c r="CB328" s="1495">
        <f t="shared" si="452"/>
        <v>0</v>
      </c>
      <c r="CC328" s="1577">
        <f t="shared" si="453"/>
        <v>0</v>
      </c>
      <c r="CD328" s="1576">
        <f t="shared" si="400"/>
        <v>0</v>
      </c>
      <c r="CE328" s="1495">
        <f t="shared" si="454"/>
        <v>0</v>
      </c>
      <c r="CF328" s="1577">
        <f t="shared" si="455"/>
        <v>0</v>
      </c>
      <c r="CG328" s="1576">
        <f t="shared" si="401"/>
        <v>0</v>
      </c>
      <c r="CH328" s="1495">
        <f t="shared" si="456"/>
        <v>0</v>
      </c>
      <c r="CI328" s="1577">
        <f t="shared" si="457"/>
        <v>0</v>
      </c>
      <c r="CJ328" s="1576">
        <f t="shared" si="402"/>
        <v>0</v>
      </c>
      <c r="CK328" s="1495">
        <f t="shared" si="458"/>
        <v>0</v>
      </c>
      <c r="CL328" s="1577">
        <f t="shared" si="459"/>
        <v>0</v>
      </c>
      <c r="CM328" s="1576">
        <f t="shared" si="403"/>
        <v>0</v>
      </c>
      <c r="CN328" s="1495">
        <f t="shared" si="460"/>
        <v>0</v>
      </c>
      <c r="CO328" s="1577">
        <f t="shared" si="461"/>
        <v>0</v>
      </c>
      <c r="CP328" s="1576">
        <f t="shared" si="404"/>
        <v>0</v>
      </c>
      <c r="CQ328" s="1495">
        <f t="shared" si="462"/>
        <v>0</v>
      </c>
      <c r="CR328" s="1577">
        <f t="shared" si="463"/>
        <v>0</v>
      </c>
      <c r="CS328" s="1576">
        <f t="shared" si="405"/>
        <v>0</v>
      </c>
      <c r="CT328" s="1495">
        <f t="shared" si="464"/>
        <v>0</v>
      </c>
      <c r="CU328" s="1577">
        <f t="shared" si="465"/>
        <v>0</v>
      </c>
      <c r="CV328" s="1576">
        <f t="shared" si="406"/>
        <v>0</v>
      </c>
      <c r="CW328" s="1495">
        <f t="shared" si="466"/>
        <v>0</v>
      </c>
      <c r="CX328" s="1577">
        <f t="shared" si="467"/>
        <v>0</v>
      </c>
      <c r="CY328" s="1576">
        <f t="shared" si="407"/>
        <v>0</v>
      </c>
      <c r="CZ328" s="1574">
        <f t="shared" si="408"/>
        <v>0</v>
      </c>
      <c r="DA328" s="1578">
        <f t="shared" si="410"/>
        <v>0</v>
      </c>
      <c r="DB328" s="1579">
        <f t="shared" si="411"/>
        <v>0</v>
      </c>
      <c r="DC328" s="1578">
        <f t="shared" si="412"/>
        <v>0</v>
      </c>
      <c r="DD328" s="1578">
        <f t="shared" si="412"/>
        <v>0</v>
      </c>
      <c r="DE328" s="1578">
        <f t="shared" si="412"/>
        <v>0</v>
      </c>
      <c r="DF328" s="1578">
        <f>IF(DA328-(DE327+CZ328)&lt;0,0,DA328-(DE327+CZ328))</f>
        <v>0</v>
      </c>
      <c r="DG328" s="1538"/>
      <c r="DH328" s="1538"/>
      <c r="DI328" s="1422"/>
      <c r="DJ328" s="1428"/>
      <c r="DK328" s="1428"/>
      <c r="DL328" s="1428"/>
      <c r="DM328" s="1428"/>
      <c r="DN328" s="1428"/>
      <c r="DO328" s="1428"/>
      <c r="DP328" s="1428"/>
      <c r="DQ328" s="1422"/>
      <c r="DR328" s="1428"/>
      <c r="DS328" s="1428"/>
      <c r="DT328" s="1428"/>
      <c r="DU328" s="1428"/>
      <c r="DV328" s="1428"/>
      <c r="DW328" s="1428"/>
      <c r="DX328" s="1428"/>
      <c r="DY328" s="1428"/>
      <c r="DZ328" s="1428"/>
      <c r="EA328" s="1428"/>
      <c r="EB328" s="1428"/>
      <c r="EC328" s="1428"/>
      <c r="ED328" s="1428"/>
      <c r="EE328" s="1428"/>
      <c r="EF328" s="1428"/>
      <c r="EG328" s="1428"/>
      <c r="EH328" s="1428"/>
      <c r="EI328" s="1428"/>
      <c r="EJ328" s="1428"/>
      <c r="EK328" s="1428"/>
      <c r="EL328" s="1428"/>
      <c r="EM328" s="1428"/>
      <c r="EN328" s="1428"/>
      <c r="EO328" s="1428"/>
      <c r="EP328" s="1428"/>
      <c r="EQ328" s="1428"/>
      <c r="ER328" s="1428"/>
      <c r="ES328" s="1428"/>
      <c r="ET328" s="1428"/>
      <c r="EU328" s="1428"/>
    </row>
    <row r="329" spans="1:151" s="1440" customFormat="1" ht="15" customHeight="1">
      <c r="A329" s="1834"/>
      <c r="B329" s="2470" t="s">
        <v>2233</v>
      </c>
      <c r="C329" s="2470"/>
      <c r="D329" s="1601">
        <f>SUM(D337:D342)</f>
        <v>0</v>
      </c>
      <c r="E329" s="1764"/>
      <c r="F329" s="2470" t="s">
        <v>2233</v>
      </c>
      <c r="G329" s="2470"/>
      <c r="H329" s="1601">
        <f>D329</f>
        <v>0</v>
      </c>
      <c r="I329" s="1801"/>
      <c r="J329" s="2470" t="s">
        <v>2233</v>
      </c>
      <c r="K329" s="2470"/>
      <c r="L329" s="1601">
        <f>H329</f>
        <v>0</v>
      </c>
      <c r="M329" s="1720"/>
      <c r="N329" s="1430"/>
      <c r="O329" s="1430"/>
      <c r="P329" s="1430"/>
      <c r="Q329" s="1430"/>
      <c r="R329" s="1430"/>
      <c r="S329" s="1430"/>
      <c r="T329" s="1430"/>
      <c r="U329" s="1430"/>
      <c r="V329" s="1430"/>
      <c r="W329" s="1430"/>
      <c r="X329" s="1430"/>
      <c r="Y329" s="1430"/>
      <c r="Z329" s="1430"/>
      <c r="AA329" s="1430"/>
      <c r="AB329" s="1430"/>
      <c r="AC329" s="1430"/>
      <c r="AD329" s="1430"/>
      <c r="AE329" s="1430"/>
      <c r="AF329" s="1430"/>
      <c r="AG329" s="1430"/>
      <c r="AH329" s="1430"/>
      <c r="AI329" s="1430"/>
      <c r="AJ329" s="1430"/>
      <c r="AK329" s="1430"/>
      <c r="AL329" s="1430"/>
      <c r="AM329" s="1430"/>
      <c r="AN329" s="1430"/>
      <c r="AO329" s="1430"/>
      <c r="AP329" s="1430"/>
      <c r="AQ329" s="1430"/>
      <c r="AR329" s="1430"/>
      <c r="AS329" s="1430"/>
      <c r="AT329" s="1430"/>
      <c r="AU329" s="1430"/>
      <c r="AV329" s="1704"/>
      <c r="AW329" s="1430"/>
      <c r="AX329" s="1430"/>
      <c r="AY329" s="1430"/>
      <c r="AZ329" s="1430"/>
      <c r="BA329" s="1430"/>
      <c r="BB329" s="1430"/>
      <c r="BC329" s="1430"/>
      <c r="BD329" s="1475"/>
      <c r="BE329" s="1571" t="s">
        <v>1218</v>
      </c>
      <c r="BF329" s="1436">
        <v>22</v>
      </c>
      <c r="BG329" s="1436">
        <v>6</v>
      </c>
      <c r="BH329" s="1436">
        <v>6</v>
      </c>
      <c r="BI329" s="1495" t="b">
        <f t="shared" si="409"/>
        <v>0</v>
      </c>
      <c r="BJ329" s="1450" t="b">
        <f t="shared" si="443"/>
        <v>1</v>
      </c>
      <c r="BK329" s="1572">
        <f t="shared" si="468"/>
        <v>7.083333333333333</v>
      </c>
      <c r="BL329" s="1581">
        <f>IF(SUM(BL$324:BL328,BK329)&gt;$BT$4,0,BK329)</f>
        <v>7.083333333333333</v>
      </c>
      <c r="BM329" s="1436">
        <f t="shared" si="394"/>
        <v>0</v>
      </c>
      <c r="BN329" s="1495">
        <f t="shared" si="395"/>
        <v>0</v>
      </c>
      <c r="BO329" s="1437">
        <f t="shared" si="414"/>
        <v>0</v>
      </c>
      <c r="BP329" s="1762">
        <f t="shared" si="444"/>
        <v>0</v>
      </c>
      <c r="BQ329" s="1577">
        <f t="shared" si="445"/>
        <v>0</v>
      </c>
      <c r="BR329" s="1576">
        <f t="shared" si="396"/>
        <v>0</v>
      </c>
      <c r="BS329" s="1574">
        <f t="shared" si="446"/>
        <v>0</v>
      </c>
      <c r="BT329" s="1577">
        <f t="shared" si="447"/>
        <v>0</v>
      </c>
      <c r="BU329" s="1576">
        <f t="shared" si="397"/>
        <v>0</v>
      </c>
      <c r="BV329" s="1574">
        <f t="shared" si="448"/>
        <v>0</v>
      </c>
      <c r="BW329" s="1577">
        <f t="shared" si="449"/>
        <v>0</v>
      </c>
      <c r="BX329" s="1576">
        <f t="shared" si="398"/>
        <v>0</v>
      </c>
      <c r="BY329" s="1574">
        <f t="shared" si="450"/>
        <v>0</v>
      </c>
      <c r="BZ329" s="1577">
        <f t="shared" si="451"/>
        <v>0</v>
      </c>
      <c r="CA329" s="1576">
        <f t="shared" si="399"/>
        <v>0</v>
      </c>
      <c r="CB329" s="1495">
        <f t="shared" si="452"/>
        <v>0</v>
      </c>
      <c r="CC329" s="1577">
        <f t="shared" si="453"/>
        <v>0</v>
      </c>
      <c r="CD329" s="1576">
        <f t="shared" si="400"/>
        <v>0</v>
      </c>
      <c r="CE329" s="1495">
        <f t="shared" si="454"/>
        <v>0</v>
      </c>
      <c r="CF329" s="1577">
        <f t="shared" si="455"/>
        <v>0</v>
      </c>
      <c r="CG329" s="1576">
        <f t="shared" si="401"/>
        <v>0</v>
      </c>
      <c r="CH329" s="1495">
        <f t="shared" si="456"/>
        <v>0</v>
      </c>
      <c r="CI329" s="1577">
        <f t="shared" si="457"/>
        <v>0</v>
      </c>
      <c r="CJ329" s="1576">
        <f t="shared" si="402"/>
        <v>0</v>
      </c>
      <c r="CK329" s="1495">
        <f t="shared" si="458"/>
        <v>0</v>
      </c>
      <c r="CL329" s="1577">
        <f t="shared" si="459"/>
        <v>0</v>
      </c>
      <c r="CM329" s="1576">
        <f t="shared" si="403"/>
        <v>0</v>
      </c>
      <c r="CN329" s="1495">
        <f t="shared" si="460"/>
        <v>0</v>
      </c>
      <c r="CO329" s="1577">
        <f t="shared" si="461"/>
        <v>0</v>
      </c>
      <c r="CP329" s="1576">
        <f t="shared" si="404"/>
        <v>0</v>
      </c>
      <c r="CQ329" s="1495">
        <f t="shared" si="462"/>
        <v>0</v>
      </c>
      <c r="CR329" s="1577">
        <f t="shared" si="463"/>
        <v>0</v>
      </c>
      <c r="CS329" s="1576">
        <f t="shared" si="405"/>
        <v>0</v>
      </c>
      <c r="CT329" s="1495">
        <f t="shared" si="464"/>
        <v>0</v>
      </c>
      <c r="CU329" s="1577">
        <f t="shared" si="465"/>
        <v>0</v>
      </c>
      <c r="CV329" s="1576">
        <f t="shared" si="406"/>
        <v>0</v>
      </c>
      <c r="CW329" s="1495">
        <f t="shared" si="466"/>
        <v>0</v>
      </c>
      <c r="CX329" s="1577">
        <f t="shared" si="467"/>
        <v>0</v>
      </c>
      <c r="CY329" s="1576">
        <f t="shared" si="407"/>
        <v>0</v>
      </c>
      <c r="CZ329" s="1574">
        <f t="shared" si="408"/>
        <v>0</v>
      </c>
      <c r="DA329" s="1578">
        <f t="shared" si="410"/>
        <v>0</v>
      </c>
      <c r="DB329" s="1579">
        <f t="shared" si="411"/>
        <v>0</v>
      </c>
      <c r="DC329" s="1578">
        <f t="shared" si="412"/>
        <v>0</v>
      </c>
      <c r="DD329" s="1578">
        <f t="shared" si="412"/>
        <v>0</v>
      </c>
      <c r="DE329" s="1578">
        <f t="shared" si="412"/>
        <v>0</v>
      </c>
      <c r="DF329" s="1578">
        <f t="shared" si="413"/>
        <v>0</v>
      </c>
      <c r="DG329" s="1538"/>
      <c r="DH329" s="1538"/>
      <c r="DI329" s="1422"/>
      <c r="DJ329" s="1428"/>
      <c r="DK329" s="1428"/>
      <c r="DL329" s="1428"/>
      <c r="DM329" s="1428"/>
      <c r="DN329" s="1428"/>
      <c r="DO329" s="1428"/>
      <c r="DP329" s="1428"/>
      <c r="DQ329" s="1422"/>
      <c r="DR329" s="1428"/>
      <c r="DS329" s="1428"/>
      <c r="DT329" s="1428"/>
      <c r="DU329" s="1428"/>
      <c r="DV329" s="1428"/>
      <c r="DW329" s="1428"/>
      <c r="DX329" s="1428"/>
      <c r="DY329" s="1428"/>
      <c r="DZ329" s="1428"/>
      <c r="EA329" s="1428"/>
      <c r="EB329" s="1428"/>
      <c r="EC329" s="1428"/>
      <c r="ED329" s="1428"/>
      <c r="EE329" s="1428"/>
      <c r="EF329" s="1428"/>
      <c r="EG329" s="1428"/>
      <c r="EH329" s="1428"/>
      <c r="EI329" s="1428"/>
      <c r="EJ329" s="1428"/>
      <c r="EK329" s="1428"/>
      <c r="EL329" s="1428"/>
      <c r="EM329" s="1428"/>
      <c r="EN329" s="1428"/>
      <c r="EO329" s="1428"/>
      <c r="EP329" s="1428"/>
      <c r="EQ329" s="1428"/>
      <c r="ER329" s="1428"/>
      <c r="ES329" s="1428"/>
      <c r="ET329" s="1428"/>
      <c r="EU329" s="1428"/>
    </row>
    <row r="330" spans="1:151" s="1440" customFormat="1" ht="15" customHeight="1">
      <c r="A330" s="1603"/>
      <c r="B330" s="2470" t="str">
        <f>C311&amp;" demand of total"</f>
        <v>{Other Water Use 1} demand of total</v>
      </c>
      <c r="C330" s="2470"/>
      <c r="D330" s="1868" t="str">
        <f>IFERROR(D326/D329*O304,"-")</f>
        <v>-</v>
      </c>
      <c r="E330" s="1764"/>
      <c r="F330" s="2470" t="str">
        <f>G311&amp;" demand of total"</f>
        <v>{Other Water Use 2} demand of total</v>
      </c>
      <c r="G330" s="2470"/>
      <c r="H330" s="1868" t="str">
        <f>IFERROR(H326/H329*O304,"-")</f>
        <v>-</v>
      </c>
      <c r="I330" s="1869"/>
      <c r="J330" s="2470" t="str">
        <f>K311&amp;" demand of total"</f>
        <v>{Other Water Use 3} demand of total</v>
      </c>
      <c r="K330" s="2470"/>
      <c r="L330" s="1868" t="str">
        <f>IFERROR(L326/L329*O304,"-")</f>
        <v>-</v>
      </c>
      <c r="M330" s="1720"/>
      <c r="N330" s="1870" t="str">
        <f>B333</f>
        <v>Summary of Water Demands</v>
      </c>
      <c r="O330" s="1624"/>
      <c r="P330" s="1624"/>
      <c r="Q330" s="1624"/>
      <c r="R330" s="1624"/>
      <c r="S330" s="1624"/>
      <c r="T330" s="1624"/>
      <c r="U330" s="1624"/>
      <c r="V330" s="1624"/>
      <c r="W330" s="1624"/>
      <c r="X330" s="1624"/>
      <c r="Y330" s="1624"/>
      <c r="Z330" s="1624"/>
      <c r="AA330" s="1624"/>
      <c r="AB330" s="1624"/>
      <c r="AC330" s="1624"/>
      <c r="AD330" s="1624"/>
      <c r="AE330" s="1624"/>
      <c r="AF330" s="1624"/>
      <c r="AG330" s="1624"/>
      <c r="AH330" s="1624"/>
      <c r="AI330" s="1624"/>
      <c r="AJ330" s="1624"/>
      <c r="AK330" s="1624"/>
      <c r="AL330" s="1624"/>
      <c r="AM330" s="1624"/>
      <c r="AN330" s="1624"/>
      <c r="AO330" s="1624"/>
      <c r="AP330" s="1624"/>
      <c r="AQ330" s="1624"/>
      <c r="AR330" s="1624"/>
      <c r="AS330" s="1624"/>
      <c r="AT330" s="1624"/>
      <c r="AU330" s="1624"/>
      <c r="AV330" s="1624"/>
      <c r="AW330" s="1624"/>
      <c r="AX330" s="1624"/>
      <c r="AY330" s="1624"/>
      <c r="AZ330" s="1624"/>
      <c r="BA330" s="1624"/>
      <c r="BB330" s="1624"/>
      <c r="BC330" s="1624"/>
      <c r="BD330" s="1475"/>
      <c r="BE330" s="1571" t="s">
        <v>1218</v>
      </c>
      <c r="BF330" s="1436">
        <v>22</v>
      </c>
      <c r="BG330" s="1436">
        <v>7</v>
      </c>
      <c r="BH330" s="1436">
        <v>7</v>
      </c>
      <c r="BI330" s="1495" t="b">
        <f t="shared" si="409"/>
        <v>0</v>
      </c>
      <c r="BJ330" s="1450" t="b">
        <f t="shared" si="443"/>
        <v>0</v>
      </c>
      <c r="BK330" s="1572">
        <f t="shared" si="468"/>
        <v>0</v>
      </c>
      <c r="BL330" s="1581">
        <f>IF(SUM(BL$324:BL329,BK330)&gt;$BT$4,0,BK330)</f>
        <v>0</v>
      </c>
      <c r="BM330" s="1436">
        <f t="shared" si="394"/>
        <v>0</v>
      </c>
      <c r="BN330" s="1495">
        <f t="shared" si="395"/>
        <v>0</v>
      </c>
      <c r="BO330" s="1437">
        <f t="shared" si="414"/>
        <v>0</v>
      </c>
      <c r="BP330" s="1762">
        <f t="shared" si="444"/>
        <v>0</v>
      </c>
      <c r="BQ330" s="1577">
        <f t="shared" si="445"/>
        <v>0</v>
      </c>
      <c r="BR330" s="1576">
        <f t="shared" si="396"/>
        <v>0</v>
      </c>
      <c r="BS330" s="1574">
        <f t="shared" si="446"/>
        <v>0</v>
      </c>
      <c r="BT330" s="1577">
        <f t="shared" si="447"/>
        <v>0</v>
      </c>
      <c r="BU330" s="1576">
        <f t="shared" si="397"/>
        <v>0</v>
      </c>
      <c r="BV330" s="1574">
        <f t="shared" si="448"/>
        <v>0</v>
      </c>
      <c r="BW330" s="1577">
        <f t="shared" si="449"/>
        <v>0</v>
      </c>
      <c r="BX330" s="1576">
        <f t="shared" si="398"/>
        <v>0</v>
      </c>
      <c r="BY330" s="1574">
        <f t="shared" si="450"/>
        <v>0</v>
      </c>
      <c r="BZ330" s="1577">
        <f t="shared" si="451"/>
        <v>0</v>
      </c>
      <c r="CA330" s="1576">
        <f t="shared" si="399"/>
        <v>0</v>
      </c>
      <c r="CB330" s="1495">
        <f t="shared" si="452"/>
        <v>0</v>
      </c>
      <c r="CC330" s="1577">
        <f t="shared" si="453"/>
        <v>0</v>
      </c>
      <c r="CD330" s="1576">
        <f t="shared" si="400"/>
        <v>0</v>
      </c>
      <c r="CE330" s="1495">
        <f t="shared" si="454"/>
        <v>0</v>
      </c>
      <c r="CF330" s="1577">
        <f t="shared" si="455"/>
        <v>0</v>
      </c>
      <c r="CG330" s="1576">
        <f t="shared" si="401"/>
        <v>0</v>
      </c>
      <c r="CH330" s="1495">
        <f t="shared" si="456"/>
        <v>0</v>
      </c>
      <c r="CI330" s="1577">
        <f t="shared" si="457"/>
        <v>0</v>
      </c>
      <c r="CJ330" s="1576">
        <f t="shared" si="402"/>
        <v>0</v>
      </c>
      <c r="CK330" s="1495">
        <f t="shared" si="458"/>
        <v>0</v>
      </c>
      <c r="CL330" s="1577">
        <f t="shared" si="459"/>
        <v>0</v>
      </c>
      <c r="CM330" s="1576">
        <f t="shared" si="403"/>
        <v>0</v>
      </c>
      <c r="CN330" s="1495">
        <f t="shared" si="460"/>
        <v>0</v>
      </c>
      <c r="CO330" s="1577">
        <f t="shared" si="461"/>
        <v>0</v>
      </c>
      <c r="CP330" s="1576">
        <f t="shared" si="404"/>
        <v>0</v>
      </c>
      <c r="CQ330" s="1495">
        <f t="shared" si="462"/>
        <v>0</v>
      </c>
      <c r="CR330" s="1577">
        <f t="shared" si="463"/>
        <v>0</v>
      </c>
      <c r="CS330" s="1576">
        <f t="shared" si="405"/>
        <v>0</v>
      </c>
      <c r="CT330" s="1495">
        <f t="shared" si="464"/>
        <v>0</v>
      </c>
      <c r="CU330" s="1577">
        <f t="shared" si="465"/>
        <v>0</v>
      </c>
      <c r="CV330" s="1576">
        <f t="shared" si="406"/>
        <v>0</v>
      </c>
      <c r="CW330" s="1495">
        <f t="shared" si="466"/>
        <v>0</v>
      </c>
      <c r="CX330" s="1577">
        <f t="shared" si="467"/>
        <v>0</v>
      </c>
      <c r="CY330" s="1576">
        <f t="shared" si="407"/>
        <v>0</v>
      </c>
      <c r="CZ330" s="1574">
        <f t="shared" si="408"/>
        <v>0</v>
      </c>
      <c r="DA330" s="1578">
        <f t="shared" si="410"/>
        <v>0</v>
      </c>
      <c r="DB330" s="1579">
        <f t="shared" si="411"/>
        <v>0</v>
      </c>
      <c r="DC330" s="1578">
        <f t="shared" si="412"/>
        <v>0</v>
      </c>
      <c r="DD330" s="1578">
        <f t="shared" si="412"/>
        <v>0</v>
      </c>
      <c r="DE330" s="1578">
        <f t="shared" si="412"/>
        <v>0</v>
      </c>
      <c r="DF330" s="1578">
        <f t="shared" si="413"/>
        <v>0</v>
      </c>
      <c r="DG330" s="1538"/>
      <c r="DH330" s="1538"/>
      <c r="DI330" s="1422"/>
      <c r="DJ330" s="1428"/>
      <c r="DK330" s="1428"/>
      <c r="DL330" s="1428"/>
      <c r="DM330" s="1428"/>
      <c r="DN330" s="1428"/>
      <c r="DO330" s="1428"/>
      <c r="DP330" s="1428"/>
      <c r="DQ330" s="1422"/>
      <c r="DR330" s="1428"/>
      <c r="DS330" s="1428"/>
      <c r="DT330" s="1428"/>
      <c r="DU330" s="1428"/>
      <c r="DV330" s="1428"/>
      <c r="DW330" s="1428"/>
      <c r="DX330" s="1428"/>
      <c r="DY330" s="1428"/>
      <c r="DZ330" s="1428"/>
      <c r="EA330" s="1428"/>
      <c r="EB330" s="1428"/>
      <c r="EC330" s="1428"/>
      <c r="ED330" s="1428"/>
      <c r="EE330" s="1428"/>
      <c r="EF330" s="1428"/>
      <c r="EG330" s="1428"/>
      <c r="EH330" s="1428"/>
      <c r="EI330" s="1428"/>
      <c r="EJ330" s="1428"/>
      <c r="EK330" s="1428"/>
      <c r="EL330" s="1428"/>
      <c r="EM330" s="1428"/>
      <c r="EN330" s="1428"/>
      <c r="EO330" s="1428"/>
      <c r="EP330" s="1428"/>
      <c r="EQ330" s="1428"/>
      <c r="ER330" s="1428"/>
      <c r="ES330" s="1428"/>
      <c r="ET330" s="1428"/>
      <c r="EU330" s="1428"/>
    </row>
    <row r="331" spans="1:151" s="1440" customFormat="1" ht="15" customHeight="1">
      <c r="A331" s="1603"/>
      <c r="B331" s="2462" t="str">
        <f>IF(D330&gt;=N306,N310,N311)</f>
        <v>Notional Building demand &gt; 3% of total.  Demand included</v>
      </c>
      <c r="C331" s="2462"/>
      <c r="D331" s="2462"/>
      <c r="E331" s="1764"/>
      <c r="F331" s="2462" t="str">
        <f>IF(H330&gt;=N306,N310,N311)</f>
        <v>Notional Building demand &gt; 3% of total.  Demand included</v>
      </c>
      <c r="G331" s="2462"/>
      <c r="H331" s="2462"/>
      <c r="I331" s="1801"/>
      <c r="J331" s="2462" t="str">
        <f>IF(L330&gt;=N306,N310,N311)</f>
        <v>Notional Building demand &gt; 3% of total.  Demand included</v>
      </c>
      <c r="K331" s="2462"/>
      <c r="L331" s="2462"/>
      <c r="M331" s="1720"/>
      <c r="N331" s="1430"/>
      <c r="O331" s="1430"/>
      <c r="P331" s="1430"/>
      <c r="Q331" s="2463" t="str">
        <f>$Q$193</f>
        <v>Actual building</v>
      </c>
      <c r="R331" s="2463"/>
      <c r="S331" s="2463"/>
      <c r="T331" s="2463"/>
      <c r="U331" s="2463"/>
      <c r="V331" s="2463"/>
      <c r="W331" s="2463"/>
      <c r="X331" s="2463"/>
      <c r="Y331" s="2463"/>
      <c r="Z331" s="2463"/>
      <c r="AA331" s="2463"/>
      <c r="AB331" s="2463"/>
      <c r="AC331" s="2463"/>
      <c r="AD331" s="2463"/>
      <c r="AE331" s="2463"/>
      <c r="AF331" s="1430"/>
      <c r="AG331" s="2464" t="str">
        <f>$AI$193</f>
        <v>Notional building</v>
      </c>
      <c r="AH331" s="2464"/>
      <c r="AI331" s="2464"/>
      <c r="AJ331" s="2464"/>
      <c r="AK331" s="2464"/>
      <c r="AL331" s="2464"/>
      <c r="AM331" s="2464"/>
      <c r="AN331" s="2464"/>
      <c r="AO331" s="2464"/>
      <c r="AP331" s="2464"/>
      <c r="AQ331" s="2464"/>
      <c r="AR331" s="2464"/>
      <c r="AS331" s="2464"/>
      <c r="AT331" s="2464"/>
      <c r="AU331" s="2464"/>
      <c r="AV331" s="2464"/>
      <c r="AW331" s="1430"/>
      <c r="AX331" s="1430"/>
      <c r="AY331" s="1430"/>
      <c r="AZ331" s="1430"/>
      <c r="BA331" s="1430"/>
      <c r="BB331" s="1430"/>
      <c r="BC331" s="1430"/>
      <c r="BD331" s="1475"/>
      <c r="BE331" s="1571" t="s">
        <v>1218</v>
      </c>
      <c r="BF331" s="1436">
        <v>22</v>
      </c>
      <c r="BG331" s="1436">
        <v>8</v>
      </c>
      <c r="BH331" s="1436">
        <v>1</v>
      </c>
      <c r="BI331" s="1495" t="b">
        <f t="shared" si="409"/>
        <v>1</v>
      </c>
      <c r="BJ331" s="1450" t="b">
        <f t="shared" si="443"/>
        <v>0</v>
      </c>
      <c r="BK331" s="1572">
        <f t="shared" si="468"/>
        <v>0</v>
      </c>
      <c r="BL331" s="1581">
        <f>IF(SUM(BL$324:BL330,BK331)&gt;$BT$4,0,BK331)</f>
        <v>0</v>
      </c>
      <c r="BM331" s="1436">
        <f t="shared" si="394"/>
        <v>0</v>
      </c>
      <c r="BN331" s="1495">
        <f t="shared" si="395"/>
        <v>0</v>
      </c>
      <c r="BO331" s="1437">
        <f t="shared" si="414"/>
        <v>0</v>
      </c>
      <c r="BP331" s="1762">
        <f t="shared" si="444"/>
        <v>0</v>
      </c>
      <c r="BQ331" s="1577">
        <f t="shared" si="445"/>
        <v>0</v>
      </c>
      <c r="BR331" s="1576">
        <f t="shared" si="396"/>
        <v>0</v>
      </c>
      <c r="BS331" s="1574">
        <f t="shared" si="446"/>
        <v>0</v>
      </c>
      <c r="BT331" s="1577">
        <f t="shared" si="447"/>
        <v>0</v>
      </c>
      <c r="BU331" s="1576">
        <f t="shared" si="397"/>
        <v>0</v>
      </c>
      <c r="BV331" s="1574">
        <f t="shared" si="448"/>
        <v>0</v>
      </c>
      <c r="BW331" s="1577">
        <f t="shared" si="449"/>
        <v>0</v>
      </c>
      <c r="BX331" s="1576">
        <f t="shared" si="398"/>
        <v>0</v>
      </c>
      <c r="BY331" s="1574">
        <f t="shared" si="450"/>
        <v>0</v>
      </c>
      <c r="BZ331" s="1577">
        <f t="shared" si="451"/>
        <v>0</v>
      </c>
      <c r="CA331" s="1576">
        <f t="shared" si="399"/>
        <v>0</v>
      </c>
      <c r="CB331" s="1495">
        <f t="shared" si="452"/>
        <v>0</v>
      </c>
      <c r="CC331" s="1577">
        <f t="shared" si="453"/>
        <v>0</v>
      </c>
      <c r="CD331" s="1576">
        <f t="shared" si="400"/>
        <v>0</v>
      </c>
      <c r="CE331" s="1495">
        <f t="shared" si="454"/>
        <v>0</v>
      </c>
      <c r="CF331" s="1577">
        <f t="shared" si="455"/>
        <v>0</v>
      </c>
      <c r="CG331" s="1576">
        <f t="shared" si="401"/>
        <v>0</v>
      </c>
      <c r="CH331" s="1495">
        <f t="shared" si="456"/>
        <v>0</v>
      </c>
      <c r="CI331" s="1577">
        <f t="shared" si="457"/>
        <v>0</v>
      </c>
      <c r="CJ331" s="1576">
        <f t="shared" si="402"/>
        <v>0</v>
      </c>
      <c r="CK331" s="1495">
        <f t="shared" si="458"/>
        <v>0</v>
      </c>
      <c r="CL331" s="1577">
        <f t="shared" si="459"/>
        <v>0</v>
      </c>
      <c r="CM331" s="1576">
        <f t="shared" si="403"/>
        <v>0</v>
      </c>
      <c r="CN331" s="1495">
        <f t="shared" si="460"/>
        <v>0</v>
      </c>
      <c r="CO331" s="1577">
        <f t="shared" si="461"/>
        <v>0</v>
      </c>
      <c r="CP331" s="1576">
        <f t="shared" si="404"/>
        <v>0</v>
      </c>
      <c r="CQ331" s="1495">
        <f t="shared" si="462"/>
        <v>0</v>
      </c>
      <c r="CR331" s="1577">
        <f t="shared" si="463"/>
        <v>0</v>
      </c>
      <c r="CS331" s="1576">
        <f t="shared" si="405"/>
        <v>0</v>
      </c>
      <c r="CT331" s="1495">
        <f t="shared" si="464"/>
        <v>0</v>
      </c>
      <c r="CU331" s="1577">
        <f t="shared" si="465"/>
        <v>0</v>
      </c>
      <c r="CV331" s="1576">
        <f t="shared" si="406"/>
        <v>0</v>
      </c>
      <c r="CW331" s="1495">
        <f t="shared" si="466"/>
        <v>0</v>
      </c>
      <c r="CX331" s="1577">
        <f t="shared" si="467"/>
        <v>0</v>
      </c>
      <c r="CY331" s="1576">
        <f t="shared" si="407"/>
        <v>0</v>
      </c>
      <c r="CZ331" s="1574">
        <f t="shared" si="408"/>
        <v>0</v>
      </c>
      <c r="DA331" s="1578">
        <f t="shared" si="410"/>
        <v>0</v>
      </c>
      <c r="DB331" s="1579">
        <f t="shared" si="411"/>
        <v>0</v>
      </c>
      <c r="DC331" s="1578">
        <f t="shared" si="412"/>
        <v>0</v>
      </c>
      <c r="DD331" s="1578">
        <f t="shared" si="412"/>
        <v>0</v>
      </c>
      <c r="DE331" s="1578">
        <f t="shared" si="412"/>
        <v>0</v>
      </c>
      <c r="DF331" s="1578">
        <f t="shared" si="413"/>
        <v>0</v>
      </c>
      <c r="DG331" s="1538"/>
      <c r="DH331" s="1538"/>
      <c r="DI331" s="1422"/>
      <c r="DJ331" s="1428"/>
      <c r="DK331" s="1428"/>
      <c r="DL331" s="1428"/>
      <c r="DM331" s="1428"/>
      <c r="DN331" s="1428"/>
      <c r="DO331" s="1428"/>
      <c r="DP331" s="1428"/>
      <c r="DQ331" s="1422"/>
      <c r="DR331" s="1428"/>
      <c r="DS331" s="1428"/>
      <c r="DT331" s="1428"/>
      <c r="DU331" s="1428"/>
      <c r="DV331" s="1428"/>
      <c r="DW331" s="1428"/>
      <c r="DX331" s="1428"/>
      <c r="DY331" s="1428"/>
      <c r="DZ331" s="1428"/>
      <c r="EA331" s="1428"/>
      <c r="EB331" s="1428"/>
      <c r="EC331" s="1428"/>
      <c r="ED331" s="1428"/>
      <c r="EE331" s="1428"/>
      <c r="EF331" s="1428"/>
      <c r="EG331" s="1428"/>
      <c r="EH331" s="1428"/>
      <c r="EI331" s="1428"/>
      <c r="EJ331" s="1428"/>
      <c r="EK331" s="1428"/>
      <c r="EL331" s="1428"/>
      <c r="EM331" s="1428"/>
      <c r="EN331" s="1428"/>
      <c r="EO331" s="1428"/>
      <c r="EP331" s="1428"/>
      <c r="EQ331" s="1428"/>
      <c r="ER331" s="1428"/>
      <c r="ES331" s="1428"/>
      <c r="ET331" s="1428"/>
      <c r="EU331" s="1428"/>
    </row>
    <row r="332" spans="1:151" s="1440" customFormat="1" ht="15" customHeight="1">
      <c r="A332" s="1603"/>
      <c r="B332" s="1764" t="s">
        <v>2241</v>
      </c>
      <c r="F332" s="1764" t="s">
        <v>2241</v>
      </c>
      <c r="J332" s="1764" t="s">
        <v>2241</v>
      </c>
      <c r="K332" s="1720"/>
      <c r="L332" s="1720"/>
      <c r="M332" s="1720"/>
      <c r="N332" s="1430"/>
      <c r="O332" s="1430" t="s">
        <v>1845</v>
      </c>
      <c r="P332" s="1430"/>
      <c r="Q332" s="1430"/>
      <c r="R332" s="1430"/>
      <c r="S332" s="1430"/>
      <c r="T332" s="1430"/>
      <c r="U332" s="2465" t="s">
        <v>1473</v>
      </c>
      <c r="V332" s="2465"/>
      <c r="W332" s="2465"/>
      <c r="X332" s="1430" t="s">
        <v>2296</v>
      </c>
      <c r="Y332" s="1476" t="b">
        <f>O239</f>
        <v>0</v>
      </c>
      <c r="Z332" s="1476" t="b">
        <f>P258</f>
        <v>0</v>
      </c>
      <c r="AA332" s="1476" t="b">
        <f>P286</f>
        <v>0</v>
      </c>
      <c r="AB332" s="1430" t="b">
        <f>P314</f>
        <v>0</v>
      </c>
      <c r="AC332" s="1430" t="b">
        <f>P315</f>
        <v>0</v>
      </c>
      <c r="AD332" s="1430" t="b">
        <f>P316</f>
        <v>0</v>
      </c>
      <c r="AE332" s="1430"/>
      <c r="AF332" s="1430"/>
      <c r="AG332" s="1430"/>
      <c r="AH332" s="1430"/>
      <c r="AI332" s="1430"/>
      <c r="AJ332" s="1430"/>
      <c r="AK332" s="2465" t="s">
        <v>1473</v>
      </c>
      <c r="AL332" s="2465"/>
      <c r="AM332" s="2465"/>
      <c r="AN332" s="1430" t="s">
        <v>2298</v>
      </c>
      <c r="AO332" s="1476" t="b">
        <f>Y332</f>
        <v>0</v>
      </c>
      <c r="AP332" s="1476" t="b">
        <f>Z332</f>
        <v>0</v>
      </c>
      <c r="AQ332" s="1476" t="b">
        <f t="shared" ref="AQ332:AT333" si="469">AA332</f>
        <v>0</v>
      </c>
      <c r="AR332" s="1476" t="b">
        <f t="shared" si="469"/>
        <v>0</v>
      </c>
      <c r="AS332" s="1476" t="b">
        <f t="shared" si="469"/>
        <v>0</v>
      </c>
      <c r="AT332" s="1476" t="b">
        <f t="shared" si="469"/>
        <v>0</v>
      </c>
      <c r="AU332" s="1430"/>
      <c r="AV332" s="1430"/>
      <c r="AW332" s="1430"/>
      <c r="AX332" s="1430"/>
      <c r="AY332" s="1430"/>
      <c r="AZ332" s="1430"/>
      <c r="BA332" s="1430"/>
      <c r="BB332" s="1430"/>
      <c r="BC332" s="1430"/>
      <c r="BD332" s="1475"/>
      <c r="BE332" s="1571" t="s">
        <v>1218</v>
      </c>
      <c r="BF332" s="1436">
        <v>22</v>
      </c>
      <c r="BG332" s="1436">
        <v>9</v>
      </c>
      <c r="BH332" s="1436">
        <v>2</v>
      </c>
      <c r="BI332" s="1495" t="b">
        <f t="shared" si="409"/>
        <v>1</v>
      </c>
      <c r="BJ332" s="1450" t="b">
        <f t="shared" si="443"/>
        <v>1</v>
      </c>
      <c r="BK332" s="1572">
        <f t="shared" si="468"/>
        <v>7.083333333333333</v>
      </c>
      <c r="BL332" s="1581">
        <f>IF(SUM(BL$324:BL331,BK332)&gt;$BT$4,0,BK332)</f>
        <v>7.083333333333333</v>
      </c>
      <c r="BM332" s="1436">
        <f t="shared" si="394"/>
        <v>0</v>
      </c>
      <c r="BN332" s="1495">
        <f t="shared" si="395"/>
        <v>0</v>
      </c>
      <c r="BO332" s="1437">
        <f t="shared" si="414"/>
        <v>0</v>
      </c>
      <c r="BP332" s="1762">
        <f t="shared" si="444"/>
        <v>0</v>
      </c>
      <c r="BQ332" s="1577">
        <f t="shared" si="445"/>
        <v>0</v>
      </c>
      <c r="BR332" s="1576">
        <f t="shared" si="396"/>
        <v>0</v>
      </c>
      <c r="BS332" s="1574">
        <f t="shared" si="446"/>
        <v>0</v>
      </c>
      <c r="BT332" s="1577">
        <f t="shared" si="447"/>
        <v>0</v>
      </c>
      <c r="BU332" s="1576">
        <f t="shared" si="397"/>
        <v>0</v>
      </c>
      <c r="BV332" s="1574">
        <f t="shared" si="448"/>
        <v>0</v>
      </c>
      <c r="BW332" s="1577">
        <f t="shared" si="449"/>
        <v>0</v>
      </c>
      <c r="BX332" s="1576">
        <f t="shared" si="398"/>
        <v>0</v>
      </c>
      <c r="BY332" s="1574">
        <f t="shared" si="450"/>
        <v>0</v>
      </c>
      <c r="BZ332" s="1577">
        <f t="shared" si="451"/>
        <v>0</v>
      </c>
      <c r="CA332" s="1576">
        <f t="shared" si="399"/>
        <v>0</v>
      </c>
      <c r="CB332" s="1495">
        <f t="shared" si="452"/>
        <v>0</v>
      </c>
      <c r="CC332" s="1577">
        <f t="shared" si="453"/>
        <v>0</v>
      </c>
      <c r="CD332" s="1576">
        <f t="shared" si="400"/>
        <v>0</v>
      </c>
      <c r="CE332" s="1495">
        <f t="shared" si="454"/>
        <v>0</v>
      </c>
      <c r="CF332" s="1577">
        <f t="shared" si="455"/>
        <v>0</v>
      </c>
      <c r="CG332" s="1576">
        <f t="shared" si="401"/>
        <v>0</v>
      </c>
      <c r="CH332" s="1495">
        <f t="shared" si="456"/>
        <v>0</v>
      </c>
      <c r="CI332" s="1577">
        <f t="shared" si="457"/>
        <v>0</v>
      </c>
      <c r="CJ332" s="1576">
        <f t="shared" si="402"/>
        <v>0</v>
      </c>
      <c r="CK332" s="1495">
        <f t="shared" si="458"/>
        <v>0</v>
      </c>
      <c r="CL332" s="1577">
        <f t="shared" si="459"/>
        <v>0</v>
      </c>
      <c r="CM332" s="1576">
        <f t="shared" si="403"/>
        <v>0</v>
      </c>
      <c r="CN332" s="1495">
        <f t="shared" si="460"/>
        <v>0</v>
      </c>
      <c r="CO332" s="1577">
        <f t="shared" si="461"/>
        <v>0</v>
      </c>
      <c r="CP332" s="1576">
        <f t="shared" si="404"/>
        <v>0</v>
      </c>
      <c r="CQ332" s="1495">
        <f t="shared" si="462"/>
        <v>0</v>
      </c>
      <c r="CR332" s="1577">
        <f t="shared" si="463"/>
        <v>0</v>
      </c>
      <c r="CS332" s="1576">
        <f t="shared" si="405"/>
        <v>0</v>
      </c>
      <c r="CT332" s="1495">
        <f t="shared" si="464"/>
        <v>0</v>
      </c>
      <c r="CU332" s="1577">
        <f t="shared" si="465"/>
        <v>0</v>
      </c>
      <c r="CV332" s="1576">
        <f t="shared" si="406"/>
        <v>0</v>
      </c>
      <c r="CW332" s="1495">
        <f t="shared" si="466"/>
        <v>0</v>
      </c>
      <c r="CX332" s="1577">
        <f t="shared" si="467"/>
        <v>0</v>
      </c>
      <c r="CY332" s="1576">
        <f t="shared" si="407"/>
        <v>0</v>
      </c>
      <c r="CZ332" s="1574">
        <f t="shared" si="408"/>
        <v>0</v>
      </c>
      <c r="DA332" s="1578">
        <f t="shared" si="410"/>
        <v>0</v>
      </c>
      <c r="DB332" s="1579">
        <f t="shared" si="411"/>
        <v>0</v>
      </c>
      <c r="DC332" s="1578">
        <f t="shared" si="412"/>
        <v>0</v>
      </c>
      <c r="DD332" s="1578">
        <f t="shared" si="412"/>
        <v>0</v>
      </c>
      <c r="DE332" s="1578">
        <f t="shared" si="412"/>
        <v>0</v>
      </c>
      <c r="DF332" s="1578">
        <f t="shared" si="413"/>
        <v>0</v>
      </c>
      <c r="DG332" s="1538"/>
      <c r="DH332" s="1538"/>
      <c r="DI332" s="1422"/>
      <c r="DJ332" s="1428"/>
      <c r="DK332" s="1428"/>
      <c r="DL332" s="1428"/>
      <c r="DM332" s="1428"/>
      <c r="DN332" s="1428"/>
      <c r="DO332" s="1428"/>
      <c r="DP332" s="1428"/>
      <c r="DQ332" s="1422"/>
      <c r="DR332" s="1428"/>
      <c r="DS332" s="1428"/>
      <c r="DT332" s="1428"/>
      <c r="DU332" s="1428"/>
      <c r="DV332" s="1428"/>
      <c r="DW332" s="1428"/>
      <c r="DX332" s="1428"/>
      <c r="DY332" s="1428"/>
      <c r="DZ332" s="1428"/>
      <c r="EA332" s="1428"/>
      <c r="EB332" s="1428"/>
      <c r="EC332" s="1428"/>
      <c r="ED332" s="1428"/>
      <c r="EE332" s="1428"/>
      <c r="EF332" s="1428"/>
      <c r="EG332" s="1428"/>
      <c r="EH332" s="1428"/>
      <c r="EI332" s="1428"/>
      <c r="EJ332" s="1428"/>
      <c r="EK332" s="1428"/>
      <c r="EL332" s="1428"/>
      <c r="EM332" s="1428"/>
      <c r="EN332" s="1428"/>
      <c r="EO332" s="1428"/>
      <c r="EP332" s="1428"/>
      <c r="EQ332" s="1428"/>
      <c r="ER332" s="1428"/>
      <c r="ES332" s="1428"/>
      <c r="ET332" s="1428"/>
      <c r="EU332" s="1428"/>
    </row>
    <row r="333" spans="1:151" s="1440" customFormat="1" ht="15" customHeight="1">
      <c r="A333" s="1603"/>
      <c r="B333" s="1871" t="s">
        <v>1844</v>
      </c>
      <c r="C333" s="1624"/>
      <c r="D333" s="1624"/>
      <c r="E333" s="1624"/>
      <c r="F333" s="1624"/>
      <c r="G333" s="1624"/>
      <c r="H333" s="1624"/>
      <c r="I333" s="1624"/>
      <c r="J333" s="1624"/>
      <c r="K333" s="1624"/>
      <c r="L333" s="1624"/>
      <c r="M333" s="1624"/>
      <c r="N333" s="1430"/>
      <c r="O333" s="1422"/>
      <c r="P333" s="1429" t="s">
        <v>1970</v>
      </c>
      <c r="Q333" s="1429" t="s">
        <v>1408</v>
      </c>
      <c r="R333" s="1429" t="s">
        <v>1624</v>
      </c>
      <c r="S333" s="1429" t="s">
        <v>1541</v>
      </c>
      <c r="T333" s="1429" t="s">
        <v>1542</v>
      </c>
      <c r="U333" s="1429" t="s">
        <v>1846</v>
      </c>
      <c r="V333" s="1429" t="s">
        <v>1847</v>
      </c>
      <c r="W333" s="1429" t="s">
        <v>261</v>
      </c>
      <c r="X333" s="1429" t="s">
        <v>459</v>
      </c>
      <c r="Y333" s="1872" t="s">
        <v>1543</v>
      </c>
      <c r="Z333" s="1872" t="s">
        <v>2299</v>
      </c>
      <c r="AA333" s="1872" t="s">
        <v>2300</v>
      </c>
      <c r="AB333" s="1872" t="str">
        <f>B346</f>
        <v>{Other Water Use 1}</v>
      </c>
      <c r="AC333" s="1872" t="str">
        <f>B347</f>
        <v>{Other Water Use 2}</v>
      </c>
      <c r="AD333" s="1872" t="str">
        <f>B348</f>
        <v>{Other Water Use 3}</v>
      </c>
      <c r="AE333" s="1429" t="s">
        <v>261</v>
      </c>
      <c r="AF333" s="1430"/>
      <c r="AG333" s="1429" t="str">
        <f>Q333</f>
        <v>Toilet</v>
      </c>
      <c r="AH333" s="1429" t="str">
        <f>R333</f>
        <v>Urinal</v>
      </c>
      <c r="AI333" s="1429" t="str">
        <f t="shared" ref="AI333:AR333" si="470">S333</f>
        <v>Indoor taps</v>
      </c>
      <c r="AJ333" s="1429" t="str">
        <f t="shared" si="470"/>
        <v>Showers</v>
      </c>
      <c r="AK333" s="1429" t="str">
        <f t="shared" si="470"/>
        <v>Evaporation &amp; Drift</v>
      </c>
      <c r="AL333" s="1429" t="str">
        <f t="shared" si="470"/>
        <v>Bleed</v>
      </c>
      <c r="AM333" s="1429" t="str">
        <f t="shared" si="470"/>
        <v>TOTAL</v>
      </c>
      <c r="AN333" s="1429" t="str">
        <f t="shared" si="470"/>
        <v>Irrigation</v>
      </c>
      <c r="AO333" s="1429" t="str">
        <f t="shared" si="470"/>
        <v>Swimming Pool</v>
      </c>
      <c r="AP333" s="1429" t="str">
        <f t="shared" si="470"/>
        <v>Laundry Facilities</v>
      </c>
      <c r="AQ333" s="1429" t="str">
        <f t="shared" si="470"/>
        <v>Large Kitchens</v>
      </c>
      <c r="AR333" s="1429" t="str">
        <f t="shared" si="470"/>
        <v>{Other Water Use 1}</v>
      </c>
      <c r="AS333" s="1429" t="str">
        <f t="shared" si="469"/>
        <v>{Other Water Use 2}</v>
      </c>
      <c r="AT333" s="1429" t="str">
        <f t="shared" si="469"/>
        <v>{Other Water Use 3}</v>
      </c>
      <c r="AU333" s="1429" t="s">
        <v>261</v>
      </c>
      <c r="AV333" s="1430"/>
      <c r="AW333" s="1430"/>
      <c r="AX333" s="1430"/>
      <c r="AY333" s="1430"/>
      <c r="AZ333" s="1430"/>
      <c r="BA333" s="1430"/>
      <c r="BB333" s="1430"/>
      <c r="BC333" s="1430"/>
      <c r="BD333" s="1475"/>
      <c r="BE333" s="1571" t="s">
        <v>1218</v>
      </c>
      <c r="BF333" s="1436">
        <v>22</v>
      </c>
      <c r="BG333" s="1436">
        <v>10</v>
      </c>
      <c r="BH333" s="1436">
        <v>3</v>
      </c>
      <c r="BI333" s="1495" t="b">
        <f t="shared" si="409"/>
        <v>1</v>
      </c>
      <c r="BJ333" s="1450" t="b">
        <f t="shared" si="443"/>
        <v>0</v>
      </c>
      <c r="BK333" s="1572">
        <f t="shared" si="468"/>
        <v>0</v>
      </c>
      <c r="BL333" s="1581">
        <f>IF(SUM(BL$324:BL332,BK333)&gt;$BT$4,0,BK333)</f>
        <v>0</v>
      </c>
      <c r="BM333" s="1436">
        <f t="shared" si="394"/>
        <v>0</v>
      </c>
      <c r="BN333" s="1495">
        <f t="shared" si="395"/>
        <v>0</v>
      </c>
      <c r="BO333" s="1437">
        <f t="shared" si="414"/>
        <v>0</v>
      </c>
      <c r="BP333" s="1762">
        <f t="shared" si="444"/>
        <v>0</v>
      </c>
      <c r="BQ333" s="1577">
        <f t="shared" si="445"/>
        <v>0</v>
      </c>
      <c r="BR333" s="1576">
        <f t="shared" si="396"/>
        <v>0</v>
      </c>
      <c r="BS333" s="1574">
        <f t="shared" si="446"/>
        <v>0</v>
      </c>
      <c r="BT333" s="1577">
        <f t="shared" si="447"/>
        <v>0</v>
      </c>
      <c r="BU333" s="1576">
        <f t="shared" si="397"/>
        <v>0</v>
      </c>
      <c r="BV333" s="1574">
        <f t="shared" si="448"/>
        <v>0</v>
      </c>
      <c r="BW333" s="1577">
        <f t="shared" si="449"/>
        <v>0</v>
      </c>
      <c r="BX333" s="1576">
        <f t="shared" si="398"/>
        <v>0</v>
      </c>
      <c r="BY333" s="1574">
        <f t="shared" si="450"/>
        <v>0</v>
      </c>
      <c r="BZ333" s="1577">
        <f t="shared" si="451"/>
        <v>0</v>
      </c>
      <c r="CA333" s="1576">
        <f t="shared" si="399"/>
        <v>0</v>
      </c>
      <c r="CB333" s="1495">
        <f t="shared" si="452"/>
        <v>0</v>
      </c>
      <c r="CC333" s="1577">
        <f t="shared" si="453"/>
        <v>0</v>
      </c>
      <c r="CD333" s="1576">
        <f t="shared" si="400"/>
        <v>0</v>
      </c>
      <c r="CE333" s="1495">
        <f t="shared" si="454"/>
        <v>0</v>
      </c>
      <c r="CF333" s="1577">
        <f t="shared" si="455"/>
        <v>0</v>
      </c>
      <c r="CG333" s="1576">
        <f t="shared" si="401"/>
        <v>0</v>
      </c>
      <c r="CH333" s="1495">
        <f t="shared" si="456"/>
        <v>0</v>
      </c>
      <c r="CI333" s="1577">
        <f t="shared" si="457"/>
        <v>0</v>
      </c>
      <c r="CJ333" s="1576">
        <f t="shared" si="402"/>
        <v>0</v>
      </c>
      <c r="CK333" s="1495">
        <f t="shared" si="458"/>
        <v>0</v>
      </c>
      <c r="CL333" s="1577">
        <f t="shared" si="459"/>
        <v>0</v>
      </c>
      <c r="CM333" s="1576">
        <f t="shared" si="403"/>
        <v>0</v>
      </c>
      <c r="CN333" s="1495">
        <f t="shared" si="460"/>
        <v>0</v>
      </c>
      <c r="CO333" s="1577">
        <f t="shared" si="461"/>
        <v>0</v>
      </c>
      <c r="CP333" s="1576">
        <f t="shared" si="404"/>
        <v>0</v>
      </c>
      <c r="CQ333" s="1495">
        <f t="shared" si="462"/>
        <v>0</v>
      </c>
      <c r="CR333" s="1577">
        <f t="shared" si="463"/>
        <v>0</v>
      </c>
      <c r="CS333" s="1576">
        <f t="shared" si="405"/>
        <v>0</v>
      </c>
      <c r="CT333" s="1495">
        <f t="shared" si="464"/>
        <v>0</v>
      </c>
      <c r="CU333" s="1577">
        <f t="shared" si="465"/>
        <v>0</v>
      </c>
      <c r="CV333" s="1576">
        <f t="shared" si="406"/>
        <v>0</v>
      </c>
      <c r="CW333" s="1495">
        <f t="shared" si="466"/>
        <v>0</v>
      </c>
      <c r="CX333" s="1577">
        <f t="shared" si="467"/>
        <v>0</v>
      </c>
      <c r="CY333" s="1576">
        <f t="shared" si="407"/>
        <v>0</v>
      </c>
      <c r="CZ333" s="1574">
        <f t="shared" si="408"/>
        <v>0</v>
      </c>
      <c r="DA333" s="1578">
        <f t="shared" si="410"/>
        <v>0</v>
      </c>
      <c r="DB333" s="1579">
        <f t="shared" si="411"/>
        <v>0</v>
      </c>
      <c r="DC333" s="1578">
        <f t="shared" si="412"/>
        <v>0</v>
      </c>
      <c r="DD333" s="1578">
        <f t="shared" si="412"/>
        <v>0</v>
      </c>
      <c r="DE333" s="1578">
        <f t="shared" si="412"/>
        <v>0</v>
      </c>
      <c r="DF333" s="1578">
        <f t="shared" si="413"/>
        <v>0</v>
      </c>
      <c r="DG333" s="1538"/>
      <c r="DH333" s="1538"/>
      <c r="DI333" s="1422"/>
      <c r="DJ333" s="1428"/>
      <c r="DK333" s="1428"/>
      <c r="DL333" s="1428"/>
      <c r="DM333" s="1428"/>
      <c r="DN333" s="1428"/>
      <c r="DO333" s="1428"/>
      <c r="DP333" s="1428"/>
      <c r="DQ333" s="1422"/>
      <c r="DR333" s="1428"/>
      <c r="DS333" s="1428"/>
      <c r="DT333" s="1428"/>
      <c r="DU333" s="1428"/>
      <c r="DV333" s="1428"/>
      <c r="DW333" s="1428"/>
      <c r="DX333" s="1428"/>
      <c r="DY333" s="1428"/>
      <c r="DZ333" s="1428"/>
      <c r="EA333" s="1428"/>
      <c r="EB333" s="1428"/>
      <c r="EC333" s="1428"/>
      <c r="ED333" s="1428"/>
      <c r="EE333" s="1428"/>
      <c r="EF333" s="1428"/>
      <c r="EG333" s="1428"/>
      <c r="EH333" s="1428"/>
      <c r="EI333" s="1428"/>
      <c r="EJ333" s="1428"/>
      <c r="EK333" s="1428"/>
      <c r="EL333" s="1428"/>
      <c r="EM333" s="1428"/>
      <c r="EN333" s="1428"/>
      <c r="EO333" s="1428"/>
      <c r="EP333" s="1428"/>
      <c r="EQ333" s="1428"/>
      <c r="ER333" s="1428"/>
      <c r="ES333" s="1428"/>
      <c r="ET333" s="1428"/>
      <c r="EU333" s="1428"/>
    </row>
    <row r="334" spans="1:151" s="1440" customFormat="1" ht="15.75" customHeight="1">
      <c r="A334" s="1873"/>
      <c r="B334" s="1475"/>
      <c r="C334" s="1475"/>
      <c r="D334" s="1475"/>
      <c r="E334" s="1475"/>
      <c r="F334" s="1475"/>
      <c r="G334" s="1475"/>
      <c r="H334" s="1475"/>
      <c r="I334" s="1475"/>
      <c r="J334" s="1475"/>
      <c r="K334" s="1475"/>
      <c r="L334" s="1475"/>
      <c r="M334" s="1475"/>
      <c r="N334" s="1430"/>
      <c r="O334" s="1640" t="s">
        <v>800</v>
      </c>
      <c r="P334" s="1436">
        <f t="shared" ref="P334:P345" si="471">P205</f>
        <v>31</v>
      </c>
      <c r="Q334" s="1495">
        <f>'Potable Water Calculator'!$C$105/'Potable Water Calculator'!$P$346*'Potable Water Calculator'!$P334</f>
        <v>0</v>
      </c>
      <c r="R334" s="1495">
        <f>'Potable Water Calculator'!$C$106/'Potable Water Calculator'!$P$346*'Potable Water Calculator'!$P334</f>
        <v>0</v>
      </c>
      <c r="S334" s="1495">
        <f>'Potable Water Calculator'!$C$107/'Potable Water Calculator'!$P$346*'Potable Water Calculator'!$P334</f>
        <v>0</v>
      </c>
      <c r="T334" s="1495">
        <f>'Potable Water Calculator'!$C$108/'Potable Water Calculator'!$P$346*'Potable Water Calculator'!$P334</f>
        <v>0</v>
      </c>
      <c r="U334" s="1436">
        <f>('Potable Water Calculator'!P144+'Potable Water Calculator'!R144)/1000</f>
        <v>0</v>
      </c>
      <c r="V334" s="1436">
        <f>'Potable Water Calculator'!S144/1000</f>
        <v>0</v>
      </c>
      <c r="W334" s="1436">
        <f>V334+U334</f>
        <v>0</v>
      </c>
      <c r="X334" s="1436">
        <f t="shared" ref="X334:X345" si="472">AH205</f>
        <v>0</v>
      </c>
      <c r="Y334" s="1436">
        <f t="shared" ref="Y334:Y345" si="473">AB225+T225</f>
        <v>0</v>
      </c>
      <c r="Z334" s="1436">
        <f t="shared" ref="Z334:Z345" si="474">J259*Z$332</f>
        <v>0</v>
      </c>
      <c r="AA334" s="1436">
        <f t="shared" ref="AA334:AA345" si="475">J287*AA$332</f>
        <v>0</v>
      </c>
      <c r="AB334" s="1436">
        <f t="shared" ref="AB334:AB345" si="476">C314*AB$332</f>
        <v>0</v>
      </c>
      <c r="AC334" s="1436">
        <f t="shared" ref="AC334:AC345" si="477">G314*AC$332</f>
        <v>0</v>
      </c>
      <c r="AD334" s="1436">
        <f t="shared" ref="AD334:AD345" si="478">K314*AD$332</f>
        <v>0</v>
      </c>
      <c r="AE334" s="1436">
        <f>SUM(Q334:T334)+SUM(W334:AD334)</f>
        <v>0</v>
      </c>
      <c r="AF334" s="1430"/>
      <c r="AG334" s="1436">
        <f>'Potable Water Calculator'!$D$105/'Potable Water Calculator'!$P$346*'Potable Water Calculator'!$P334</f>
        <v>0</v>
      </c>
      <c r="AH334" s="1436">
        <f>'Potable Water Calculator'!$D$106/'Potable Water Calculator'!$P$346*'Potable Water Calculator'!$P334</f>
        <v>0</v>
      </c>
      <c r="AI334" s="1436">
        <f>'Potable Water Calculator'!$D$107/'Potable Water Calculator'!$P$346*'Potable Water Calculator'!$P334</f>
        <v>0</v>
      </c>
      <c r="AJ334" s="1436">
        <f>'Potable Water Calculator'!$D$108/'Potable Water Calculator'!$P$346*'Potable Water Calculator'!$P334</f>
        <v>0</v>
      </c>
      <c r="AK334" s="1436">
        <f>('Potable Water Calculator'!V144+'Potable Water Calculator'!X144)/1000</f>
        <v>0</v>
      </c>
      <c r="AL334" s="1436">
        <f>'Potable Water Calculator'!Y144/1000</f>
        <v>0</v>
      </c>
      <c r="AM334" s="1436">
        <f>AL334+AK334</f>
        <v>0</v>
      </c>
      <c r="AN334" s="1436">
        <f t="shared" ref="AN334:AN345" si="479">AN205</f>
        <v>0</v>
      </c>
      <c r="AO334" s="1436">
        <f t="shared" ref="AO334:AO345" si="480">$E$245/$P$346*P334</f>
        <v>0</v>
      </c>
      <c r="AP334" s="1436">
        <f t="shared" ref="AP334:AP345" si="481">K259*$AP$332</f>
        <v>0</v>
      </c>
      <c r="AQ334" s="1436">
        <f t="shared" ref="AQ334:AQ345" si="482">K287*$AQ$332</f>
        <v>0</v>
      </c>
      <c r="AR334" s="1436">
        <f t="shared" ref="AR334:AR345" si="483">D314*$AR$332</f>
        <v>0</v>
      </c>
      <c r="AS334" s="1436">
        <f t="shared" ref="AS334:AS345" si="484">H314*$AS$332</f>
        <v>0</v>
      </c>
      <c r="AT334" s="1436">
        <f t="shared" ref="AT334:AT345" si="485">L314*$AT$332</f>
        <v>0</v>
      </c>
      <c r="AU334" s="1436">
        <f>SUM(AG334:AJ334)+SUM(AM334:AT334)</f>
        <v>0</v>
      </c>
      <c r="AV334" s="1430"/>
      <c r="AW334" s="1430"/>
      <c r="AX334" s="1430"/>
      <c r="AY334" s="1430"/>
      <c r="AZ334" s="1430"/>
      <c r="BA334" s="1430"/>
      <c r="BB334" s="1430"/>
      <c r="BC334" s="1430"/>
      <c r="BD334" s="1475"/>
      <c r="BE334" s="1571" t="s">
        <v>1218</v>
      </c>
      <c r="BF334" s="1436">
        <v>22</v>
      </c>
      <c r="BG334" s="1436">
        <v>11</v>
      </c>
      <c r="BH334" s="1436">
        <v>4</v>
      </c>
      <c r="BI334" s="1495" t="b">
        <f t="shared" si="409"/>
        <v>1</v>
      </c>
      <c r="BJ334" s="1450" t="b">
        <f t="shared" si="443"/>
        <v>0</v>
      </c>
      <c r="BK334" s="1572">
        <f t="shared" si="468"/>
        <v>0</v>
      </c>
      <c r="BL334" s="1581">
        <f>IF(SUM(BL$324:BL333,BK334)&gt;$BT$4,0,BK334)</f>
        <v>0</v>
      </c>
      <c r="BM334" s="1436">
        <f t="shared" si="394"/>
        <v>0</v>
      </c>
      <c r="BN334" s="1495">
        <f t="shared" si="395"/>
        <v>0</v>
      </c>
      <c r="BO334" s="1437">
        <f t="shared" si="414"/>
        <v>0</v>
      </c>
      <c r="BP334" s="1762">
        <f t="shared" si="444"/>
        <v>0</v>
      </c>
      <c r="BQ334" s="1577">
        <f t="shared" si="445"/>
        <v>0</v>
      </c>
      <c r="BR334" s="1576">
        <f t="shared" si="396"/>
        <v>0</v>
      </c>
      <c r="BS334" s="1574">
        <f t="shared" si="446"/>
        <v>0</v>
      </c>
      <c r="BT334" s="1577">
        <f t="shared" si="447"/>
        <v>0</v>
      </c>
      <c r="BU334" s="1576">
        <f t="shared" si="397"/>
        <v>0</v>
      </c>
      <c r="BV334" s="1574">
        <f t="shared" si="448"/>
        <v>0</v>
      </c>
      <c r="BW334" s="1577">
        <f t="shared" si="449"/>
        <v>0</v>
      </c>
      <c r="BX334" s="1576">
        <f t="shared" si="398"/>
        <v>0</v>
      </c>
      <c r="BY334" s="1574">
        <f t="shared" si="450"/>
        <v>0</v>
      </c>
      <c r="BZ334" s="1577">
        <f t="shared" si="451"/>
        <v>0</v>
      </c>
      <c r="CA334" s="1576">
        <f t="shared" si="399"/>
        <v>0</v>
      </c>
      <c r="CB334" s="1495">
        <f t="shared" si="452"/>
        <v>0</v>
      </c>
      <c r="CC334" s="1577">
        <f t="shared" si="453"/>
        <v>0</v>
      </c>
      <c r="CD334" s="1576">
        <f t="shared" si="400"/>
        <v>0</v>
      </c>
      <c r="CE334" s="1495">
        <f t="shared" si="454"/>
        <v>0</v>
      </c>
      <c r="CF334" s="1577">
        <f t="shared" si="455"/>
        <v>0</v>
      </c>
      <c r="CG334" s="1576">
        <f t="shared" si="401"/>
        <v>0</v>
      </c>
      <c r="CH334" s="1495">
        <f t="shared" si="456"/>
        <v>0</v>
      </c>
      <c r="CI334" s="1577">
        <f t="shared" si="457"/>
        <v>0</v>
      </c>
      <c r="CJ334" s="1576">
        <f t="shared" si="402"/>
        <v>0</v>
      </c>
      <c r="CK334" s="1495">
        <f t="shared" si="458"/>
        <v>0</v>
      </c>
      <c r="CL334" s="1577">
        <f t="shared" si="459"/>
        <v>0</v>
      </c>
      <c r="CM334" s="1576">
        <f t="shared" si="403"/>
        <v>0</v>
      </c>
      <c r="CN334" s="1495">
        <f t="shared" si="460"/>
        <v>0</v>
      </c>
      <c r="CO334" s="1577">
        <f t="shared" si="461"/>
        <v>0</v>
      </c>
      <c r="CP334" s="1576">
        <f t="shared" si="404"/>
        <v>0</v>
      </c>
      <c r="CQ334" s="1495">
        <f t="shared" si="462"/>
        <v>0</v>
      </c>
      <c r="CR334" s="1577">
        <f t="shared" si="463"/>
        <v>0</v>
      </c>
      <c r="CS334" s="1576">
        <f t="shared" si="405"/>
        <v>0</v>
      </c>
      <c r="CT334" s="1495">
        <f t="shared" si="464"/>
        <v>0</v>
      </c>
      <c r="CU334" s="1577">
        <f t="shared" si="465"/>
        <v>0</v>
      </c>
      <c r="CV334" s="1576">
        <f t="shared" si="406"/>
        <v>0</v>
      </c>
      <c r="CW334" s="1495">
        <f t="shared" si="466"/>
        <v>0</v>
      </c>
      <c r="CX334" s="1577">
        <f t="shared" si="467"/>
        <v>0</v>
      </c>
      <c r="CY334" s="1576">
        <f t="shared" si="407"/>
        <v>0</v>
      </c>
      <c r="CZ334" s="1574">
        <f t="shared" si="408"/>
        <v>0</v>
      </c>
      <c r="DA334" s="1578">
        <f t="shared" si="410"/>
        <v>0</v>
      </c>
      <c r="DB334" s="1579">
        <f t="shared" si="411"/>
        <v>0</v>
      </c>
      <c r="DC334" s="1578">
        <f t="shared" si="412"/>
        <v>0</v>
      </c>
      <c r="DD334" s="1578">
        <f t="shared" si="412"/>
        <v>0</v>
      </c>
      <c r="DE334" s="1578">
        <f t="shared" si="412"/>
        <v>0</v>
      </c>
      <c r="DF334" s="1578">
        <f t="shared" si="413"/>
        <v>0</v>
      </c>
      <c r="DG334" s="1538"/>
      <c r="DH334" s="1538"/>
      <c r="DI334" s="1422"/>
      <c r="DJ334" s="1428"/>
      <c r="DK334" s="1428"/>
      <c r="DL334" s="1428"/>
      <c r="DM334" s="1428"/>
      <c r="DN334" s="1428"/>
      <c r="DO334" s="1428"/>
      <c r="DP334" s="1428"/>
      <c r="DQ334" s="1422"/>
      <c r="DR334" s="1428"/>
      <c r="DS334" s="1428"/>
      <c r="DT334" s="1428"/>
      <c r="DU334" s="1428"/>
      <c r="DV334" s="1428"/>
      <c r="DW334" s="1428"/>
      <c r="DX334" s="1428"/>
      <c r="DY334" s="1428"/>
      <c r="DZ334" s="1428"/>
      <c r="EA334" s="1428"/>
      <c r="EB334" s="1428"/>
      <c r="EC334" s="1428"/>
      <c r="ED334" s="1428"/>
      <c r="EE334" s="1428"/>
      <c r="EF334" s="1428"/>
      <c r="EG334" s="1428"/>
      <c r="EH334" s="1428"/>
      <c r="EI334" s="1428"/>
      <c r="EJ334" s="1428"/>
      <c r="EK334" s="1428"/>
      <c r="EL334" s="1428"/>
      <c r="EM334" s="1428"/>
      <c r="EN334" s="1428"/>
      <c r="EO334" s="1428"/>
      <c r="EP334" s="1428"/>
      <c r="EQ334" s="1428"/>
      <c r="ER334" s="1428"/>
      <c r="ES334" s="1428"/>
      <c r="ET334" s="1428"/>
      <c r="EU334" s="1428"/>
    </row>
    <row r="335" spans="1:151" s="1440" customFormat="1" ht="15.75" customHeight="1">
      <c r="A335" s="1587"/>
      <c r="B335" s="1475"/>
      <c r="C335" s="1475"/>
      <c r="D335" s="1475"/>
      <c r="E335" s="1475"/>
      <c r="F335" s="1475"/>
      <c r="G335" s="1475"/>
      <c r="H335" s="1475"/>
      <c r="I335" s="1475"/>
      <c r="J335" s="1475"/>
      <c r="K335" s="1475"/>
      <c r="L335" s="1475"/>
      <c r="M335" s="1475"/>
      <c r="N335" s="1430"/>
      <c r="O335" s="1640" t="s">
        <v>801</v>
      </c>
      <c r="P335" s="1436">
        <f t="shared" si="471"/>
        <v>28</v>
      </c>
      <c r="Q335" s="1495">
        <f>'Potable Water Calculator'!$C$105/'Potable Water Calculator'!$P$346*'Potable Water Calculator'!$P335</f>
        <v>0</v>
      </c>
      <c r="R335" s="1495">
        <f>'Potable Water Calculator'!$C$106/'Potable Water Calculator'!$P$346*'Potable Water Calculator'!$P335</f>
        <v>0</v>
      </c>
      <c r="S335" s="1495">
        <f>'Potable Water Calculator'!$C$107/'Potable Water Calculator'!$P$346*'Potable Water Calculator'!$P335</f>
        <v>0</v>
      </c>
      <c r="T335" s="1495">
        <f>'Potable Water Calculator'!$C$108/'Potable Water Calculator'!$P$346*'Potable Water Calculator'!$P335</f>
        <v>0</v>
      </c>
      <c r="U335" s="1436">
        <f>('Potable Water Calculator'!P145+'Potable Water Calculator'!R145)/1000</f>
        <v>0</v>
      </c>
      <c r="V335" s="1436">
        <f>'Potable Water Calculator'!S145/1000</f>
        <v>0</v>
      </c>
      <c r="W335" s="1436">
        <f t="shared" ref="W335:W340" si="486">V335+U335</f>
        <v>0</v>
      </c>
      <c r="X335" s="1436">
        <f t="shared" si="472"/>
        <v>0</v>
      </c>
      <c r="Y335" s="1436">
        <f t="shared" si="473"/>
        <v>0</v>
      </c>
      <c r="Z335" s="1436">
        <f t="shared" si="474"/>
        <v>0</v>
      </c>
      <c r="AA335" s="1436">
        <f t="shared" si="475"/>
        <v>0</v>
      </c>
      <c r="AB335" s="1436">
        <f t="shared" si="476"/>
        <v>0</v>
      </c>
      <c r="AC335" s="1436">
        <f t="shared" si="477"/>
        <v>0</v>
      </c>
      <c r="AD335" s="1436">
        <f t="shared" si="478"/>
        <v>0</v>
      </c>
      <c r="AE335" s="1436">
        <f t="shared" ref="AE335:AE345" si="487">SUM(Q335:T335)+SUM(W335:AD335)</f>
        <v>0</v>
      </c>
      <c r="AF335" s="1430"/>
      <c r="AG335" s="1436">
        <f>'Potable Water Calculator'!$D$105/'Potable Water Calculator'!$P$346*'Potable Water Calculator'!$P335</f>
        <v>0</v>
      </c>
      <c r="AH335" s="1436">
        <f>'Potable Water Calculator'!$D$106/'Potable Water Calculator'!$P$346*'Potable Water Calculator'!$P335</f>
        <v>0</v>
      </c>
      <c r="AI335" s="1436">
        <f>'Potable Water Calculator'!$D$107/'Potable Water Calculator'!$P$346*'Potable Water Calculator'!$P335</f>
        <v>0</v>
      </c>
      <c r="AJ335" s="1436">
        <f>'Potable Water Calculator'!$D$108/'Potable Water Calculator'!$P$346*'Potable Water Calculator'!$P335</f>
        <v>0</v>
      </c>
      <c r="AK335" s="1436">
        <f>('Potable Water Calculator'!V145+'Potable Water Calculator'!X145)/1000</f>
        <v>0</v>
      </c>
      <c r="AL335" s="1436">
        <f>'Potable Water Calculator'!Y145/1000</f>
        <v>0</v>
      </c>
      <c r="AM335" s="1436">
        <f t="shared" ref="AM335:AM340" si="488">AL335+AK335</f>
        <v>0</v>
      </c>
      <c r="AN335" s="1436">
        <f t="shared" si="479"/>
        <v>0</v>
      </c>
      <c r="AO335" s="1436">
        <f t="shared" si="480"/>
        <v>0</v>
      </c>
      <c r="AP335" s="1436">
        <f t="shared" si="481"/>
        <v>0</v>
      </c>
      <c r="AQ335" s="1436">
        <f t="shared" si="482"/>
        <v>0</v>
      </c>
      <c r="AR335" s="1436">
        <f t="shared" si="483"/>
        <v>0</v>
      </c>
      <c r="AS335" s="1436">
        <f t="shared" si="484"/>
        <v>0</v>
      </c>
      <c r="AT335" s="1436">
        <f t="shared" si="485"/>
        <v>0</v>
      </c>
      <c r="AU335" s="1436">
        <f t="shared" ref="AU335:AU345" si="489">SUM(AG335:AJ335)+SUM(AM335:AT335)</f>
        <v>0</v>
      </c>
      <c r="AV335" s="1430"/>
      <c r="AW335" s="1430"/>
      <c r="AX335" s="1430"/>
      <c r="AY335" s="1430"/>
      <c r="AZ335" s="1430"/>
      <c r="BA335" s="1430"/>
      <c r="BB335" s="1430"/>
      <c r="BC335" s="1430"/>
      <c r="BD335" s="1475"/>
      <c r="BE335" s="1571" t="s">
        <v>1218</v>
      </c>
      <c r="BF335" s="1436">
        <v>22</v>
      </c>
      <c r="BG335" s="1436">
        <v>12</v>
      </c>
      <c r="BH335" s="1436">
        <v>5</v>
      </c>
      <c r="BI335" s="1495" t="b">
        <f t="shared" si="409"/>
        <v>1</v>
      </c>
      <c r="BJ335" s="1450" t="b">
        <f t="shared" si="443"/>
        <v>1</v>
      </c>
      <c r="BK335" s="1572">
        <f t="shared" si="468"/>
        <v>7.083333333333333</v>
      </c>
      <c r="BL335" s="1581">
        <f>IF(SUM(BL$324:BL334,BK335)&gt;$BT$4,0,BK335)</f>
        <v>7.083333333333333</v>
      </c>
      <c r="BM335" s="1436">
        <f t="shared" si="394"/>
        <v>0</v>
      </c>
      <c r="BN335" s="1495">
        <f t="shared" si="395"/>
        <v>0</v>
      </c>
      <c r="BO335" s="1437">
        <f t="shared" si="414"/>
        <v>0</v>
      </c>
      <c r="BP335" s="1762">
        <f t="shared" si="444"/>
        <v>0</v>
      </c>
      <c r="BQ335" s="1577">
        <f t="shared" si="445"/>
        <v>0</v>
      </c>
      <c r="BR335" s="1576">
        <f t="shared" si="396"/>
        <v>0</v>
      </c>
      <c r="BS335" s="1574">
        <f t="shared" si="446"/>
        <v>0</v>
      </c>
      <c r="BT335" s="1577">
        <f t="shared" si="447"/>
        <v>0</v>
      </c>
      <c r="BU335" s="1576">
        <f t="shared" si="397"/>
        <v>0</v>
      </c>
      <c r="BV335" s="1574">
        <f t="shared" si="448"/>
        <v>0</v>
      </c>
      <c r="BW335" s="1577">
        <f t="shared" si="449"/>
        <v>0</v>
      </c>
      <c r="BX335" s="1576">
        <f t="shared" si="398"/>
        <v>0</v>
      </c>
      <c r="BY335" s="1574">
        <f t="shared" si="450"/>
        <v>0</v>
      </c>
      <c r="BZ335" s="1577">
        <f t="shared" si="451"/>
        <v>0</v>
      </c>
      <c r="CA335" s="1576">
        <f t="shared" si="399"/>
        <v>0</v>
      </c>
      <c r="CB335" s="1495">
        <f t="shared" si="452"/>
        <v>0</v>
      </c>
      <c r="CC335" s="1577">
        <f t="shared" si="453"/>
        <v>0</v>
      </c>
      <c r="CD335" s="1576">
        <f t="shared" si="400"/>
        <v>0</v>
      </c>
      <c r="CE335" s="1495">
        <f t="shared" si="454"/>
        <v>0</v>
      </c>
      <c r="CF335" s="1577">
        <f t="shared" si="455"/>
        <v>0</v>
      </c>
      <c r="CG335" s="1576">
        <f t="shared" si="401"/>
        <v>0</v>
      </c>
      <c r="CH335" s="1495">
        <f t="shared" si="456"/>
        <v>0</v>
      </c>
      <c r="CI335" s="1577">
        <f t="shared" si="457"/>
        <v>0</v>
      </c>
      <c r="CJ335" s="1576">
        <f t="shared" si="402"/>
        <v>0</v>
      </c>
      <c r="CK335" s="1495">
        <f t="shared" si="458"/>
        <v>0</v>
      </c>
      <c r="CL335" s="1577">
        <f t="shared" si="459"/>
        <v>0</v>
      </c>
      <c r="CM335" s="1576">
        <f t="shared" si="403"/>
        <v>0</v>
      </c>
      <c r="CN335" s="1495">
        <f t="shared" si="460"/>
        <v>0</v>
      </c>
      <c r="CO335" s="1577">
        <f t="shared" si="461"/>
        <v>0</v>
      </c>
      <c r="CP335" s="1576">
        <f t="shared" si="404"/>
        <v>0</v>
      </c>
      <c r="CQ335" s="1495">
        <f t="shared" si="462"/>
        <v>0</v>
      </c>
      <c r="CR335" s="1577">
        <f t="shared" si="463"/>
        <v>0</v>
      </c>
      <c r="CS335" s="1576">
        <f t="shared" si="405"/>
        <v>0</v>
      </c>
      <c r="CT335" s="1495">
        <f t="shared" si="464"/>
        <v>0</v>
      </c>
      <c r="CU335" s="1577">
        <f t="shared" si="465"/>
        <v>0</v>
      </c>
      <c r="CV335" s="1576">
        <f t="shared" si="406"/>
        <v>0</v>
      </c>
      <c r="CW335" s="1495">
        <f t="shared" si="466"/>
        <v>0</v>
      </c>
      <c r="CX335" s="1577">
        <f t="shared" si="467"/>
        <v>0</v>
      </c>
      <c r="CY335" s="1576">
        <f t="shared" si="407"/>
        <v>0</v>
      </c>
      <c r="CZ335" s="1574">
        <f t="shared" si="408"/>
        <v>0</v>
      </c>
      <c r="DA335" s="1578">
        <f t="shared" si="410"/>
        <v>0</v>
      </c>
      <c r="DB335" s="1579">
        <f t="shared" si="411"/>
        <v>0</v>
      </c>
      <c r="DC335" s="1578">
        <f t="shared" si="412"/>
        <v>0</v>
      </c>
      <c r="DD335" s="1578">
        <f t="shared" si="412"/>
        <v>0</v>
      </c>
      <c r="DE335" s="1578">
        <f t="shared" si="412"/>
        <v>0</v>
      </c>
      <c r="DF335" s="1578">
        <f t="shared" si="413"/>
        <v>0</v>
      </c>
      <c r="DG335" s="1538"/>
      <c r="DH335" s="1538"/>
      <c r="DI335" s="1422"/>
      <c r="DJ335" s="1428"/>
      <c r="DK335" s="1428"/>
      <c r="DL335" s="1428"/>
      <c r="DM335" s="1428"/>
      <c r="DN335" s="1428"/>
      <c r="DO335" s="1428"/>
      <c r="DP335" s="1428"/>
      <c r="DQ335" s="1422"/>
      <c r="DR335" s="1428"/>
      <c r="DS335" s="1428"/>
      <c r="DT335" s="1428"/>
      <c r="DU335" s="1428"/>
      <c r="DV335" s="1428"/>
      <c r="DW335" s="1428"/>
      <c r="DX335" s="1428"/>
      <c r="DY335" s="1428"/>
      <c r="DZ335" s="1428"/>
      <c r="EA335" s="1428"/>
      <c r="EB335" s="1428"/>
      <c r="EC335" s="1428"/>
      <c r="ED335" s="1428"/>
      <c r="EE335" s="1428"/>
      <c r="EF335" s="1428"/>
      <c r="EG335" s="1428"/>
      <c r="EH335" s="1428"/>
      <c r="EI335" s="1428"/>
      <c r="EJ335" s="1428"/>
      <c r="EK335" s="1428"/>
      <c r="EL335" s="1428"/>
      <c r="EM335" s="1428"/>
      <c r="EN335" s="1428"/>
      <c r="EO335" s="1428"/>
      <c r="EP335" s="1428"/>
      <c r="EQ335" s="1428"/>
      <c r="ER335" s="1428"/>
      <c r="ES335" s="1428"/>
      <c r="ET335" s="1428"/>
      <c r="EU335" s="1428"/>
    </row>
    <row r="336" spans="1:151" s="1440" customFormat="1" ht="15.75" customHeight="1">
      <c r="A336" s="1587"/>
      <c r="B336" s="1475"/>
      <c r="C336" s="1874" t="str">
        <f>$Q$193</f>
        <v>Actual building</v>
      </c>
      <c r="D336" s="1682" t="str">
        <f>$AI$193</f>
        <v>Notional building</v>
      </c>
      <c r="E336" s="1475"/>
      <c r="F336" s="1475"/>
      <c r="G336" s="1475"/>
      <c r="H336" s="1475"/>
      <c r="I336" s="1475"/>
      <c r="J336" s="1475"/>
      <c r="L336" s="1422"/>
      <c r="M336" s="1422"/>
      <c r="N336" s="1430"/>
      <c r="O336" s="1640" t="s">
        <v>881</v>
      </c>
      <c r="P336" s="1436">
        <f t="shared" si="471"/>
        <v>31</v>
      </c>
      <c r="Q336" s="1495">
        <f>'Potable Water Calculator'!$C$105/'Potable Water Calculator'!$P$346*'Potable Water Calculator'!$P336</f>
        <v>0</v>
      </c>
      <c r="R336" s="1495">
        <f>'Potable Water Calculator'!$C$106/'Potable Water Calculator'!$P$346*'Potable Water Calculator'!$P336</f>
        <v>0</v>
      </c>
      <c r="S336" s="1495">
        <f>'Potable Water Calculator'!$C$107/'Potable Water Calculator'!$P$346*'Potable Water Calculator'!$P336</f>
        <v>0</v>
      </c>
      <c r="T336" s="1495">
        <f>'Potable Water Calculator'!$C$108/'Potable Water Calculator'!$P$346*'Potable Water Calculator'!$P336</f>
        <v>0</v>
      </c>
      <c r="U336" s="1436">
        <f>('Potable Water Calculator'!P146+'Potable Water Calculator'!R146)/1000</f>
        <v>0</v>
      </c>
      <c r="V336" s="1436">
        <f>'Potable Water Calculator'!S146/1000</f>
        <v>0</v>
      </c>
      <c r="W336" s="1436">
        <f t="shared" si="486"/>
        <v>0</v>
      </c>
      <c r="X336" s="1436">
        <f t="shared" si="472"/>
        <v>0</v>
      </c>
      <c r="Y336" s="1436">
        <f t="shared" si="473"/>
        <v>0</v>
      </c>
      <c r="Z336" s="1436">
        <f t="shared" si="474"/>
        <v>0</v>
      </c>
      <c r="AA336" s="1436">
        <f t="shared" si="475"/>
        <v>0</v>
      </c>
      <c r="AB336" s="1436">
        <f t="shared" si="476"/>
        <v>0</v>
      </c>
      <c r="AC336" s="1436">
        <f t="shared" si="477"/>
        <v>0</v>
      </c>
      <c r="AD336" s="1436">
        <f t="shared" si="478"/>
        <v>0</v>
      </c>
      <c r="AE336" s="1436">
        <f t="shared" si="487"/>
        <v>0</v>
      </c>
      <c r="AF336" s="1430"/>
      <c r="AG336" s="1436">
        <f>'Potable Water Calculator'!$D$105/'Potable Water Calculator'!$P$346*'Potable Water Calculator'!$P336</f>
        <v>0</v>
      </c>
      <c r="AH336" s="1436">
        <f>'Potable Water Calculator'!$D$106/'Potable Water Calculator'!$P$346*'Potable Water Calculator'!$P336</f>
        <v>0</v>
      </c>
      <c r="AI336" s="1436">
        <f>'Potable Water Calculator'!$D$107/'Potable Water Calculator'!$P$346*'Potable Water Calculator'!$P336</f>
        <v>0</v>
      </c>
      <c r="AJ336" s="1436">
        <f>'Potable Water Calculator'!$D$108/'Potable Water Calculator'!$P$346*'Potable Water Calculator'!$P336</f>
        <v>0</v>
      </c>
      <c r="AK336" s="1436">
        <f>('Potable Water Calculator'!V146+'Potable Water Calculator'!X146)/1000</f>
        <v>0</v>
      </c>
      <c r="AL336" s="1436">
        <f>'Potable Water Calculator'!Y146/1000</f>
        <v>0</v>
      </c>
      <c r="AM336" s="1436">
        <f t="shared" si="488"/>
        <v>0</v>
      </c>
      <c r="AN336" s="1436">
        <f t="shared" si="479"/>
        <v>0</v>
      </c>
      <c r="AO336" s="1436">
        <f t="shared" si="480"/>
        <v>0</v>
      </c>
      <c r="AP336" s="1436">
        <f t="shared" si="481"/>
        <v>0</v>
      </c>
      <c r="AQ336" s="1436">
        <f t="shared" si="482"/>
        <v>0</v>
      </c>
      <c r="AR336" s="1436">
        <f t="shared" si="483"/>
        <v>0</v>
      </c>
      <c r="AS336" s="1436">
        <f t="shared" si="484"/>
        <v>0</v>
      </c>
      <c r="AT336" s="1436">
        <f t="shared" si="485"/>
        <v>0</v>
      </c>
      <c r="AU336" s="1436">
        <f t="shared" si="489"/>
        <v>0</v>
      </c>
      <c r="AV336" s="1430"/>
      <c r="AW336" s="1430"/>
      <c r="AX336" s="1430"/>
      <c r="AY336" s="1430"/>
      <c r="AZ336" s="1430"/>
      <c r="BA336" s="1430"/>
      <c r="BB336" s="1430"/>
      <c r="BC336" s="1430"/>
      <c r="BD336" s="1475"/>
      <c r="BE336" s="1571" t="s">
        <v>1218</v>
      </c>
      <c r="BF336" s="1436">
        <v>22</v>
      </c>
      <c r="BG336" s="1436">
        <v>13</v>
      </c>
      <c r="BH336" s="1436">
        <v>6</v>
      </c>
      <c r="BI336" s="1495" t="b">
        <f t="shared" si="409"/>
        <v>0</v>
      </c>
      <c r="BJ336" s="1450" t="b">
        <f t="shared" si="443"/>
        <v>0</v>
      </c>
      <c r="BK336" s="1572">
        <f t="shared" si="468"/>
        <v>0</v>
      </c>
      <c r="BL336" s="1581">
        <f>IF(SUM(BL$324:BL335,BK336)&gt;$BT$4,0,BK336)</f>
        <v>0</v>
      </c>
      <c r="BM336" s="1436">
        <f t="shared" si="394"/>
        <v>0</v>
      </c>
      <c r="BN336" s="1495">
        <f t="shared" si="395"/>
        <v>0</v>
      </c>
      <c r="BO336" s="1437">
        <f t="shared" si="414"/>
        <v>0</v>
      </c>
      <c r="BP336" s="1762">
        <f t="shared" si="444"/>
        <v>0</v>
      </c>
      <c r="BQ336" s="1577">
        <f t="shared" si="445"/>
        <v>0</v>
      </c>
      <c r="BR336" s="1576">
        <f t="shared" si="396"/>
        <v>0</v>
      </c>
      <c r="BS336" s="1574">
        <f t="shared" si="446"/>
        <v>0</v>
      </c>
      <c r="BT336" s="1577">
        <f t="shared" si="447"/>
        <v>0</v>
      </c>
      <c r="BU336" s="1576">
        <f t="shared" si="397"/>
        <v>0</v>
      </c>
      <c r="BV336" s="1574">
        <f t="shared" si="448"/>
        <v>0</v>
      </c>
      <c r="BW336" s="1577">
        <f t="shared" si="449"/>
        <v>0</v>
      </c>
      <c r="BX336" s="1576">
        <f t="shared" si="398"/>
        <v>0</v>
      </c>
      <c r="BY336" s="1574">
        <f t="shared" si="450"/>
        <v>0</v>
      </c>
      <c r="BZ336" s="1577">
        <f t="shared" si="451"/>
        <v>0</v>
      </c>
      <c r="CA336" s="1576">
        <f t="shared" si="399"/>
        <v>0</v>
      </c>
      <c r="CB336" s="1495">
        <f t="shared" si="452"/>
        <v>0</v>
      </c>
      <c r="CC336" s="1577">
        <f t="shared" si="453"/>
        <v>0</v>
      </c>
      <c r="CD336" s="1576">
        <f t="shared" si="400"/>
        <v>0</v>
      </c>
      <c r="CE336" s="1495">
        <f t="shared" si="454"/>
        <v>0</v>
      </c>
      <c r="CF336" s="1577">
        <f t="shared" si="455"/>
        <v>0</v>
      </c>
      <c r="CG336" s="1576">
        <f t="shared" si="401"/>
        <v>0</v>
      </c>
      <c r="CH336" s="1495">
        <f t="shared" si="456"/>
        <v>0</v>
      </c>
      <c r="CI336" s="1577">
        <f t="shared" si="457"/>
        <v>0</v>
      </c>
      <c r="CJ336" s="1576">
        <f t="shared" si="402"/>
        <v>0</v>
      </c>
      <c r="CK336" s="1495">
        <f t="shared" si="458"/>
        <v>0</v>
      </c>
      <c r="CL336" s="1577">
        <f t="shared" si="459"/>
        <v>0</v>
      </c>
      <c r="CM336" s="1576">
        <f t="shared" si="403"/>
        <v>0</v>
      </c>
      <c r="CN336" s="1495">
        <f t="shared" si="460"/>
        <v>0</v>
      </c>
      <c r="CO336" s="1577">
        <f t="shared" si="461"/>
        <v>0</v>
      </c>
      <c r="CP336" s="1576">
        <f t="shared" si="404"/>
        <v>0</v>
      </c>
      <c r="CQ336" s="1495">
        <f t="shared" si="462"/>
        <v>0</v>
      </c>
      <c r="CR336" s="1577">
        <f t="shared" si="463"/>
        <v>0</v>
      </c>
      <c r="CS336" s="1576">
        <f t="shared" si="405"/>
        <v>0</v>
      </c>
      <c r="CT336" s="1495">
        <f t="shared" si="464"/>
        <v>0</v>
      </c>
      <c r="CU336" s="1577">
        <f t="shared" si="465"/>
        <v>0</v>
      </c>
      <c r="CV336" s="1576">
        <f t="shared" si="406"/>
        <v>0</v>
      </c>
      <c r="CW336" s="1495">
        <f t="shared" si="466"/>
        <v>0</v>
      </c>
      <c r="CX336" s="1577">
        <f t="shared" si="467"/>
        <v>0</v>
      </c>
      <c r="CY336" s="1576">
        <f t="shared" si="407"/>
        <v>0</v>
      </c>
      <c r="CZ336" s="1574">
        <f t="shared" si="408"/>
        <v>0</v>
      </c>
      <c r="DA336" s="1578">
        <f t="shared" si="410"/>
        <v>0</v>
      </c>
      <c r="DB336" s="1579">
        <f t="shared" si="411"/>
        <v>0</v>
      </c>
      <c r="DC336" s="1578">
        <f t="shared" si="412"/>
        <v>0</v>
      </c>
      <c r="DD336" s="1578">
        <f t="shared" si="412"/>
        <v>0</v>
      </c>
      <c r="DE336" s="1578">
        <f t="shared" si="412"/>
        <v>0</v>
      </c>
      <c r="DF336" s="1578">
        <f t="shared" si="413"/>
        <v>0</v>
      </c>
      <c r="DG336" s="1538"/>
      <c r="DH336" s="1538"/>
      <c r="DI336" s="1422"/>
      <c r="DJ336" s="1428"/>
      <c r="DK336" s="1428"/>
      <c r="DL336" s="1428"/>
      <c r="DM336" s="1428"/>
      <c r="DN336" s="1428"/>
      <c r="DO336" s="1428"/>
      <c r="DP336" s="1428"/>
      <c r="DQ336" s="1422"/>
      <c r="DR336" s="1428"/>
      <c r="DS336" s="1428"/>
      <c r="DT336" s="1428"/>
      <c r="DU336" s="1428"/>
      <c r="DV336" s="1428"/>
      <c r="DW336" s="1428"/>
      <c r="DX336" s="1428"/>
      <c r="DY336" s="1428"/>
      <c r="DZ336" s="1428"/>
      <c r="EA336" s="1428"/>
      <c r="EB336" s="1428"/>
      <c r="EC336" s="1428"/>
      <c r="ED336" s="1428"/>
      <c r="EE336" s="1428"/>
      <c r="EF336" s="1428"/>
      <c r="EG336" s="1428"/>
      <c r="EH336" s="1428"/>
      <c r="EI336" s="1428"/>
      <c r="EJ336" s="1428"/>
      <c r="EK336" s="1428"/>
      <c r="EL336" s="1428"/>
      <c r="EM336" s="1428"/>
      <c r="EN336" s="1428"/>
      <c r="EO336" s="1428"/>
      <c r="EP336" s="1428"/>
      <c r="EQ336" s="1428"/>
      <c r="ER336" s="1428"/>
      <c r="ES336" s="1428"/>
      <c r="ET336" s="1428"/>
      <c r="EU336" s="1428"/>
    </row>
    <row r="337" spans="1:151" s="1440" customFormat="1" ht="15.75" customHeight="1">
      <c r="A337" s="1587"/>
      <c r="B337" s="1600" t="str">
        <f>'Potable Water Calculator'!B105</f>
        <v>WC</v>
      </c>
      <c r="C337" s="1737">
        <f>$Q$346</f>
        <v>0</v>
      </c>
      <c r="D337" s="1737">
        <f>$AG$346</f>
        <v>0</v>
      </c>
      <c r="E337" s="1475"/>
      <c r="F337" s="1475"/>
      <c r="G337" s="1475"/>
      <c r="H337" s="1475"/>
      <c r="I337" s="1475"/>
      <c r="J337" s="1475"/>
      <c r="L337" s="1422"/>
      <c r="M337" s="1422"/>
      <c r="N337" s="1430"/>
      <c r="O337" s="1640" t="s">
        <v>882</v>
      </c>
      <c r="P337" s="1436">
        <f t="shared" si="471"/>
        <v>30</v>
      </c>
      <c r="Q337" s="1495">
        <f>'Potable Water Calculator'!$C$105/'Potable Water Calculator'!$P$346*'Potable Water Calculator'!$P337</f>
        <v>0</v>
      </c>
      <c r="R337" s="1495">
        <f>'Potable Water Calculator'!$C$106/'Potable Water Calculator'!$P$346*'Potable Water Calculator'!$P337</f>
        <v>0</v>
      </c>
      <c r="S337" s="1495">
        <f>'Potable Water Calculator'!$C$107/'Potable Water Calculator'!$P$346*'Potable Water Calculator'!$P337</f>
        <v>0</v>
      </c>
      <c r="T337" s="1495">
        <f>'Potable Water Calculator'!$C$108/'Potable Water Calculator'!$P$346*'Potable Water Calculator'!$P337</f>
        <v>0</v>
      </c>
      <c r="U337" s="1436">
        <f>('Potable Water Calculator'!P147+'Potable Water Calculator'!R147)/1000</f>
        <v>0</v>
      </c>
      <c r="V337" s="1436">
        <f>'Potable Water Calculator'!S147/1000</f>
        <v>0</v>
      </c>
      <c r="W337" s="1436">
        <f t="shared" si="486"/>
        <v>0</v>
      </c>
      <c r="X337" s="1436">
        <f t="shared" si="472"/>
        <v>0</v>
      </c>
      <c r="Y337" s="1436">
        <f t="shared" si="473"/>
        <v>0</v>
      </c>
      <c r="Z337" s="1436">
        <f t="shared" si="474"/>
        <v>0</v>
      </c>
      <c r="AA337" s="1436">
        <f t="shared" si="475"/>
        <v>0</v>
      </c>
      <c r="AB337" s="1436">
        <f t="shared" si="476"/>
        <v>0</v>
      </c>
      <c r="AC337" s="1436">
        <f t="shared" si="477"/>
        <v>0</v>
      </c>
      <c r="AD337" s="1436">
        <f t="shared" si="478"/>
        <v>0</v>
      </c>
      <c r="AE337" s="1436">
        <f t="shared" si="487"/>
        <v>0</v>
      </c>
      <c r="AF337" s="1430"/>
      <c r="AG337" s="1436">
        <f>'Potable Water Calculator'!$D$105/'Potable Water Calculator'!$P$346*'Potable Water Calculator'!$P337</f>
        <v>0</v>
      </c>
      <c r="AH337" s="1436">
        <f>'Potable Water Calculator'!$D$106/'Potable Water Calculator'!$P$346*'Potable Water Calculator'!$P337</f>
        <v>0</v>
      </c>
      <c r="AI337" s="1436">
        <f>'Potable Water Calculator'!$D$107/'Potable Water Calculator'!$P$346*'Potable Water Calculator'!$P337</f>
        <v>0</v>
      </c>
      <c r="AJ337" s="1436">
        <f>'Potable Water Calculator'!$D$108/'Potable Water Calculator'!$P$346*'Potable Water Calculator'!$P337</f>
        <v>0</v>
      </c>
      <c r="AK337" s="1436">
        <f>('Potable Water Calculator'!V147+'Potable Water Calculator'!X147)/1000</f>
        <v>0</v>
      </c>
      <c r="AL337" s="1436">
        <f>'Potable Water Calculator'!Y147/1000</f>
        <v>0</v>
      </c>
      <c r="AM337" s="1436">
        <f t="shared" si="488"/>
        <v>0</v>
      </c>
      <c r="AN337" s="1436">
        <f t="shared" si="479"/>
        <v>0</v>
      </c>
      <c r="AO337" s="1436">
        <f t="shared" si="480"/>
        <v>0</v>
      </c>
      <c r="AP337" s="1436">
        <f t="shared" si="481"/>
        <v>0</v>
      </c>
      <c r="AQ337" s="1436">
        <f t="shared" si="482"/>
        <v>0</v>
      </c>
      <c r="AR337" s="1436">
        <f t="shared" si="483"/>
        <v>0</v>
      </c>
      <c r="AS337" s="1436">
        <f t="shared" si="484"/>
        <v>0</v>
      </c>
      <c r="AT337" s="1436">
        <f t="shared" si="485"/>
        <v>0</v>
      </c>
      <c r="AU337" s="1436">
        <f t="shared" si="489"/>
        <v>0</v>
      </c>
      <c r="AV337" s="1430"/>
      <c r="AW337" s="1430"/>
      <c r="AX337" s="1430"/>
      <c r="AY337" s="1430"/>
      <c r="AZ337" s="1430"/>
      <c r="BA337" s="1430"/>
      <c r="BB337" s="1430"/>
      <c r="BC337" s="1430"/>
      <c r="BD337" s="1475"/>
      <c r="BE337" s="1571" t="s">
        <v>1218</v>
      </c>
      <c r="BF337" s="1436">
        <v>22</v>
      </c>
      <c r="BG337" s="1436">
        <v>14</v>
      </c>
      <c r="BH337" s="1436">
        <v>7</v>
      </c>
      <c r="BI337" s="1495" t="b">
        <f t="shared" si="409"/>
        <v>0</v>
      </c>
      <c r="BJ337" s="1450" t="b">
        <f t="shared" si="443"/>
        <v>0</v>
      </c>
      <c r="BK337" s="1572">
        <f t="shared" si="468"/>
        <v>0</v>
      </c>
      <c r="BL337" s="1581">
        <f>IF(SUM(BL$324:BL336,BK337)&gt;$BT$4,0,BK337)</f>
        <v>0</v>
      </c>
      <c r="BM337" s="1436">
        <f t="shared" si="394"/>
        <v>0</v>
      </c>
      <c r="BN337" s="1495">
        <f t="shared" si="395"/>
        <v>0</v>
      </c>
      <c r="BO337" s="1437">
        <f t="shared" si="414"/>
        <v>0</v>
      </c>
      <c r="BP337" s="1762">
        <f t="shared" si="444"/>
        <v>0</v>
      </c>
      <c r="BQ337" s="1577">
        <f t="shared" si="445"/>
        <v>0</v>
      </c>
      <c r="BR337" s="1576">
        <f t="shared" si="396"/>
        <v>0</v>
      </c>
      <c r="BS337" s="1574">
        <f t="shared" si="446"/>
        <v>0</v>
      </c>
      <c r="BT337" s="1577">
        <f t="shared" si="447"/>
        <v>0</v>
      </c>
      <c r="BU337" s="1576">
        <f t="shared" si="397"/>
        <v>0</v>
      </c>
      <c r="BV337" s="1574">
        <f t="shared" si="448"/>
        <v>0</v>
      </c>
      <c r="BW337" s="1577">
        <f t="shared" si="449"/>
        <v>0</v>
      </c>
      <c r="BX337" s="1576">
        <f t="shared" si="398"/>
        <v>0</v>
      </c>
      <c r="BY337" s="1574">
        <f t="shared" si="450"/>
        <v>0</v>
      </c>
      <c r="BZ337" s="1577">
        <f t="shared" si="451"/>
        <v>0</v>
      </c>
      <c r="CA337" s="1576">
        <f t="shared" si="399"/>
        <v>0</v>
      </c>
      <c r="CB337" s="1495">
        <f t="shared" si="452"/>
        <v>0</v>
      </c>
      <c r="CC337" s="1577">
        <f t="shared" si="453"/>
        <v>0</v>
      </c>
      <c r="CD337" s="1576">
        <f t="shared" si="400"/>
        <v>0</v>
      </c>
      <c r="CE337" s="1495">
        <f t="shared" si="454"/>
        <v>0</v>
      </c>
      <c r="CF337" s="1577">
        <f t="shared" si="455"/>
        <v>0</v>
      </c>
      <c r="CG337" s="1576">
        <f t="shared" si="401"/>
        <v>0</v>
      </c>
      <c r="CH337" s="1495">
        <f t="shared" si="456"/>
        <v>0</v>
      </c>
      <c r="CI337" s="1577">
        <f t="shared" si="457"/>
        <v>0</v>
      </c>
      <c r="CJ337" s="1576">
        <f t="shared" si="402"/>
        <v>0</v>
      </c>
      <c r="CK337" s="1495">
        <f t="shared" si="458"/>
        <v>0</v>
      </c>
      <c r="CL337" s="1577">
        <f t="shared" si="459"/>
        <v>0</v>
      </c>
      <c r="CM337" s="1576">
        <f t="shared" si="403"/>
        <v>0</v>
      </c>
      <c r="CN337" s="1495">
        <f t="shared" si="460"/>
        <v>0</v>
      </c>
      <c r="CO337" s="1577">
        <f t="shared" si="461"/>
        <v>0</v>
      </c>
      <c r="CP337" s="1576">
        <f t="shared" si="404"/>
        <v>0</v>
      </c>
      <c r="CQ337" s="1495">
        <f t="shared" si="462"/>
        <v>0</v>
      </c>
      <c r="CR337" s="1577">
        <f t="shared" si="463"/>
        <v>0</v>
      </c>
      <c r="CS337" s="1576">
        <f t="shared" si="405"/>
        <v>0</v>
      </c>
      <c r="CT337" s="1495">
        <f t="shared" si="464"/>
        <v>0</v>
      </c>
      <c r="CU337" s="1577">
        <f t="shared" si="465"/>
        <v>0</v>
      </c>
      <c r="CV337" s="1576">
        <f t="shared" si="406"/>
        <v>0</v>
      </c>
      <c r="CW337" s="1495">
        <f t="shared" si="466"/>
        <v>0</v>
      </c>
      <c r="CX337" s="1577">
        <f t="shared" si="467"/>
        <v>0</v>
      </c>
      <c r="CY337" s="1576">
        <f t="shared" si="407"/>
        <v>0</v>
      </c>
      <c r="CZ337" s="1574">
        <f t="shared" si="408"/>
        <v>0</v>
      </c>
      <c r="DA337" s="1578">
        <f t="shared" si="410"/>
        <v>0</v>
      </c>
      <c r="DB337" s="1579">
        <f t="shared" si="411"/>
        <v>0</v>
      </c>
      <c r="DC337" s="1578">
        <f t="shared" si="412"/>
        <v>0</v>
      </c>
      <c r="DD337" s="1578">
        <f t="shared" si="412"/>
        <v>0</v>
      </c>
      <c r="DE337" s="1578">
        <f t="shared" si="412"/>
        <v>0</v>
      </c>
      <c r="DF337" s="1578">
        <f t="shared" si="413"/>
        <v>0</v>
      </c>
      <c r="DG337" s="1538"/>
      <c r="DH337" s="1538"/>
      <c r="DI337" s="1422"/>
      <c r="DJ337" s="1428"/>
      <c r="DK337" s="1428"/>
      <c r="DL337" s="1428"/>
      <c r="DM337" s="1428"/>
      <c r="DN337" s="1428"/>
      <c r="DO337" s="1428"/>
      <c r="DP337" s="1428"/>
      <c r="DQ337" s="1422"/>
      <c r="DR337" s="1428"/>
      <c r="DS337" s="1428"/>
      <c r="DT337" s="1428"/>
      <c r="DU337" s="1428"/>
      <c r="DV337" s="1428"/>
      <c r="DW337" s="1428"/>
      <c r="DX337" s="1428"/>
      <c r="DY337" s="1428"/>
      <c r="DZ337" s="1428"/>
      <c r="EA337" s="1428"/>
      <c r="EB337" s="1428"/>
      <c r="EC337" s="1428"/>
      <c r="ED337" s="1428"/>
      <c r="EE337" s="1428"/>
      <c r="EF337" s="1428"/>
      <c r="EG337" s="1428"/>
      <c r="EH337" s="1428"/>
      <c r="EI337" s="1428"/>
      <c r="EJ337" s="1428"/>
      <c r="EK337" s="1428"/>
      <c r="EL337" s="1428"/>
      <c r="EM337" s="1428"/>
      <c r="EN337" s="1428"/>
      <c r="EO337" s="1428"/>
      <c r="EP337" s="1428"/>
      <c r="EQ337" s="1428"/>
      <c r="ER337" s="1428"/>
      <c r="ES337" s="1428"/>
      <c r="ET337" s="1428"/>
      <c r="EU337" s="1428"/>
    </row>
    <row r="338" spans="1:151" s="1440" customFormat="1" ht="15.75" customHeight="1">
      <c r="A338" s="1587"/>
      <c r="B338" s="1600" t="str">
        <f>'Potable Water Calculator'!B106</f>
        <v>Urinals</v>
      </c>
      <c r="C338" s="1737">
        <f>$R$346</f>
        <v>0</v>
      </c>
      <c r="D338" s="1737">
        <f>$AH$346</f>
        <v>0</v>
      </c>
      <c r="E338" s="1475"/>
      <c r="F338" s="1475"/>
      <c r="G338" s="1475"/>
      <c r="H338" s="1475"/>
      <c r="I338" s="1475"/>
      <c r="J338" s="1475"/>
      <c r="L338" s="1422"/>
      <c r="M338" s="1422"/>
      <c r="N338" s="1430"/>
      <c r="O338" s="1640" t="s">
        <v>1212</v>
      </c>
      <c r="P338" s="1436">
        <f t="shared" si="471"/>
        <v>31</v>
      </c>
      <c r="Q338" s="1495">
        <f>'Potable Water Calculator'!$C$105/'Potable Water Calculator'!$P$346*'Potable Water Calculator'!$P338</f>
        <v>0</v>
      </c>
      <c r="R338" s="1495">
        <f>'Potable Water Calculator'!$C$106/'Potable Water Calculator'!$P$346*'Potable Water Calculator'!$P338</f>
        <v>0</v>
      </c>
      <c r="S338" s="1495">
        <f>'Potable Water Calculator'!$C$107/'Potable Water Calculator'!$P$346*'Potable Water Calculator'!$P338</f>
        <v>0</v>
      </c>
      <c r="T338" s="1495">
        <f>'Potable Water Calculator'!$C$108/'Potable Water Calculator'!$P$346*'Potable Water Calculator'!$P338</f>
        <v>0</v>
      </c>
      <c r="U338" s="1436">
        <f>('Potable Water Calculator'!P148+'Potable Water Calculator'!R148)/1000</f>
        <v>0</v>
      </c>
      <c r="V338" s="1436">
        <f>'Potable Water Calculator'!S148/1000</f>
        <v>0</v>
      </c>
      <c r="W338" s="1436">
        <f t="shared" si="486"/>
        <v>0</v>
      </c>
      <c r="X338" s="1436">
        <f t="shared" si="472"/>
        <v>0</v>
      </c>
      <c r="Y338" s="1436">
        <f t="shared" si="473"/>
        <v>0</v>
      </c>
      <c r="Z338" s="1436">
        <f t="shared" si="474"/>
        <v>0</v>
      </c>
      <c r="AA338" s="1436">
        <f t="shared" si="475"/>
        <v>0</v>
      </c>
      <c r="AB338" s="1436">
        <f t="shared" si="476"/>
        <v>0</v>
      </c>
      <c r="AC338" s="1436">
        <f t="shared" si="477"/>
        <v>0</v>
      </c>
      <c r="AD338" s="1436">
        <f t="shared" si="478"/>
        <v>0</v>
      </c>
      <c r="AE338" s="1436">
        <f t="shared" si="487"/>
        <v>0</v>
      </c>
      <c r="AF338" s="1430"/>
      <c r="AG338" s="1436">
        <f>'Potable Water Calculator'!$D$105/'Potable Water Calculator'!$P$346*'Potable Water Calculator'!$P338</f>
        <v>0</v>
      </c>
      <c r="AH338" s="1436">
        <f>'Potable Water Calculator'!$D$106/'Potable Water Calculator'!$P$346*'Potable Water Calculator'!$P338</f>
        <v>0</v>
      </c>
      <c r="AI338" s="1436">
        <f>'Potable Water Calculator'!$D$107/'Potable Water Calculator'!$P$346*'Potable Water Calculator'!$P338</f>
        <v>0</v>
      </c>
      <c r="AJ338" s="1436">
        <f>'Potable Water Calculator'!$D$108/'Potable Water Calculator'!$P$346*'Potable Water Calculator'!$P338</f>
        <v>0</v>
      </c>
      <c r="AK338" s="1436">
        <f>('Potable Water Calculator'!V148+'Potable Water Calculator'!X148)/1000</f>
        <v>0</v>
      </c>
      <c r="AL338" s="1436">
        <f>'Potable Water Calculator'!Y148/1000</f>
        <v>0</v>
      </c>
      <c r="AM338" s="1436">
        <f t="shared" si="488"/>
        <v>0</v>
      </c>
      <c r="AN338" s="1436">
        <f t="shared" si="479"/>
        <v>0</v>
      </c>
      <c r="AO338" s="1436">
        <f t="shared" si="480"/>
        <v>0</v>
      </c>
      <c r="AP338" s="1436">
        <f t="shared" si="481"/>
        <v>0</v>
      </c>
      <c r="AQ338" s="1436">
        <f t="shared" si="482"/>
        <v>0</v>
      </c>
      <c r="AR338" s="1436">
        <f t="shared" si="483"/>
        <v>0</v>
      </c>
      <c r="AS338" s="1436">
        <f t="shared" si="484"/>
        <v>0</v>
      </c>
      <c r="AT338" s="1436">
        <f t="shared" si="485"/>
        <v>0</v>
      </c>
      <c r="AU338" s="1436">
        <f t="shared" si="489"/>
        <v>0</v>
      </c>
      <c r="AV338" s="1430"/>
      <c r="AW338" s="1430"/>
      <c r="AX338" s="1430"/>
      <c r="AY338" s="1430"/>
      <c r="AZ338" s="1430"/>
      <c r="BA338" s="1430"/>
      <c r="BB338" s="1430"/>
      <c r="BC338" s="1430"/>
      <c r="BD338" s="1475"/>
      <c r="BE338" s="1571" t="s">
        <v>1218</v>
      </c>
      <c r="BF338" s="1436">
        <v>22</v>
      </c>
      <c r="BG338" s="1436">
        <v>15</v>
      </c>
      <c r="BH338" s="1436">
        <v>1</v>
      </c>
      <c r="BI338" s="1495" t="b">
        <f t="shared" si="409"/>
        <v>1</v>
      </c>
      <c r="BJ338" s="1450" t="b">
        <f t="shared" si="443"/>
        <v>1</v>
      </c>
      <c r="BK338" s="1572">
        <f t="shared" si="468"/>
        <v>7.083333333333333</v>
      </c>
      <c r="BL338" s="1581">
        <f>IF(SUM(BL$324:BL337,BK338)&gt;$BT$4,0,BK338)</f>
        <v>7.083333333333333</v>
      </c>
      <c r="BM338" s="1436">
        <f t="shared" si="394"/>
        <v>0</v>
      </c>
      <c r="BN338" s="1495">
        <f t="shared" si="395"/>
        <v>0</v>
      </c>
      <c r="BO338" s="1437">
        <f t="shared" si="414"/>
        <v>0</v>
      </c>
      <c r="BP338" s="1762">
        <f t="shared" si="444"/>
        <v>0</v>
      </c>
      <c r="BQ338" s="1577">
        <f t="shared" si="445"/>
        <v>0</v>
      </c>
      <c r="BR338" s="1576">
        <f t="shared" si="396"/>
        <v>0</v>
      </c>
      <c r="BS338" s="1574">
        <f t="shared" si="446"/>
        <v>0</v>
      </c>
      <c r="BT338" s="1577">
        <f t="shared" si="447"/>
        <v>0</v>
      </c>
      <c r="BU338" s="1576">
        <f t="shared" si="397"/>
        <v>0</v>
      </c>
      <c r="BV338" s="1574">
        <f t="shared" si="448"/>
        <v>0</v>
      </c>
      <c r="BW338" s="1577">
        <f t="shared" si="449"/>
        <v>0</v>
      </c>
      <c r="BX338" s="1576">
        <f t="shared" si="398"/>
        <v>0</v>
      </c>
      <c r="BY338" s="1574">
        <f t="shared" si="450"/>
        <v>0</v>
      </c>
      <c r="BZ338" s="1577">
        <f t="shared" si="451"/>
        <v>0</v>
      </c>
      <c r="CA338" s="1576">
        <f t="shared" si="399"/>
        <v>0</v>
      </c>
      <c r="CB338" s="1495">
        <f t="shared" si="452"/>
        <v>0</v>
      </c>
      <c r="CC338" s="1577">
        <f t="shared" si="453"/>
        <v>0</v>
      </c>
      <c r="CD338" s="1576">
        <f t="shared" si="400"/>
        <v>0</v>
      </c>
      <c r="CE338" s="1495">
        <f t="shared" si="454"/>
        <v>0</v>
      </c>
      <c r="CF338" s="1577">
        <f t="shared" si="455"/>
        <v>0</v>
      </c>
      <c r="CG338" s="1576">
        <f t="shared" si="401"/>
        <v>0</v>
      </c>
      <c r="CH338" s="1495">
        <f t="shared" si="456"/>
        <v>0</v>
      </c>
      <c r="CI338" s="1577">
        <f t="shared" si="457"/>
        <v>0</v>
      </c>
      <c r="CJ338" s="1576">
        <f t="shared" si="402"/>
        <v>0</v>
      </c>
      <c r="CK338" s="1495">
        <f t="shared" si="458"/>
        <v>0</v>
      </c>
      <c r="CL338" s="1577">
        <f t="shared" si="459"/>
        <v>0</v>
      </c>
      <c r="CM338" s="1576">
        <f t="shared" si="403"/>
        <v>0</v>
      </c>
      <c r="CN338" s="1495">
        <f t="shared" si="460"/>
        <v>0</v>
      </c>
      <c r="CO338" s="1577">
        <f t="shared" si="461"/>
        <v>0</v>
      </c>
      <c r="CP338" s="1576">
        <f t="shared" si="404"/>
        <v>0</v>
      </c>
      <c r="CQ338" s="1495">
        <f t="shared" si="462"/>
        <v>0</v>
      </c>
      <c r="CR338" s="1577">
        <f t="shared" si="463"/>
        <v>0</v>
      </c>
      <c r="CS338" s="1576">
        <f t="shared" si="405"/>
        <v>0</v>
      </c>
      <c r="CT338" s="1495">
        <f t="shared" si="464"/>
        <v>0</v>
      </c>
      <c r="CU338" s="1577">
        <f t="shared" si="465"/>
        <v>0</v>
      </c>
      <c r="CV338" s="1576">
        <f t="shared" si="406"/>
        <v>0</v>
      </c>
      <c r="CW338" s="1495">
        <f t="shared" si="466"/>
        <v>0</v>
      </c>
      <c r="CX338" s="1577">
        <f t="shared" si="467"/>
        <v>0</v>
      </c>
      <c r="CY338" s="1576">
        <f t="shared" si="407"/>
        <v>0</v>
      </c>
      <c r="CZ338" s="1574">
        <f t="shared" si="408"/>
        <v>0</v>
      </c>
      <c r="DA338" s="1578">
        <f t="shared" si="410"/>
        <v>0</v>
      </c>
      <c r="DB338" s="1579">
        <f t="shared" si="411"/>
        <v>0</v>
      </c>
      <c r="DC338" s="1578">
        <f t="shared" si="412"/>
        <v>0</v>
      </c>
      <c r="DD338" s="1578">
        <f t="shared" si="412"/>
        <v>0</v>
      </c>
      <c r="DE338" s="1578">
        <f t="shared" si="412"/>
        <v>0</v>
      </c>
      <c r="DF338" s="1578">
        <f t="shared" si="413"/>
        <v>0</v>
      </c>
      <c r="DG338" s="1538"/>
      <c r="DH338" s="1538"/>
      <c r="DI338" s="1422"/>
      <c r="DJ338" s="1428"/>
      <c r="DK338" s="1428"/>
      <c r="DL338" s="1428"/>
      <c r="DM338" s="1428"/>
      <c r="DN338" s="1428"/>
      <c r="DO338" s="1428"/>
      <c r="DP338" s="1428"/>
      <c r="DQ338" s="1422"/>
      <c r="DR338" s="1428"/>
      <c r="DS338" s="1428"/>
      <c r="DT338" s="1428"/>
      <c r="DU338" s="1428"/>
      <c r="DV338" s="1428"/>
      <c r="DW338" s="1428"/>
      <c r="DX338" s="1428"/>
      <c r="DY338" s="1428"/>
      <c r="DZ338" s="1428"/>
      <c r="EA338" s="1428"/>
      <c r="EB338" s="1428"/>
      <c r="EC338" s="1428"/>
      <c r="ED338" s="1428"/>
      <c r="EE338" s="1428"/>
      <c r="EF338" s="1428"/>
      <c r="EG338" s="1428"/>
      <c r="EH338" s="1428"/>
      <c r="EI338" s="1428"/>
      <c r="EJ338" s="1428"/>
      <c r="EK338" s="1428"/>
      <c r="EL338" s="1428"/>
      <c r="EM338" s="1428"/>
      <c r="EN338" s="1428"/>
      <c r="EO338" s="1428"/>
      <c r="EP338" s="1428"/>
      <c r="EQ338" s="1428"/>
      <c r="ER338" s="1428"/>
      <c r="ES338" s="1428"/>
      <c r="ET338" s="1428"/>
      <c r="EU338" s="1428"/>
    </row>
    <row r="339" spans="1:151" s="1440" customFormat="1" ht="15.75" customHeight="1">
      <c r="A339" s="1587"/>
      <c r="B339" s="1600" t="str">
        <f>'Potable Water Calculator'!B107</f>
        <v>Indoor taps</v>
      </c>
      <c r="C339" s="1737">
        <f>$S$346</f>
        <v>0</v>
      </c>
      <c r="D339" s="1737">
        <f>$AI$346</f>
        <v>0</v>
      </c>
      <c r="E339" s="1475"/>
      <c r="F339" s="1475"/>
      <c r="G339" s="1475"/>
      <c r="H339" s="1475"/>
      <c r="I339" s="1475"/>
      <c r="J339" s="1475"/>
      <c r="L339" s="1422"/>
      <c r="M339" s="1422"/>
      <c r="N339" s="1430"/>
      <c r="O339" s="1640" t="s">
        <v>883</v>
      </c>
      <c r="P339" s="1436">
        <f t="shared" si="471"/>
        <v>30</v>
      </c>
      <c r="Q339" s="1495">
        <f>'Potable Water Calculator'!$C$105/'Potable Water Calculator'!$P$346*'Potable Water Calculator'!$P339</f>
        <v>0</v>
      </c>
      <c r="R339" s="1495">
        <f>'Potable Water Calculator'!$C$106/'Potable Water Calculator'!$P$346*'Potable Water Calculator'!$P339</f>
        <v>0</v>
      </c>
      <c r="S339" s="1495">
        <f>'Potable Water Calculator'!$C$107/'Potable Water Calculator'!$P$346*'Potable Water Calculator'!$P339</f>
        <v>0</v>
      </c>
      <c r="T339" s="1495">
        <f>'Potable Water Calculator'!$C$108/'Potable Water Calculator'!$P$346*'Potable Water Calculator'!$P339</f>
        <v>0</v>
      </c>
      <c r="U339" s="1436">
        <f>('Potable Water Calculator'!P149+'Potable Water Calculator'!R149)/1000</f>
        <v>0</v>
      </c>
      <c r="V339" s="1436">
        <f>'Potable Water Calculator'!S149/1000</f>
        <v>0</v>
      </c>
      <c r="W339" s="1436">
        <f t="shared" si="486"/>
        <v>0</v>
      </c>
      <c r="X339" s="1436">
        <f t="shared" si="472"/>
        <v>0</v>
      </c>
      <c r="Y339" s="1436">
        <f t="shared" si="473"/>
        <v>0</v>
      </c>
      <c r="Z339" s="1436">
        <f t="shared" si="474"/>
        <v>0</v>
      </c>
      <c r="AA339" s="1436">
        <f t="shared" si="475"/>
        <v>0</v>
      </c>
      <c r="AB339" s="1436">
        <f t="shared" si="476"/>
        <v>0</v>
      </c>
      <c r="AC339" s="1436">
        <f t="shared" si="477"/>
        <v>0</v>
      </c>
      <c r="AD339" s="1436">
        <f t="shared" si="478"/>
        <v>0</v>
      </c>
      <c r="AE339" s="1436">
        <f t="shared" si="487"/>
        <v>0</v>
      </c>
      <c r="AF339" s="1430"/>
      <c r="AG339" s="1436">
        <f>'Potable Water Calculator'!$D$105/'Potable Water Calculator'!$P$346*'Potable Water Calculator'!$P339</f>
        <v>0</v>
      </c>
      <c r="AH339" s="1436">
        <f>'Potable Water Calculator'!$D$106/'Potable Water Calculator'!$P$346*'Potable Water Calculator'!$P339</f>
        <v>0</v>
      </c>
      <c r="AI339" s="1436">
        <f>'Potable Water Calculator'!$D$107/'Potable Water Calculator'!$P$346*'Potable Water Calculator'!$P339</f>
        <v>0</v>
      </c>
      <c r="AJ339" s="1436">
        <f>'Potable Water Calculator'!$D$108/'Potable Water Calculator'!$P$346*'Potable Water Calculator'!$P339</f>
        <v>0</v>
      </c>
      <c r="AK339" s="1436">
        <f>('Potable Water Calculator'!V149+'Potable Water Calculator'!X149)/1000</f>
        <v>0</v>
      </c>
      <c r="AL339" s="1436">
        <f>'Potable Water Calculator'!Y149/1000</f>
        <v>0</v>
      </c>
      <c r="AM339" s="1436">
        <f t="shared" si="488"/>
        <v>0</v>
      </c>
      <c r="AN339" s="1436">
        <f t="shared" si="479"/>
        <v>0</v>
      </c>
      <c r="AO339" s="1436">
        <f t="shared" si="480"/>
        <v>0</v>
      </c>
      <c r="AP339" s="1436">
        <f t="shared" si="481"/>
        <v>0</v>
      </c>
      <c r="AQ339" s="1436">
        <f t="shared" si="482"/>
        <v>0</v>
      </c>
      <c r="AR339" s="1436">
        <f t="shared" si="483"/>
        <v>0</v>
      </c>
      <c r="AS339" s="1436">
        <f t="shared" si="484"/>
        <v>0</v>
      </c>
      <c r="AT339" s="1436">
        <f t="shared" si="485"/>
        <v>0</v>
      </c>
      <c r="AU339" s="1436">
        <f t="shared" si="489"/>
        <v>0</v>
      </c>
      <c r="AV339" s="1430"/>
      <c r="AW339" s="1430"/>
      <c r="AX339" s="1430"/>
      <c r="AY339" s="1430"/>
      <c r="AZ339" s="1430"/>
      <c r="BA339" s="1430"/>
      <c r="BB339" s="1430"/>
      <c r="BC339" s="1430"/>
      <c r="BD339" s="1475"/>
      <c r="BE339" s="1571" t="s">
        <v>1218</v>
      </c>
      <c r="BF339" s="1436">
        <v>22</v>
      </c>
      <c r="BG339" s="1436">
        <v>16</v>
      </c>
      <c r="BH339" s="1436">
        <v>2</v>
      </c>
      <c r="BI339" s="1495" t="b">
        <f t="shared" si="409"/>
        <v>1</v>
      </c>
      <c r="BJ339" s="1450" t="b">
        <f t="shared" si="443"/>
        <v>0</v>
      </c>
      <c r="BK339" s="1572">
        <f t="shared" si="468"/>
        <v>0</v>
      </c>
      <c r="BL339" s="1581">
        <f>IF(SUM(BL$324:BL338,BK339)&gt;$BT$4,0,BK339)</f>
        <v>0</v>
      </c>
      <c r="BM339" s="1436">
        <f t="shared" si="394"/>
        <v>0</v>
      </c>
      <c r="BN339" s="1495">
        <f t="shared" si="395"/>
        <v>0</v>
      </c>
      <c r="BO339" s="1437">
        <f t="shared" si="414"/>
        <v>0</v>
      </c>
      <c r="BP339" s="1762">
        <f t="shared" si="444"/>
        <v>0</v>
      </c>
      <c r="BQ339" s="1577">
        <f t="shared" si="445"/>
        <v>0</v>
      </c>
      <c r="BR339" s="1576">
        <f t="shared" si="396"/>
        <v>0</v>
      </c>
      <c r="BS339" s="1574">
        <f t="shared" si="446"/>
        <v>0</v>
      </c>
      <c r="BT339" s="1577">
        <f t="shared" si="447"/>
        <v>0</v>
      </c>
      <c r="BU339" s="1576">
        <f t="shared" si="397"/>
        <v>0</v>
      </c>
      <c r="BV339" s="1574">
        <f t="shared" si="448"/>
        <v>0</v>
      </c>
      <c r="BW339" s="1577">
        <f t="shared" si="449"/>
        <v>0</v>
      </c>
      <c r="BX339" s="1576">
        <f t="shared" si="398"/>
        <v>0</v>
      </c>
      <c r="BY339" s="1574">
        <f t="shared" si="450"/>
        <v>0</v>
      </c>
      <c r="BZ339" s="1577">
        <f t="shared" si="451"/>
        <v>0</v>
      </c>
      <c r="CA339" s="1576">
        <f t="shared" si="399"/>
        <v>0</v>
      </c>
      <c r="CB339" s="1495">
        <f t="shared" si="452"/>
        <v>0</v>
      </c>
      <c r="CC339" s="1577">
        <f t="shared" si="453"/>
        <v>0</v>
      </c>
      <c r="CD339" s="1576">
        <f t="shared" si="400"/>
        <v>0</v>
      </c>
      <c r="CE339" s="1495">
        <f t="shared" si="454"/>
        <v>0</v>
      </c>
      <c r="CF339" s="1577">
        <f t="shared" si="455"/>
        <v>0</v>
      </c>
      <c r="CG339" s="1576">
        <f t="shared" si="401"/>
        <v>0</v>
      </c>
      <c r="CH339" s="1495">
        <f t="shared" si="456"/>
        <v>0</v>
      </c>
      <c r="CI339" s="1577">
        <f t="shared" si="457"/>
        <v>0</v>
      </c>
      <c r="CJ339" s="1576">
        <f t="shared" si="402"/>
        <v>0</v>
      </c>
      <c r="CK339" s="1495">
        <f t="shared" si="458"/>
        <v>0</v>
      </c>
      <c r="CL339" s="1577">
        <f t="shared" si="459"/>
        <v>0</v>
      </c>
      <c r="CM339" s="1576">
        <f t="shared" si="403"/>
        <v>0</v>
      </c>
      <c r="CN339" s="1495">
        <f t="shared" si="460"/>
        <v>0</v>
      </c>
      <c r="CO339" s="1577">
        <f t="shared" si="461"/>
        <v>0</v>
      </c>
      <c r="CP339" s="1576">
        <f t="shared" si="404"/>
        <v>0</v>
      </c>
      <c r="CQ339" s="1495">
        <f t="shared" si="462"/>
        <v>0</v>
      </c>
      <c r="CR339" s="1577">
        <f t="shared" si="463"/>
        <v>0</v>
      </c>
      <c r="CS339" s="1576">
        <f t="shared" si="405"/>
        <v>0</v>
      </c>
      <c r="CT339" s="1495">
        <f t="shared" si="464"/>
        <v>0</v>
      </c>
      <c r="CU339" s="1577">
        <f t="shared" si="465"/>
        <v>0</v>
      </c>
      <c r="CV339" s="1576">
        <f t="shared" si="406"/>
        <v>0</v>
      </c>
      <c r="CW339" s="1495">
        <f t="shared" si="466"/>
        <v>0</v>
      </c>
      <c r="CX339" s="1577">
        <f t="shared" si="467"/>
        <v>0</v>
      </c>
      <c r="CY339" s="1576">
        <f t="shared" si="407"/>
        <v>0</v>
      </c>
      <c r="CZ339" s="1574">
        <f t="shared" si="408"/>
        <v>0</v>
      </c>
      <c r="DA339" s="1578">
        <f t="shared" si="410"/>
        <v>0</v>
      </c>
      <c r="DB339" s="1579">
        <f t="shared" si="411"/>
        <v>0</v>
      </c>
      <c r="DC339" s="1578">
        <f t="shared" si="412"/>
        <v>0</v>
      </c>
      <c r="DD339" s="1578">
        <f t="shared" si="412"/>
        <v>0</v>
      </c>
      <c r="DE339" s="1578">
        <f t="shared" si="412"/>
        <v>0</v>
      </c>
      <c r="DF339" s="1578">
        <f>IF(DA339-(DE338+CZ339)&lt;0,0,DA339-(DE338+CZ339))</f>
        <v>0</v>
      </c>
      <c r="DG339" s="1538"/>
      <c r="DH339" s="1538"/>
      <c r="DI339" s="1422"/>
      <c r="DJ339" s="1428"/>
      <c r="DK339" s="1428"/>
      <c r="DL339" s="1428"/>
      <c r="DM339" s="1428"/>
      <c r="DN339" s="1428"/>
      <c r="DO339" s="1428"/>
      <c r="DP339" s="1428"/>
      <c r="DQ339" s="1422"/>
      <c r="DR339" s="1428"/>
      <c r="DS339" s="1428"/>
      <c r="DT339" s="1428"/>
      <c r="DU339" s="1428"/>
      <c r="DV339" s="1428"/>
      <c r="DW339" s="1428"/>
      <c r="DX339" s="1428"/>
      <c r="DY339" s="1428"/>
      <c r="DZ339" s="1428"/>
      <c r="EA339" s="1428"/>
      <c r="EB339" s="1428"/>
      <c r="EC339" s="1428"/>
      <c r="ED339" s="1428"/>
      <c r="EE339" s="1428"/>
      <c r="EF339" s="1428"/>
      <c r="EG339" s="1428"/>
      <c r="EH339" s="1428"/>
      <c r="EI339" s="1428"/>
      <c r="EJ339" s="1428"/>
      <c r="EK339" s="1428"/>
      <c r="EL339" s="1428"/>
      <c r="EM339" s="1428"/>
      <c r="EN339" s="1428"/>
      <c r="EO339" s="1428"/>
      <c r="EP339" s="1428"/>
      <c r="EQ339" s="1428"/>
      <c r="ER339" s="1428"/>
      <c r="ES339" s="1428"/>
      <c r="ET339" s="1428"/>
      <c r="EU339" s="1428"/>
    </row>
    <row r="340" spans="1:151" s="1440" customFormat="1" ht="15.75" customHeight="1">
      <c r="A340" s="1603"/>
      <c r="B340" s="1600" t="str">
        <f>'Potable Water Calculator'!B108</f>
        <v>Showers</v>
      </c>
      <c r="C340" s="1737">
        <f>$T$346</f>
        <v>0</v>
      </c>
      <c r="D340" s="1737">
        <f>$AJ$346</f>
        <v>0</v>
      </c>
      <c r="E340" s="1475"/>
      <c r="F340" s="1475"/>
      <c r="G340" s="1475"/>
      <c r="H340" s="1475"/>
      <c r="I340" s="1475"/>
      <c r="J340" s="1475"/>
      <c r="L340" s="1422"/>
      <c r="M340" s="1422"/>
      <c r="N340" s="1430"/>
      <c r="O340" s="1640" t="s">
        <v>884</v>
      </c>
      <c r="P340" s="1436">
        <f t="shared" si="471"/>
        <v>31</v>
      </c>
      <c r="Q340" s="1495">
        <f>'Potable Water Calculator'!$C$105/'Potable Water Calculator'!$P$346*'Potable Water Calculator'!$P340</f>
        <v>0</v>
      </c>
      <c r="R340" s="1495">
        <f>'Potable Water Calculator'!$C$106/'Potable Water Calculator'!$P$346*'Potable Water Calculator'!$P340</f>
        <v>0</v>
      </c>
      <c r="S340" s="1495">
        <f>'Potable Water Calculator'!$C$107/'Potable Water Calculator'!$P$346*'Potable Water Calculator'!$P340</f>
        <v>0</v>
      </c>
      <c r="T340" s="1495">
        <f>'Potable Water Calculator'!$C$108/'Potable Water Calculator'!$P$346*'Potable Water Calculator'!$P340</f>
        <v>0</v>
      </c>
      <c r="U340" s="1436">
        <f>('Potable Water Calculator'!P150+'Potable Water Calculator'!R150)/1000</f>
        <v>0</v>
      </c>
      <c r="V340" s="1436">
        <f>'Potable Water Calculator'!S150/1000</f>
        <v>0</v>
      </c>
      <c r="W340" s="1436">
        <f t="shared" si="486"/>
        <v>0</v>
      </c>
      <c r="X340" s="1436">
        <f t="shared" si="472"/>
        <v>0</v>
      </c>
      <c r="Y340" s="1436">
        <f t="shared" si="473"/>
        <v>0</v>
      </c>
      <c r="Z340" s="1436">
        <f t="shared" si="474"/>
        <v>0</v>
      </c>
      <c r="AA340" s="1436">
        <f t="shared" si="475"/>
        <v>0</v>
      </c>
      <c r="AB340" s="1436">
        <f t="shared" si="476"/>
        <v>0</v>
      </c>
      <c r="AC340" s="1436">
        <f t="shared" si="477"/>
        <v>0</v>
      </c>
      <c r="AD340" s="1436">
        <f t="shared" si="478"/>
        <v>0</v>
      </c>
      <c r="AE340" s="1436">
        <f t="shared" si="487"/>
        <v>0</v>
      </c>
      <c r="AF340" s="1430"/>
      <c r="AG340" s="1436">
        <f>'Potable Water Calculator'!$D$105/'Potable Water Calculator'!$P$346*'Potable Water Calculator'!$P340</f>
        <v>0</v>
      </c>
      <c r="AH340" s="1436">
        <f>'Potable Water Calculator'!$D$106/'Potable Water Calculator'!$P$346*'Potable Water Calculator'!$P340</f>
        <v>0</v>
      </c>
      <c r="AI340" s="1436">
        <f>'Potable Water Calculator'!$D$107/'Potable Water Calculator'!$P$346*'Potable Water Calculator'!$P340</f>
        <v>0</v>
      </c>
      <c r="AJ340" s="1436">
        <f>'Potable Water Calculator'!$D$108/'Potable Water Calculator'!$P$346*'Potable Water Calculator'!$P340</f>
        <v>0</v>
      </c>
      <c r="AK340" s="1436">
        <f>('Potable Water Calculator'!V150+'Potable Water Calculator'!X150)/1000</f>
        <v>0</v>
      </c>
      <c r="AL340" s="1436">
        <f>'Potable Water Calculator'!Y150/1000</f>
        <v>0</v>
      </c>
      <c r="AM340" s="1436">
        <f t="shared" si="488"/>
        <v>0</v>
      </c>
      <c r="AN340" s="1436">
        <f t="shared" si="479"/>
        <v>0</v>
      </c>
      <c r="AO340" s="1436">
        <f t="shared" si="480"/>
        <v>0</v>
      </c>
      <c r="AP340" s="1436">
        <f t="shared" si="481"/>
        <v>0</v>
      </c>
      <c r="AQ340" s="1436">
        <f t="shared" si="482"/>
        <v>0</v>
      </c>
      <c r="AR340" s="1436">
        <f t="shared" si="483"/>
        <v>0</v>
      </c>
      <c r="AS340" s="1436">
        <f t="shared" si="484"/>
        <v>0</v>
      </c>
      <c r="AT340" s="1436">
        <f t="shared" si="485"/>
        <v>0</v>
      </c>
      <c r="AU340" s="1436">
        <f t="shared" si="489"/>
        <v>0</v>
      </c>
      <c r="AV340" s="1430"/>
      <c r="AW340" s="1430"/>
      <c r="AX340" s="1430"/>
      <c r="AY340" s="1430"/>
      <c r="AZ340" s="1430"/>
      <c r="BA340" s="1430"/>
      <c r="BB340" s="1430"/>
      <c r="BC340" s="1430"/>
      <c r="BD340" s="1475"/>
      <c r="BE340" s="1571" t="s">
        <v>1218</v>
      </c>
      <c r="BF340" s="1436">
        <v>22</v>
      </c>
      <c r="BG340" s="1436">
        <v>17</v>
      </c>
      <c r="BH340" s="1436">
        <v>3</v>
      </c>
      <c r="BI340" s="1495" t="b">
        <f t="shared" si="409"/>
        <v>1</v>
      </c>
      <c r="BJ340" s="1450" t="b">
        <f t="shared" si="443"/>
        <v>0</v>
      </c>
      <c r="BK340" s="1572">
        <f t="shared" si="468"/>
        <v>0</v>
      </c>
      <c r="BL340" s="1581">
        <f>IF(SUM(BL$324:BL339,BK340)&gt;$BT$4,0,BK340)</f>
        <v>0</v>
      </c>
      <c r="BM340" s="1436">
        <f t="shared" ref="BM340:BM384" si="490">BL340*$BJ$13</f>
        <v>0</v>
      </c>
      <c r="BN340" s="1495">
        <f t="shared" ref="BN340:BN384" si="491">$BJ$14*(BL340&gt;0)</f>
        <v>0</v>
      </c>
      <c r="BO340" s="1437">
        <f t="shared" si="414"/>
        <v>0</v>
      </c>
      <c r="BP340" s="1762">
        <f t="shared" si="444"/>
        <v>0</v>
      </c>
      <c r="BQ340" s="1577">
        <f t="shared" si="445"/>
        <v>0</v>
      </c>
      <c r="BR340" s="1576">
        <f t="shared" ref="BR340:BR383" si="492">IF(BP340-(BQ340*$BR$17)&gt;0,BP340-(BQ340*$BR$17),0)</f>
        <v>0</v>
      </c>
      <c r="BS340" s="1574">
        <f t="shared" si="446"/>
        <v>0</v>
      </c>
      <c r="BT340" s="1577">
        <f t="shared" si="447"/>
        <v>0</v>
      </c>
      <c r="BU340" s="1576">
        <f t="shared" ref="BU340:BU383" si="493">IF(BS340-(BT340*BU$17)&gt;0,BS340-(BT340*BU$17),0)</f>
        <v>0</v>
      </c>
      <c r="BV340" s="1574">
        <f t="shared" si="448"/>
        <v>0</v>
      </c>
      <c r="BW340" s="1577">
        <f t="shared" si="449"/>
        <v>0</v>
      </c>
      <c r="BX340" s="1576">
        <f t="shared" ref="BX340:BX383" si="494">IF(BV340-(BW340*BX$17)&gt;0,BV340-(BW340*BX$17),0)</f>
        <v>0</v>
      </c>
      <c r="BY340" s="1574">
        <f t="shared" si="450"/>
        <v>0</v>
      </c>
      <c r="BZ340" s="1577">
        <f t="shared" si="451"/>
        <v>0</v>
      </c>
      <c r="CA340" s="1576">
        <f t="shared" ref="CA340:CA383" si="495">IF(BY340-(BZ340*CA$17)&gt;0,BY340-(BZ340*CA$17),0)</f>
        <v>0</v>
      </c>
      <c r="CB340" s="1495">
        <f t="shared" si="452"/>
        <v>0</v>
      </c>
      <c r="CC340" s="1577">
        <f t="shared" si="453"/>
        <v>0</v>
      </c>
      <c r="CD340" s="1576">
        <f t="shared" ref="CD340:CD383" si="496">IF(CB340-(CC340*CD$17)&gt;0,CB340-(CC340*CD$17),0)</f>
        <v>0</v>
      </c>
      <c r="CE340" s="1495">
        <f t="shared" si="454"/>
        <v>0</v>
      </c>
      <c r="CF340" s="1577">
        <f t="shared" si="455"/>
        <v>0</v>
      </c>
      <c r="CG340" s="1576">
        <f t="shared" ref="CG340:CG383" si="497">IF(CE340-(CF340*CG$17)&gt;0,CE340-(CF340*CG$17),0)</f>
        <v>0</v>
      </c>
      <c r="CH340" s="1495">
        <f t="shared" si="456"/>
        <v>0</v>
      </c>
      <c r="CI340" s="1577">
        <f t="shared" si="457"/>
        <v>0</v>
      </c>
      <c r="CJ340" s="1576">
        <f t="shared" ref="CJ340:CJ383" si="498">IF(CH340-(CI340*CJ$17)&gt;0,CH340-(CI340*CJ$17),0)</f>
        <v>0</v>
      </c>
      <c r="CK340" s="1495">
        <f t="shared" si="458"/>
        <v>0</v>
      </c>
      <c r="CL340" s="1577">
        <f t="shared" si="459"/>
        <v>0</v>
      </c>
      <c r="CM340" s="1576">
        <f t="shared" ref="CM340:CM383" si="499">IF(CK340-(CL340*CM$17)&gt;0,CK340-(CL340*CM$17),0)</f>
        <v>0</v>
      </c>
      <c r="CN340" s="1495">
        <f t="shared" si="460"/>
        <v>0</v>
      </c>
      <c r="CO340" s="1577">
        <f t="shared" si="461"/>
        <v>0</v>
      </c>
      <c r="CP340" s="1576">
        <f t="shared" ref="CP340:CP383" si="500">IF(CN340-(CO340*CP$17)&gt;0,CN340-(CO340*CP$17),0)</f>
        <v>0</v>
      </c>
      <c r="CQ340" s="1495">
        <f t="shared" si="462"/>
        <v>0</v>
      </c>
      <c r="CR340" s="1577">
        <f t="shared" si="463"/>
        <v>0</v>
      </c>
      <c r="CS340" s="1576">
        <f t="shared" ref="CS340:CS384" si="501">IF(CQ340-(CR340*CS$17)&gt;0,CQ340-(CR340*CS$17),0)</f>
        <v>0</v>
      </c>
      <c r="CT340" s="1495">
        <f t="shared" si="464"/>
        <v>0</v>
      </c>
      <c r="CU340" s="1577">
        <f t="shared" si="465"/>
        <v>0</v>
      </c>
      <c r="CV340" s="1576">
        <f t="shared" ref="CV340:CV383" si="502">IF(CT340-(CU340*CV$17)&gt;0,CT340-(CU340*CV$17),0)</f>
        <v>0</v>
      </c>
      <c r="CW340" s="1495">
        <f t="shared" si="466"/>
        <v>0</v>
      </c>
      <c r="CX340" s="1577">
        <f t="shared" si="467"/>
        <v>0</v>
      </c>
      <c r="CY340" s="1576">
        <f t="shared" ref="CY340:CY383" si="503">IF(CW340-(CX340*CY$17)&gt;0,CW340-(CX340*CY$17),0)</f>
        <v>0</v>
      </c>
      <c r="CZ340" s="1574">
        <f t="shared" ref="CZ340:CZ384" si="504">BO340</f>
        <v>0</v>
      </c>
      <c r="DA340" s="1578">
        <f t="shared" si="410"/>
        <v>0</v>
      </c>
      <c r="DB340" s="1579">
        <f t="shared" si="411"/>
        <v>0</v>
      </c>
      <c r="DC340" s="1578">
        <f t="shared" si="412"/>
        <v>0</v>
      </c>
      <c r="DD340" s="1578">
        <f t="shared" si="412"/>
        <v>0</v>
      </c>
      <c r="DE340" s="1578">
        <f t="shared" si="412"/>
        <v>0</v>
      </c>
      <c r="DF340" s="1578">
        <f t="shared" si="413"/>
        <v>0</v>
      </c>
      <c r="DG340" s="1538"/>
      <c r="DH340" s="1538"/>
      <c r="DI340" s="1422"/>
      <c r="DJ340" s="1428"/>
      <c r="DK340" s="1428"/>
      <c r="DL340" s="1428"/>
      <c r="DM340" s="1428"/>
      <c r="DN340" s="1428"/>
      <c r="DO340" s="1428"/>
      <c r="DP340" s="1428"/>
      <c r="DQ340" s="1422"/>
      <c r="DR340" s="1428"/>
      <c r="DS340" s="1428"/>
      <c r="DT340" s="1428"/>
      <c r="DU340" s="1428"/>
      <c r="DV340" s="1428"/>
      <c r="DW340" s="1428"/>
      <c r="DX340" s="1428"/>
      <c r="DY340" s="1428"/>
      <c r="DZ340" s="1428"/>
      <c r="EA340" s="1428"/>
      <c r="EB340" s="1428"/>
      <c r="EC340" s="1428"/>
      <c r="ED340" s="1428"/>
      <c r="EE340" s="1428"/>
      <c r="EF340" s="1428"/>
      <c r="EG340" s="1428"/>
      <c r="EH340" s="1428"/>
      <c r="EI340" s="1428"/>
      <c r="EJ340" s="1428"/>
      <c r="EK340" s="1428"/>
      <c r="EL340" s="1428"/>
      <c r="EM340" s="1428"/>
      <c r="EN340" s="1428"/>
      <c r="EO340" s="1428"/>
      <c r="EP340" s="1428"/>
      <c r="EQ340" s="1428"/>
      <c r="ER340" s="1428"/>
      <c r="ES340" s="1428"/>
      <c r="ET340" s="1428"/>
      <c r="EU340" s="1428"/>
    </row>
    <row r="341" spans="1:151" s="1440" customFormat="1" ht="15.75" customHeight="1">
      <c r="A341" s="1603"/>
      <c r="B341" s="1600" t="s">
        <v>1473</v>
      </c>
      <c r="C341" s="1737">
        <f>$W$346</f>
        <v>0</v>
      </c>
      <c r="D341" s="1737">
        <f>$AM$346</f>
        <v>0</v>
      </c>
      <c r="E341" s="1475"/>
      <c r="F341" s="1475"/>
      <c r="G341" s="1475"/>
      <c r="H341" s="1475"/>
      <c r="I341" s="1475"/>
      <c r="J341" s="1475"/>
      <c r="L341" s="1422"/>
      <c r="M341" s="1422"/>
      <c r="N341" s="1430"/>
      <c r="O341" s="1640" t="s">
        <v>885</v>
      </c>
      <c r="P341" s="1436">
        <f t="shared" si="471"/>
        <v>31</v>
      </c>
      <c r="Q341" s="1495">
        <f>'Potable Water Calculator'!$C$105/'Potable Water Calculator'!$P$346*'Potable Water Calculator'!$P341</f>
        <v>0</v>
      </c>
      <c r="R341" s="1495">
        <f>'Potable Water Calculator'!$C$106/'Potable Water Calculator'!$P$346*'Potable Water Calculator'!$P341</f>
        <v>0</v>
      </c>
      <c r="S341" s="1495">
        <f>'Potable Water Calculator'!$C$107/'Potable Water Calculator'!$P$346*'Potable Water Calculator'!$P341</f>
        <v>0</v>
      </c>
      <c r="T341" s="1495">
        <f>'Potable Water Calculator'!$C$108/'Potable Water Calculator'!$P$346*'Potable Water Calculator'!$P341</f>
        <v>0</v>
      </c>
      <c r="U341" s="1436">
        <f>('Potable Water Calculator'!P151+'Potable Water Calculator'!R151)/1000</f>
        <v>0</v>
      </c>
      <c r="V341" s="1436">
        <f>'Potable Water Calculator'!S151/1000</f>
        <v>0</v>
      </c>
      <c r="W341" s="1436">
        <f>V341+U341</f>
        <v>0</v>
      </c>
      <c r="X341" s="1436">
        <f t="shared" si="472"/>
        <v>0</v>
      </c>
      <c r="Y341" s="1436">
        <f t="shared" si="473"/>
        <v>0</v>
      </c>
      <c r="Z341" s="1436">
        <f t="shared" si="474"/>
        <v>0</v>
      </c>
      <c r="AA341" s="1436">
        <f t="shared" si="475"/>
        <v>0</v>
      </c>
      <c r="AB341" s="1436">
        <f t="shared" si="476"/>
        <v>0</v>
      </c>
      <c r="AC341" s="1436">
        <f t="shared" si="477"/>
        <v>0</v>
      </c>
      <c r="AD341" s="1436">
        <f t="shared" si="478"/>
        <v>0</v>
      </c>
      <c r="AE341" s="1436">
        <f t="shared" si="487"/>
        <v>0</v>
      </c>
      <c r="AF341" s="1430"/>
      <c r="AG341" s="1436">
        <f>'Potable Water Calculator'!$D$105/'Potable Water Calculator'!$P$346*'Potable Water Calculator'!$P341</f>
        <v>0</v>
      </c>
      <c r="AH341" s="1436">
        <f>'Potable Water Calculator'!$D$106/'Potable Water Calculator'!$P$346*'Potable Water Calculator'!$P341</f>
        <v>0</v>
      </c>
      <c r="AI341" s="1436">
        <f>'Potable Water Calculator'!$D$107/'Potable Water Calculator'!$P$346*'Potable Water Calculator'!$P341</f>
        <v>0</v>
      </c>
      <c r="AJ341" s="1436">
        <f>'Potable Water Calculator'!$D$108/'Potable Water Calculator'!$P$346*'Potable Water Calculator'!$P341</f>
        <v>0</v>
      </c>
      <c r="AK341" s="1436">
        <f>('Potable Water Calculator'!V151+'Potable Water Calculator'!X151)/1000</f>
        <v>0</v>
      </c>
      <c r="AL341" s="1436">
        <f>'Potable Water Calculator'!Y151/1000</f>
        <v>0</v>
      </c>
      <c r="AM341" s="1436">
        <f>AL341+AK341</f>
        <v>0</v>
      </c>
      <c r="AN341" s="1436">
        <f t="shared" si="479"/>
        <v>0</v>
      </c>
      <c r="AO341" s="1436">
        <f t="shared" si="480"/>
        <v>0</v>
      </c>
      <c r="AP341" s="1436">
        <f t="shared" si="481"/>
        <v>0</v>
      </c>
      <c r="AQ341" s="1436">
        <f t="shared" si="482"/>
        <v>0</v>
      </c>
      <c r="AR341" s="1436">
        <f t="shared" si="483"/>
        <v>0</v>
      </c>
      <c r="AS341" s="1436">
        <f t="shared" si="484"/>
        <v>0</v>
      </c>
      <c r="AT341" s="1436">
        <f t="shared" si="485"/>
        <v>0</v>
      </c>
      <c r="AU341" s="1436">
        <f t="shared" si="489"/>
        <v>0</v>
      </c>
      <c r="AV341" s="1430"/>
      <c r="AW341" s="1430"/>
      <c r="AX341" s="1430"/>
      <c r="AY341" s="1430"/>
      <c r="AZ341" s="1430"/>
      <c r="BA341" s="1430"/>
      <c r="BB341" s="1430"/>
      <c r="BC341" s="1430"/>
      <c r="BD341" s="1475"/>
      <c r="BE341" s="1571" t="s">
        <v>1218</v>
      </c>
      <c r="BF341" s="1436">
        <v>22</v>
      </c>
      <c r="BG341" s="1436">
        <v>18</v>
      </c>
      <c r="BH341" s="1436">
        <v>4</v>
      </c>
      <c r="BI341" s="1495" t="b">
        <f t="shared" ref="BI341:BI384" si="505">BH341&lt;=5</f>
        <v>1</v>
      </c>
      <c r="BJ341" s="1450" t="b">
        <f t="shared" si="443"/>
        <v>1</v>
      </c>
      <c r="BK341" s="1572">
        <f t="shared" si="468"/>
        <v>7.083333333333333</v>
      </c>
      <c r="BL341" s="1581">
        <f>IF(SUM(BL$324:BL340,BK341)&gt;$BT$4,0,BK341)</f>
        <v>7.083333333333333</v>
      </c>
      <c r="BM341" s="1436">
        <f t="shared" si="490"/>
        <v>0</v>
      </c>
      <c r="BN341" s="1495">
        <f t="shared" si="491"/>
        <v>0</v>
      </c>
      <c r="BO341" s="1437">
        <f t="shared" si="414"/>
        <v>0</v>
      </c>
      <c r="BP341" s="1762">
        <f t="shared" si="444"/>
        <v>0</v>
      </c>
      <c r="BQ341" s="1577">
        <f t="shared" si="445"/>
        <v>0</v>
      </c>
      <c r="BR341" s="1576">
        <f t="shared" si="492"/>
        <v>0</v>
      </c>
      <c r="BS341" s="1574">
        <f t="shared" si="446"/>
        <v>0</v>
      </c>
      <c r="BT341" s="1577">
        <f t="shared" si="447"/>
        <v>0</v>
      </c>
      <c r="BU341" s="1576">
        <f t="shared" si="493"/>
        <v>0</v>
      </c>
      <c r="BV341" s="1574">
        <f t="shared" si="448"/>
        <v>0</v>
      </c>
      <c r="BW341" s="1577">
        <f t="shared" si="449"/>
        <v>0</v>
      </c>
      <c r="BX341" s="1576">
        <f t="shared" si="494"/>
        <v>0</v>
      </c>
      <c r="BY341" s="1574">
        <f t="shared" si="450"/>
        <v>0</v>
      </c>
      <c r="BZ341" s="1577">
        <f t="shared" si="451"/>
        <v>0</v>
      </c>
      <c r="CA341" s="1576">
        <f t="shared" si="495"/>
        <v>0</v>
      </c>
      <c r="CB341" s="1495">
        <f t="shared" si="452"/>
        <v>0</v>
      </c>
      <c r="CC341" s="1577">
        <f t="shared" si="453"/>
        <v>0</v>
      </c>
      <c r="CD341" s="1576">
        <f t="shared" si="496"/>
        <v>0</v>
      </c>
      <c r="CE341" s="1495">
        <f t="shared" si="454"/>
        <v>0</v>
      </c>
      <c r="CF341" s="1577">
        <f t="shared" si="455"/>
        <v>0</v>
      </c>
      <c r="CG341" s="1576">
        <f t="shared" si="497"/>
        <v>0</v>
      </c>
      <c r="CH341" s="1495">
        <f t="shared" si="456"/>
        <v>0</v>
      </c>
      <c r="CI341" s="1577">
        <f t="shared" si="457"/>
        <v>0</v>
      </c>
      <c r="CJ341" s="1576">
        <f t="shared" si="498"/>
        <v>0</v>
      </c>
      <c r="CK341" s="1495">
        <f t="shared" si="458"/>
        <v>0</v>
      </c>
      <c r="CL341" s="1577">
        <f t="shared" si="459"/>
        <v>0</v>
      </c>
      <c r="CM341" s="1576">
        <f t="shared" si="499"/>
        <v>0</v>
      </c>
      <c r="CN341" s="1495">
        <f t="shared" si="460"/>
        <v>0</v>
      </c>
      <c r="CO341" s="1577">
        <f t="shared" si="461"/>
        <v>0</v>
      </c>
      <c r="CP341" s="1576">
        <f t="shared" si="500"/>
        <v>0</v>
      </c>
      <c r="CQ341" s="1495">
        <f t="shared" si="462"/>
        <v>0</v>
      </c>
      <c r="CR341" s="1577">
        <f t="shared" si="463"/>
        <v>0</v>
      </c>
      <c r="CS341" s="1576">
        <f t="shared" si="501"/>
        <v>0</v>
      </c>
      <c r="CT341" s="1495">
        <f t="shared" si="464"/>
        <v>0</v>
      </c>
      <c r="CU341" s="1577">
        <f t="shared" si="465"/>
        <v>0</v>
      </c>
      <c r="CV341" s="1576">
        <f t="shared" si="502"/>
        <v>0</v>
      </c>
      <c r="CW341" s="1495">
        <f t="shared" si="466"/>
        <v>0</v>
      </c>
      <c r="CX341" s="1577">
        <f t="shared" si="467"/>
        <v>0</v>
      </c>
      <c r="CY341" s="1576">
        <f t="shared" si="503"/>
        <v>0</v>
      </c>
      <c r="CZ341" s="1574">
        <f t="shared" si="504"/>
        <v>0</v>
      </c>
      <c r="DA341" s="1578">
        <f t="shared" ref="DA341:DA383" si="506">BR341+BU341+BX341+CA341+CD341+CG341+CJ341+CM341+CP341+CS341+CV341+CY341</f>
        <v>0</v>
      </c>
      <c r="DB341" s="1579">
        <f t="shared" ref="DB341:DB384" si="507">CZ341-DA341</f>
        <v>0</v>
      </c>
      <c r="DC341" s="1578">
        <f t="shared" ref="DC341:DE384" si="508">IF(DC340+$DB341&lt;0,0,IF(DC340+$DB341&gt;$F$405,$F$405,DC340+$DB341))</f>
        <v>0</v>
      </c>
      <c r="DD341" s="1578">
        <f t="shared" si="508"/>
        <v>0</v>
      </c>
      <c r="DE341" s="1578">
        <f t="shared" si="508"/>
        <v>0</v>
      </c>
      <c r="DF341" s="1578">
        <f t="shared" si="413"/>
        <v>0</v>
      </c>
      <c r="DG341" s="1420"/>
      <c r="DH341" s="1420"/>
      <c r="DI341" s="1422"/>
      <c r="DJ341" s="1428"/>
      <c r="DK341" s="1428"/>
      <c r="DL341" s="1428"/>
      <c r="DM341" s="1428"/>
      <c r="DN341" s="1428"/>
      <c r="DO341" s="1428"/>
      <c r="DP341" s="1428"/>
      <c r="DQ341" s="1422"/>
      <c r="DR341" s="1428"/>
      <c r="DS341" s="1428"/>
      <c r="DT341" s="1428"/>
      <c r="DU341" s="1428"/>
      <c r="DV341" s="1428"/>
      <c r="DW341" s="1428"/>
      <c r="DX341" s="1428"/>
      <c r="DY341" s="1428"/>
      <c r="DZ341" s="1428"/>
      <c r="EA341" s="1428"/>
      <c r="EB341" s="1428"/>
      <c r="EC341" s="1428"/>
      <c r="ED341" s="1428"/>
      <c r="EE341" s="1428"/>
      <c r="EF341" s="1428"/>
      <c r="EG341" s="1428"/>
      <c r="EH341" s="1428"/>
      <c r="EI341" s="1428"/>
      <c r="EJ341" s="1428"/>
      <c r="EK341" s="1428"/>
      <c r="EL341" s="1428"/>
      <c r="EM341" s="1428"/>
      <c r="EN341" s="1428"/>
      <c r="EO341" s="1428"/>
      <c r="EP341" s="1428"/>
      <c r="EQ341" s="1428"/>
      <c r="ER341" s="1428"/>
      <c r="ES341" s="1428"/>
      <c r="ET341" s="1428"/>
      <c r="EU341" s="1428"/>
    </row>
    <row r="342" spans="1:151" s="1440" customFormat="1" ht="15.75" customHeight="1">
      <c r="A342" s="1603"/>
      <c r="B342" s="1600" t="s">
        <v>459</v>
      </c>
      <c r="C342" s="1737">
        <f>$X$346</f>
        <v>0</v>
      </c>
      <c r="D342" s="1737">
        <f>$AN$346</f>
        <v>0</v>
      </c>
      <c r="E342" s="1475"/>
      <c r="F342" s="1475"/>
      <c r="G342" s="1475"/>
      <c r="H342" s="1475"/>
      <c r="I342" s="1475"/>
      <c r="J342" s="1475"/>
      <c r="L342" s="1422"/>
      <c r="M342" s="1422"/>
      <c r="N342" s="1430"/>
      <c r="O342" s="1640" t="s">
        <v>802</v>
      </c>
      <c r="P342" s="1436">
        <f t="shared" si="471"/>
        <v>30</v>
      </c>
      <c r="Q342" s="1495">
        <f>'Potable Water Calculator'!$C$105/'Potable Water Calculator'!$P$346*'Potable Water Calculator'!$P342</f>
        <v>0</v>
      </c>
      <c r="R342" s="1495">
        <f>'Potable Water Calculator'!$C$106/'Potable Water Calculator'!$P$346*'Potable Water Calculator'!$P342</f>
        <v>0</v>
      </c>
      <c r="S342" s="1495">
        <f>'Potable Water Calculator'!$C$107/'Potable Water Calculator'!$P$346*'Potable Water Calculator'!$P342</f>
        <v>0</v>
      </c>
      <c r="T342" s="1495">
        <f>'Potable Water Calculator'!$C$108/'Potable Water Calculator'!$P$346*'Potable Water Calculator'!$P342</f>
        <v>0</v>
      </c>
      <c r="U342" s="1436">
        <f>('Potable Water Calculator'!P152+'Potable Water Calculator'!R152)/1000</f>
        <v>0</v>
      </c>
      <c r="V342" s="1436">
        <f>'Potable Water Calculator'!S152/1000</f>
        <v>0</v>
      </c>
      <c r="W342" s="1436">
        <f>V342+U342</f>
        <v>0</v>
      </c>
      <c r="X342" s="1436">
        <f t="shared" si="472"/>
        <v>0</v>
      </c>
      <c r="Y342" s="1436">
        <f t="shared" si="473"/>
        <v>0</v>
      </c>
      <c r="Z342" s="1436">
        <f t="shared" si="474"/>
        <v>0</v>
      </c>
      <c r="AA342" s="1436">
        <f t="shared" si="475"/>
        <v>0</v>
      </c>
      <c r="AB342" s="1436">
        <f t="shared" si="476"/>
        <v>0</v>
      </c>
      <c r="AC342" s="1436">
        <f t="shared" si="477"/>
        <v>0</v>
      </c>
      <c r="AD342" s="1436">
        <f t="shared" si="478"/>
        <v>0</v>
      </c>
      <c r="AE342" s="1436">
        <f t="shared" si="487"/>
        <v>0</v>
      </c>
      <c r="AF342" s="1430"/>
      <c r="AG342" s="1436">
        <f>'Potable Water Calculator'!$D$105/'Potable Water Calculator'!$P$346*'Potable Water Calculator'!$P342</f>
        <v>0</v>
      </c>
      <c r="AH342" s="1436">
        <f>'Potable Water Calculator'!$D$106/'Potable Water Calculator'!$P$346*'Potable Water Calculator'!$P342</f>
        <v>0</v>
      </c>
      <c r="AI342" s="1436">
        <f>'Potable Water Calculator'!$D$107/'Potable Water Calculator'!$P$346*'Potable Water Calculator'!$P342</f>
        <v>0</v>
      </c>
      <c r="AJ342" s="1436">
        <f>'Potable Water Calculator'!$D$108/'Potable Water Calculator'!$P$346*'Potable Water Calculator'!$P342</f>
        <v>0</v>
      </c>
      <c r="AK342" s="1436">
        <f>('Potable Water Calculator'!V152+'Potable Water Calculator'!X152)/1000</f>
        <v>0</v>
      </c>
      <c r="AL342" s="1436">
        <f>'Potable Water Calculator'!Y152/1000</f>
        <v>0</v>
      </c>
      <c r="AM342" s="1436">
        <f>AL342+AK342</f>
        <v>0</v>
      </c>
      <c r="AN342" s="1436">
        <f t="shared" si="479"/>
        <v>0</v>
      </c>
      <c r="AO342" s="1436">
        <f t="shared" si="480"/>
        <v>0</v>
      </c>
      <c r="AP342" s="1436">
        <f t="shared" si="481"/>
        <v>0</v>
      </c>
      <c r="AQ342" s="1436">
        <f t="shared" si="482"/>
        <v>0</v>
      </c>
      <c r="AR342" s="1436">
        <f t="shared" si="483"/>
        <v>0</v>
      </c>
      <c r="AS342" s="1436">
        <f t="shared" si="484"/>
        <v>0</v>
      </c>
      <c r="AT342" s="1436">
        <f t="shared" si="485"/>
        <v>0</v>
      </c>
      <c r="AU342" s="1436">
        <f t="shared" si="489"/>
        <v>0</v>
      </c>
      <c r="AV342" s="1430"/>
      <c r="AW342" s="1430"/>
      <c r="AX342" s="1430"/>
      <c r="AY342" s="1430"/>
      <c r="AZ342" s="1430"/>
      <c r="BA342" s="1430"/>
      <c r="BB342" s="1430"/>
      <c r="BC342" s="1430"/>
      <c r="BD342" s="1475"/>
      <c r="BE342" s="1571" t="s">
        <v>1218</v>
      </c>
      <c r="BF342" s="1436">
        <v>22</v>
      </c>
      <c r="BG342" s="1436">
        <v>19</v>
      </c>
      <c r="BH342" s="1436">
        <v>5</v>
      </c>
      <c r="BI342" s="1495" t="b">
        <f t="shared" si="505"/>
        <v>1</v>
      </c>
      <c r="BJ342" s="1450" t="b">
        <f t="shared" si="443"/>
        <v>0</v>
      </c>
      <c r="BK342" s="1572">
        <f t="shared" si="468"/>
        <v>0</v>
      </c>
      <c r="BL342" s="1581">
        <f>IF(SUM(BL$324:BL341,BK342)&gt;$BT$4,0,BK342)</f>
        <v>0</v>
      </c>
      <c r="BM342" s="1436">
        <f t="shared" si="490"/>
        <v>0</v>
      </c>
      <c r="BN342" s="1495">
        <f t="shared" si="491"/>
        <v>0</v>
      </c>
      <c r="BO342" s="1437">
        <f t="shared" si="414"/>
        <v>0</v>
      </c>
      <c r="BP342" s="1762">
        <f t="shared" si="444"/>
        <v>0</v>
      </c>
      <c r="BQ342" s="1577">
        <f t="shared" si="445"/>
        <v>0</v>
      </c>
      <c r="BR342" s="1576">
        <f t="shared" si="492"/>
        <v>0</v>
      </c>
      <c r="BS342" s="1574">
        <f t="shared" si="446"/>
        <v>0</v>
      </c>
      <c r="BT342" s="1577">
        <f t="shared" si="447"/>
        <v>0</v>
      </c>
      <c r="BU342" s="1576">
        <f t="shared" si="493"/>
        <v>0</v>
      </c>
      <c r="BV342" s="1574">
        <f t="shared" si="448"/>
        <v>0</v>
      </c>
      <c r="BW342" s="1577">
        <f t="shared" si="449"/>
        <v>0</v>
      </c>
      <c r="BX342" s="1576">
        <f t="shared" si="494"/>
        <v>0</v>
      </c>
      <c r="BY342" s="1574">
        <f t="shared" si="450"/>
        <v>0</v>
      </c>
      <c r="BZ342" s="1577">
        <f t="shared" si="451"/>
        <v>0</v>
      </c>
      <c r="CA342" s="1576">
        <f t="shared" si="495"/>
        <v>0</v>
      </c>
      <c r="CB342" s="1495">
        <f t="shared" si="452"/>
        <v>0</v>
      </c>
      <c r="CC342" s="1577">
        <f t="shared" si="453"/>
        <v>0</v>
      </c>
      <c r="CD342" s="1576">
        <f t="shared" si="496"/>
        <v>0</v>
      </c>
      <c r="CE342" s="1495">
        <f t="shared" si="454"/>
        <v>0</v>
      </c>
      <c r="CF342" s="1577">
        <f t="shared" si="455"/>
        <v>0</v>
      </c>
      <c r="CG342" s="1576">
        <f t="shared" si="497"/>
        <v>0</v>
      </c>
      <c r="CH342" s="1495">
        <f t="shared" si="456"/>
        <v>0</v>
      </c>
      <c r="CI342" s="1577">
        <f t="shared" si="457"/>
        <v>0</v>
      </c>
      <c r="CJ342" s="1576">
        <f t="shared" si="498"/>
        <v>0</v>
      </c>
      <c r="CK342" s="1495">
        <f t="shared" si="458"/>
        <v>0</v>
      </c>
      <c r="CL342" s="1577">
        <f t="shared" si="459"/>
        <v>0</v>
      </c>
      <c r="CM342" s="1576">
        <f t="shared" si="499"/>
        <v>0</v>
      </c>
      <c r="CN342" s="1495">
        <f t="shared" si="460"/>
        <v>0</v>
      </c>
      <c r="CO342" s="1577">
        <f t="shared" si="461"/>
        <v>0</v>
      </c>
      <c r="CP342" s="1576">
        <f t="shared" si="500"/>
        <v>0</v>
      </c>
      <c r="CQ342" s="1495">
        <f t="shared" si="462"/>
        <v>0</v>
      </c>
      <c r="CR342" s="1577">
        <f t="shared" si="463"/>
        <v>0</v>
      </c>
      <c r="CS342" s="1576">
        <f t="shared" si="501"/>
        <v>0</v>
      </c>
      <c r="CT342" s="1495">
        <f t="shared" si="464"/>
        <v>0</v>
      </c>
      <c r="CU342" s="1577">
        <f t="shared" si="465"/>
        <v>0</v>
      </c>
      <c r="CV342" s="1576">
        <f t="shared" si="502"/>
        <v>0</v>
      </c>
      <c r="CW342" s="1495">
        <f t="shared" si="466"/>
        <v>0</v>
      </c>
      <c r="CX342" s="1577">
        <f t="shared" si="467"/>
        <v>0</v>
      </c>
      <c r="CY342" s="1576">
        <f t="shared" si="503"/>
        <v>0</v>
      </c>
      <c r="CZ342" s="1574">
        <f t="shared" si="504"/>
        <v>0</v>
      </c>
      <c r="DA342" s="1578">
        <f t="shared" si="506"/>
        <v>0</v>
      </c>
      <c r="DB342" s="1579">
        <f t="shared" si="507"/>
        <v>0</v>
      </c>
      <c r="DC342" s="1578">
        <f t="shared" si="508"/>
        <v>0</v>
      </c>
      <c r="DD342" s="1578">
        <f t="shared" si="508"/>
        <v>0</v>
      </c>
      <c r="DE342" s="1578">
        <f t="shared" si="508"/>
        <v>0</v>
      </c>
      <c r="DF342" s="1578">
        <f t="shared" ref="DF342:DF384" si="509">IF(DA342-(DE341+CZ342)&lt;0,0,DA342-(DE341+CZ342))</f>
        <v>0</v>
      </c>
      <c r="DG342" s="1420"/>
      <c r="DH342" s="1420"/>
      <c r="DI342" s="1422"/>
      <c r="DJ342" s="1428"/>
      <c r="DK342" s="1428"/>
      <c r="DL342" s="1428"/>
      <c r="DM342" s="1428"/>
      <c r="DN342" s="1428"/>
      <c r="DO342" s="1428"/>
      <c r="DP342" s="1428"/>
      <c r="DQ342" s="1422"/>
      <c r="DR342" s="1428"/>
      <c r="DS342" s="1428"/>
      <c r="DT342" s="1428"/>
      <c r="DU342" s="1428"/>
      <c r="DV342" s="1428"/>
      <c r="DW342" s="1428"/>
      <c r="DX342" s="1428"/>
      <c r="DY342" s="1428"/>
      <c r="DZ342" s="1428"/>
      <c r="EA342" s="1428"/>
      <c r="EB342" s="1428"/>
      <c r="EC342" s="1428"/>
      <c r="ED342" s="1428"/>
      <c r="EE342" s="1428"/>
      <c r="EF342" s="1428"/>
      <c r="EG342" s="1428"/>
      <c r="EH342" s="1428"/>
      <c r="EI342" s="1428"/>
      <c r="EJ342" s="1428"/>
      <c r="EK342" s="1428"/>
      <c r="EL342" s="1428"/>
      <c r="EM342" s="1428"/>
      <c r="EN342" s="1428"/>
      <c r="EO342" s="1428"/>
      <c r="EP342" s="1428"/>
      <c r="EQ342" s="1428"/>
      <c r="ER342" s="1428"/>
      <c r="ES342" s="1428"/>
      <c r="ET342" s="1428"/>
      <c r="EU342" s="1428"/>
    </row>
    <row r="343" spans="1:151" s="1440" customFormat="1" ht="15.75" customHeight="1">
      <c r="A343" s="1603"/>
      <c r="B343" s="1600" t="s">
        <v>1429</v>
      </c>
      <c r="C343" s="1737">
        <f>$Y$346</f>
        <v>0</v>
      </c>
      <c r="D343" s="1737">
        <f>$AO$346</f>
        <v>0</v>
      </c>
      <c r="E343" s="1475"/>
      <c r="F343" s="1475"/>
      <c r="G343" s="1475"/>
      <c r="H343" s="1475"/>
      <c r="I343" s="1475"/>
      <c r="J343" s="1475"/>
      <c r="L343" s="1422"/>
      <c r="M343" s="1422"/>
      <c r="N343" s="1430"/>
      <c r="O343" s="1640" t="s">
        <v>803</v>
      </c>
      <c r="P343" s="1436">
        <f t="shared" si="471"/>
        <v>31</v>
      </c>
      <c r="Q343" s="1495">
        <f>'Potable Water Calculator'!$C$105/'Potable Water Calculator'!$P$346*'Potable Water Calculator'!$P343</f>
        <v>0</v>
      </c>
      <c r="R343" s="1495">
        <f>'Potable Water Calculator'!$C$106/'Potable Water Calculator'!$P$346*'Potable Water Calculator'!$P343</f>
        <v>0</v>
      </c>
      <c r="S343" s="1495">
        <f>'Potable Water Calculator'!$C$107/'Potable Water Calculator'!$P$346*'Potable Water Calculator'!$P343</f>
        <v>0</v>
      </c>
      <c r="T343" s="1495">
        <f>'Potable Water Calculator'!$C$108/'Potable Water Calculator'!$P$346*'Potable Water Calculator'!$P343</f>
        <v>0</v>
      </c>
      <c r="U343" s="1436">
        <f>('Potable Water Calculator'!P153+'Potable Water Calculator'!R153)/1000</f>
        <v>0</v>
      </c>
      <c r="V343" s="1436">
        <f>'Potable Water Calculator'!S153/1000</f>
        <v>0</v>
      </c>
      <c r="W343" s="1436">
        <f>V343+U343</f>
        <v>0</v>
      </c>
      <c r="X343" s="1436">
        <f t="shared" si="472"/>
        <v>0</v>
      </c>
      <c r="Y343" s="1436">
        <f t="shared" si="473"/>
        <v>0</v>
      </c>
      <c r="Z343" s="1436">
        <f t="shared" si="474"/>
        <v>0</v>
      </c>
      <c r="AA343" s="1436">
        <f t="shared" si="475"/>
        <v>0</v>
      </c>
      <c r="AB343" s="1436">
        <f t="shared" si="476"/>
        <v>0</v>
      </c>
      <c r="AC343" s="1436">
        <f t="shared" si="477"/>
        <v>0</v>
      </c>
      <c r="AD343" s="1436">
        <f t="shared" si="478"/>
        <v>0</v>
      </c>
      <c r="AE343" s="1436">
        <f t="shared" si="487"/>
        <v>0</v>
      </c>
      <c r="AF343" s="1430"/>
      <c r="AG343" s="1436">
        <f>'Potable Water Calculator'!$D$105/'Potable Water Calculator'!$P$346*'Potable Water Calculator'!$P343</f>
        <v>0</v>
      </c>
      <c r="AH343" s="1436">
        <f>'Potable Water Calculator'!$D$106/'Potable Water Calculator'!$P$346*'Potable Water Calculator'!$P343</f>
        <v>0</v>
      </c>
      <c r="AI343" s="1436">
        <f>'Potable Water Calculator'!$D$107/'Potable Water Calculator'!$P$346*'Potable Water Calculator'!$P343</f>
        <v>0</v>
      </c>
      <c r="AJ343" s="1436">
        <f>'Potable Water Calculator'!$D$108/'Potable Water Calculator'!$P$346*'Potable Water Calculator'!$P343</f>
        <v>0</v>
      </c>
      <c r="AK343" s="1436">
        <f>('Potable Water Calculator'!V153+'Potable Water Calculator'!X153)/1000</f>
        <v>0</v>
      </c>
      <c r="AL343" s="1436">
        <f>'Potable Water Calculator'!Y153/1000</f>
        <v>0</v>
      </c>
      <c r="AM343" s="1436">
        <f>AL343+AK343</f>
        <v>0</v>
      </c>
      <c r="AN343" s="1436">
        <f t="shared" si="479"/>
        <v>0</v>
      </c>
      <c r="AO343" s="1436">
        <f t="shared" si="480"/>
        <v>0</v>
      </c>
      <c r="AP343" s="1436">
        <f t="shared" si="481"/>
        <v>0</v>
      </c>
      <c r="AQ343" s="1436">
        <f t="shared" si="482"/>
        <v>0</v>
      </c>
      <c r="AR343" s="1436">
        <f t="shared" si="483"/>
        <v>0</v>
      </c>
      <c r="AS343" s="1436">
        <f t="shared" si="484"/>
        <v>0</v>
      </c>
      <c r="AT343" s="1436">
        <f t="shared" si="485"/>
        <v>0</v>
      </c>
      <c r="AU343" s="1436">
        <f t="shared" si="489"/>
        <v>0</v>
      </c>
      <c r="AV343" s="1430"/>
      <c r="AW343" s="1430"/>
      <c r="AX343" s="1430"/>
      <c r="AY343" s="1430"/>
      <c r="AZ343" s="1430"/>
      <c r="BA343" s="1430"/>
      <c r="BB343" s="1430"/>
      <c r="BC343" s="1430"/>
      <c r="BD343" s="1475"/>
      <c r="BE343" s="1571" t="s">
        <v>1218</v>
      </c>
      <c r="BF343" s="1436">
        <v>22</v>
      </c>
      <c r="BG343" s="1436">
        <v>20</v>
      </c>
      <c r="BH343" s="1436">
        <v>6</v>
      </c>
      <c r="BI343" s="1495" t="b">
        <f t="shared" si="505"/>
        <v>0</v>
      </c>
      <c r="BJ343" s="1450" t="b">
        <f t="shared" si="443"/>
        <v>0</v>
      </c>
      <c r="BK343" s="1572">
        <f t="shared" si="468"/>
        <v>0</v>
      </c>
      <c r="BL343" s="1581">
        <f>IF(SUM(BL$324:BL342,BK343)&gt;$BT$4,0,BK343)</f>
        <v>0</v>
      </c>
      <c r="BM343" s="1436">
        <f t="shared" si="490"/>
        <v>0</v>
      </c>
      <c r="BN343" s="1495">
        <f t="shared" si="491"/>
        <v>0</v>
      </c>
      <c r="BO343" s="1437">
        <f t="shared" si="414"/>
        <v>0</v>
      </c>
      <c r="BP343" s="1762">
        <f t="shared" si="444"/>
        <v>0</v>
      </c>
      <c r="BQ343" s="1577">
        <f t="shared" si="445"/>
        <v>0</v>
      </c>
      <c r="BR343" s="1576">
        <f t="shared" si="492"/>
        <v>0</v>
      </c>
      <c r="BS343" s="1574">
        <f t="shared" si="446"/>
        <v>0</v>
      </c>
      <c r="BT343" s="1577">
        <f t="shared" si="447"/>
        <v>0</v>
      </c>
      <c r="BU343" s="1576">
        <f t="shared" si="493"/>
        <v>0</v>
      </c>
      <c r="BV343" s="1574">
        <f t="shared" si="448"/>
        <v>0</v>
      </c>
      <c r="BW343" s="1577">
        <f t="shared" si="449"/>
        <v>0</v>
      </c>
      <c r="BX343" s="1576">
        <f t="shared" si="494"/>
        <v>0</v>
      </c>
      <c r="BY343" s="1574">
        <f t="shared" si="450"/>
        <v>0</v>
      </c>
      <c r="BZ343" s="1577">
        <f t="shared" si="451"/>
        <v>0</v>
      </c>
      <c r="CA343" s="1576">
        <f t="shared" si="495"/>
        <v>0</v>
      </c>
      <c r="CB343" s="1495">
        <f t="shared" si="452"/>
        <v>0</v>
      </c>
      <c r="CC343" s="1577">
        <f t="shared" si="453"/>
        <v>0</v>
      </c>
      <c r="CD343" s="1576">
        <f t="shared" si="496"/>
        <v>0</v>
      </c>
      <c r="CE343" s="1495">
        <f t="shared" si="454"/>
        <v>0</v>
      </c>
      <c r="CF343" s="1577">
        <f t="shared" si="455"/>
        <v>0</v>
      </c>
      <c r="CG343" s="1576">
        <f t="shared" si="497"/>
        <v>0</v>
      </c>
      <c r="CH343" s="1495">
        <f t="shared" si="456"/>
        <v>0</v>
      </c>
      <c r="CI343" s="1577">
        <f t="shared" si="457"/>
        <v>0</v>
      </c>
      <c r="CJ343" s="1576">
        <f t="shared" si="498"/>
        <v>0</v>
      </c>
      <c r="CK343" s="1495">
        <f t="shared" si="458"/>
        <v>0</v>
      </c>
      <c r="CL343" s="1577">
        <f t="shared" si="459"/>
        <v>0</v>
      </c>
      <c r="CM343" s="1576">
        <f t="shared" si="499"/>
        <v>0</v>
      </c>
      <c r="CN343" s="1495">
        <f t="shared" si="460"/>
        <v>0</v>
      </c>
      <c r="CO343" s="1577">
        <f t="shared" si="461"/>
        <v>0</v>
      </c>
      <c r="CP343" s="1576">
        <f t="shared" si="500"/>
        <v>0</v>
      </c>
      <c r="CQ343" s="1495">
        <f t="shared" si="462"/>
        <v>0</v>
      </c>
      <c r="CR343" s="1577">
        <f t="shared" si="463"/>
        <v>0</v>
      </c>
      <c r="CS343" s="1576">
        <f t="shared" si="501"/>
        <v>0</v>
      </c>
      <c r="CT343" s="1495">
        <f t="shared" si="464"/>
        <v>0</v>
      </c>
      <c r="CU343" s="1577">
        <f t="shared" si="465"/>
        <v>0</v>
      </c>
      <c r="CV343" s="1576">
        <f t="shared" si="502"/>
        <v>0</v>
      </c>
      <c r="CW343" s="1495">
        <f t="shared" si="466"/>
        <v>0</v>
      </c>
      <c r="CX343" s="1577">
        <f t="shared" si="467"/>
        <v>0</v>
      </c>
      <c r="CY343" s="1576">
        <f t="shared" si="503"/>
        <v>0</v>
      </c>
      <c r="CZ343" s="1574">
        <f t="shared" si="504"/>
        <v>0</v>
      </c>
      <c r="DA343" s="1578">
        <f t="shared" si="506"/>
        <v>0</v>
      </c>
      <c r="DB343" s="1579">
        <f t="shared" si="507"/>
        <v>0</v>
      </c>
      <c r="DC343" s="1578">
        <f t="shared" si="508"/>
        <v>0</v>
      </c>
      <c r="DD343" s="1578">
        <f t="shared" si="508"/>
        <v>0</v>
      </c>
      <c r="DE343" s="1578">
        <f t="shared" si="508"/>
        <v>0</v>
      </c>
      <c r="DF343" s="1578">
        <f t="shared" si="509"/>
        <v>0</v>
      </c>
      <c r="DG343" s="1420"/>
      <c r="DH343" s="1420"/>
      <c r="DI343" s="1422"/>
      <c r="DJ343" s="1428"/>
      <c r="DK343" s="1428"/>
      <c r="DL343" s="1428"/>
      <c r="DM343" s="1428"/>
      <c r="DN343" s="1428"/>
      <c r="DO343" s="1428"/>
      <c r="DP343" s="1428"/>
      <c r="DQ343" s="1422"/>
      <c r="DR343" s="1428"/>
      <c r="DS343" s="1428"/>
      <c r="DT343" s="1428"/>
      <c r="DU343" s="1428"/>
      <c r="DV343" s="1428"/>
      <c r="DW343" s="1428"/>
      <c r="DX343" s="1428"/>
      <c r="DY343" s="1428"/>
      <c r="DZ343" s="1428"/>
      <c r="EA343" s="1428"/>
      <c r="EB343" s="1428"/>
      <c r="EC343" s="1428"/>
      <c r="ED343" s="1428"/>
      <c r="EE343" s="1428"/>
      <c r="EF343" s="1428"/>
      <c r="EG343" s="1428"/>
      <c r="EH343" s="1428"/>
      <c r="EI343" s="1428"/>
      <c r="EJ343" s="1428"/>
      <c r="EK343" s="1428"/>
      <c r="EL343" s="1428"/>
      <c r="EM343" s="1428"/>
      <c r="EN343" s="1428"/>
      <c r="EO343" s="1428"/>
      <c r="EP343" s="1428"/>
      <c r="EQ343" s="1428"/>
      <c r="ER343" s="1428"/>
      <c r="ES343" s="1428"/>
      <c r="ET343" s="1428"/>
      <c r="EU343" s="1428"/>
    </row>
    <row r="344" spans="1:151" s="1440" customFormat="1" ht="15.75" customHeight="1">
      <c r="A344" s="1603"/>
      <c r="B344" s="1600" t="s">
        <v>2299</v>
      </c>
      <c r="C344" s="1737">
        <f>$Z$346</f>
        <v>0</v>
      </c>
      <c r="D344" s="1737">
        <f>$AP$346</f>
        <v>0</v>
      </c>
      <c r="E344" s="1475"/>
      <c r="F344" s="1475"/>
      <c r="G344" s="1475"/>
      <c r="H344" s="1475"/>
      <c r="I344" s="1475"/>
      <c r="J344" s="1475"/>
      <c r="L344" s="1422"/>
      <c r="M344" s="1422"/>
      <c r="N344" s="1430"/>
      <c r="O344" s="1640" t="s">
        <v>804</v>
      </c>
      <c r="P344" s="1436">
        <f t="shared" si="471"/>
        <v>30</v>
      </c>
      <c r="Q344" s="1495">
        <f>'Potable Water Calculator'!$C$105/'Potable Water Calculator'!$P$346*'Potable Water Calculator'!$P344</f>
        <v>0</v>
      </c>
      <c r="R344" s="1495">
        <f>'Potable Water Calculator'!$C$106/'Potable Water Calculator'!$P$346*'Potable Water Calculator'!$P344</f>
        <v>0</v>
      </c>
      <c r="S344" s="1495">
        <f>'Potable Water Calculator'!$C$107/'Potable Water Calculator'!$P$346*'Potable Water Calculator'!$P344</f>
        <v>0</v>
      </c>
      <c r="T344" s="1495">
        <f>'Potable Water Calculator'!$C$108/'Potable Water Calculator'!$P$346*'Potable Water Calculator'!$P344</f>
        <v>0</v>
      </c>
      <c r="U344" s="1436">
        <f>('Potable Water Calculator'!P154+'Potable Water Calculator'!R154)/1000</f>
        <v>0</v>
      </c>
      <c r="V344" s="1436">
        <f>'Potable Water Calculator'!S154/1000</f>
        <v>0</v>
      </c>
      <c r="W344" s="1436">
        <f>V344+U344</f>
        <v>0</v>
      </c>
      <c r="X344" s="1436">
        <f t="shared" si="472"/>
        <v>0</v>
      </c>
      <c r="Y344" s="1436">
        <f t="shared" si="473"/>
        <v>0</v>
      </c>
      <c r="Z344" s="1436">
        <f t="shared" si="474"/>
        <v>0</v>
      </c>
      <c r="AA344" s="1436">
        <f t="shared" si="475"/>
        <v>0</v>
      </c>
      <c r="AB344" s="1436">
        <f t="shared" si="476"/>
        <v>0</v>
      </c>
      <c r="AC344" s="1436">
        <f t="shared" si="477"/>
        <v>0</v>
      </c>
      <c r="AD344" s="1436">
        <f t="shared" si="478"/>
        <v>0</v>
      </c>
      <c r="AE344" s="1436">
        <f t="shared" si="487"/>
        <v>0</v>
      </c>
      <c r="AF344" s="1430"/>
      <c r="AG344" s="1436">
        <f>'Potable Water Calculator'!$D$105/'Potable Water Calculator'!$P$346*'Potable Water Calculator'!$P344</f>
        <v>0</v>
      </c>
      <c r="AH344" s="1436">
        <f>'Potable Water Calculator'!$D$106/'Potable Water Calculator'!$P$346*'Potable Water Calculator'!$P344</f>
        <v>0</v>
      </c>
      <c r="AI344" s="1436">
        <f>'Potable Water Calculator'!$D$107/'Potable Water Calculator'!$P$346*'Potable Water Calculator'!$P344</f>
        <v>0</v>
      </c>
      <c r="AJ344" s="1436">
        <f>'Potable Water Calculator'!$D$108/'Potable Water Calculator'!$P$346*'Potable Water Calculator'!$P344</f>
        <v>0</v>
      </c>
      <c r="AK344" s="1436">
        <f>('Potable Water Calculator'!V154+'Potable Water Calculator'!X154)/1000</f>
        <v>0</v>
      </c>
      <c r="AL344" s="1436">
        <f>'Potable Water Calculator'!Y154/1000</f>
        <v>0</v>
      </c>
      <c r="AM344" s="1436">
        <f>AL344+AK344</f>
        <v>0</v>
      </c>
      <c r="AN344" s="1436">
        <f t="shared" si="479"/>
        <v>0</v>
      </c>
      <c r="AO344" s="1436">
        <f t="shared" si="480"/>
        <v>0</v>
      </c>
      <c r="AP344" s="1436">
        <f t="shared" si="481"/>
        <v>0</v>
      </c>
      <c r="AQ344" s="1436">
        <f t="shared" si="482"/>
        <v>0</v>
      </c>
      <c r="AR344" s="1436">
        <f t="shared" si="483"/>
        <v>0</v>
      </c>
      <c r="AS344" s="1436">
        <f t="shared" si="484"/>
        <v>0</v>
      </c>
      <c r="AT344" s="1436">
        <f t="shared" si="485"/>
        <v>0</v>
      </c>
      <c r="AU344" s="1436">
        <f t="shared" si="489"/>
        <v>0</v>
      </c>
      <c r="AV344" s="1430"/>
      <c r="AW344" s="1430"/>
      <c r="AX344" s="1430"/>
      <c r="AY344" s="1430"/>
      <c r="AZ344" s="1430"/>
      <c r="BA344" s="1430"/>
      <c r="BB344" s="1430"/>
      <c r="BC344" s="1430"/>
      <c r="BD344" s="1475"/>
      <c r="BE344" s="1571" t="s">
        <v>1218</v>
      </c>
      <c r="BF344" s="1436">
        <v>22</v>
      </c>
      <c r="BG344" s="1436">
        <v>21</v>
      </c>
      <c r="BH344" s="1436">
        <v>7</v>
      </c>
      <c r="BI344" s="1495" t="b">
        <f t="shared" si="505"/>
        <v>0</v>
      </c>
      <c r="BJ344" s="1450" t="b">
        <f t="shared" si="443"/>
        <v>1</v>
      </c>
      <c r="BK344" s="1572">
        <f t="shared" si="468"/>
        <v>7.083333333333333</v>
      </c>
      <c r="BL344" s="1581">
        <f>IF(SUM(BL$324:BL343,BK344)&gt;$BT$4,0,BK344)</f>
        <v>7.083333333333333</v>
      </c>
      <c r="BM344" s="1436">
        <f t="shared" si="490"/>
        <v>0</v>
      </c>
      <c r="BN344" s="1495">
        <f t="shared" si="491"/>
        <v>0</v>
      </c>
      <c r="BO344" s="1437">
        <f t="shared" si="414"/>
        <v>0</v>
      </c>
      <c r="BP344" s="1762">
        <f t="shared" si="444"/>
        <v>0</v>
      </c>
      <c r="BQ344" s="1577">
        <f t="shared" si="445"/>
        <v>0</v>
      </c>
      <c r="BR344" s="1576">
        <f t="shared" si="492"/>
        <v>0</v>
      </c>
      <c r="BS344" s="1574">
        <f t="shared" si="446"/>
        <v>0</v>
      </c>
      <c r="BT344" s="1577">
        <f t="shared" si="447"/>
        <v>0</v>
      </c>
      <c r="BU344" s="1576">
        <f t="shared" si="493"/>
        <v>0</v>
      </c>
      <c r="BV344" s="1574">
        <f t="shared" si="448"/>
        <v>0</v>
      </c>
      <c r="BW344" s="1577">
        <f t="shared" si="449"/>
        <v>0</v>
      </c>
      <c r="BX344" s="1576">
        <f t="shared" si="494"/>
        <v>0</v>
      </c>
      <c r="BY344" s="1574">
        <f t="shared" si="450"/>
        <v>0</v>
      </c>
      <c r="BZ344" s="1577">
        <f t="shared" si="451"/>
        <v>0</v>
      </c>
      <c r="CA344" s="1576">
        <f t="shared" si="495"/>
        <v>0</v>
      </c>
      <c r="CB344" s="1495">
        <f t="shared" si="452"/>
        <v>0</v>
      </c>
      <c r="CC344" s="1577">
        <f t="shared" si="453"/>
        <v>0</v>
      </c>
      <c r="CD344" s="1576">
        <f t="shared" si="496"/>
        <v>0</v>
      </c>
      <c r="CE344" s="1495">
        <f t="shared" si="454"/>
        <v>0</v>
      </c>
      <c r="CF344" s="1577">
        <f t="shared" si="455"/>
        <v>0</v>
      </c>
      <c r="CG344" s="1576">
        <f t="shared" si="497"/>
        <v>0</v>
      </c>
      <c r="CH344" s="1495">
        <f t="shared" si="456"/>
        <v>0</v>
      </c>
      <c r="CI344" s="1577">
        <f t="shared" si="457"/>
        <v>0</v>
      </c>
      <c r="CJ344" s="1576">
        <f t="shared" si="498"/>
        <v>0</v>
      </c>
      <c r="CK344" s="1495">
        <f t="shared" si="458"/>
        <v>0</v>
      </c>
      <c r="CL344" s="1577">
        <f t="shared" si="459"/>
        <v>0</v>
      </c>
      <c r="CM344" s="1576">
        <f t="shared" si="499"/>
        <v>0</v>
      </c>
      <c r="CN344" s="1495">
        <f t="shared" si="460"/>
        <v>0</v>
      </c>
      <c r="CO344" s="1577">
        <f t="shared" si="461"/>
        <v>0</v>
      </c>
      <c r="CP344" s="1576">
        <f t="shared" si="500"/>
        <v>0</v>
      </c>
      <c r="CQ344" s="1495">
        <f t="shared" si="462"/>
        <v>0</v>
      </c>
      <c r="CR344" s="1577">
        <f t="shared" si="463"/>
        <v>0</v>
      </c>
      <c r="CS344" s="1576">
        <f t="shared" si="501"/>
        <v>0</v>
      </c>
      <c r="CT344" s="1495">
        <f t="shared" si="464"/>
        <v>0</v>
      </c>
      <c r="CU344" s="1577">
        <f t="shared" si="465"/>
        <v>0</v>
      </c>
      <c r="CV344" s="1576">
        <f t="shared" si="502"/>
        <v>0</v>
      </c>
      <c r="CW344" s="1495">
        <f t="shared" si="466"/>
        <v>0</v>
      </c>
      <c r="CX344" s="1577">
        <f t="shared" si="467"/>
        <v>0</v>
      </c>
      <c r="CY344" s="1576">
        <f t="shared" si="503"/>
        <v>0</v>
      </c>
      <c r="CZ344" s="1574">
        <f t="shared" si="504"/>
        <v>0</v>
      </c>
      <c r="DA344" s="1578">
        <f t="shared" si="506"/>
        <v>0</v>
      </c>
      <c r="DB344" s="1579">
        <f t="shared" si="507"/>
        <v>0</v>
      </c>
      <c r="DC344" s="1578">
        <f t="shared" si="508"/>
        <v>0</v>
      </c>
      <c r="DD344" s="1578">
        <f t="shared" si="508"/>
        <v>0</v>
      </c>
      <c r="DE344" s="1578">
        <f t="shared" si="508"/>
        <v>0</v>
      </c>
      <c r="DF344" s="1578">
        <f t="shared" si="509"/>
        <v>0</v>
      </c>
      <c r="DG344" s="1420"/>
      <c r="DH344" s="1420"/>
      <c r="DI344" s="1422"/>
      <c r="DJ344" s="1428"/>
      <c r="DK344" s="1428"/>
      <c r="DL344" s="1428"/>
      <c r="DM344" s="1428"/>
      <c r="DN344" s="1428"/>
      <c r="DO344" s="1428"/>
      <c r="DP344" s="1428"/>
      <c r="DQ344" s="1422"/>
      <c r="DR344" s="1428"/>
      <c r="DS344" s="1428"/>
      <c r="DT344" s="1428"/>
      <c r="DU344" s="1428"/>
      <c r="DV344" s="1428"/>
      <c r="DW344" s="1428"/>
      <c r="DX344" s="1428"/>
      <c r="DY344" s="1428"/>
      <c r="DZ344" s="1428"/>
      <c r="EA344" s="1428"/>
      <c r="EB344" s="1428"/>
      <c r="EC344" s="1428"/>
      <c r="ED344" s="1428"/>
      <c r="EE344" s="1428"/>
      <c r="EF344" s="1428"/>
      <c r="EG344" s="1428"/>
      <c r="EH344" s="1428"/>
      <c r="EI344" s="1428"/>
      <c r="EJ344" s="1428"/>
      <c r="EK344" s="1428"/>
      <c r="EL344" s="1428"/>
      <c r="EM344" s="1428"/>
      <c r="EN344" s="1428"/>
      <c r="EO344" s="1428"/>
      <c r="EP344" s="1428"/>
      <c r="EQ344" s="1428"/>
      <c r="ER344" s="1428"/>
      <c r="ES344" s="1428"/>
      <c r="ET344" s="1428"/>
      <c r="EU344" s="1428"/>
    </row>
    <row r="345" spans="1:151" s="1440" customFormat="1" ht="15.75" customHeight="1">
      <c r="A345" s="1603"/>
      <c r="B345" s="1600" t="s">
        <v>2300</v>
      </c>
      <c r="C345" s="1737">
        <f>$AA$346</f>
        <v>0</v>
      </c>
      <c r="D345" s="1737">
        <f>$AQ$346</f>
        <v>0</v>
      </c>
      <c r="E345" s="1475"/>
      <c r="F345" s="1475"/>
      <c r="G345" s="1475"/>
      <c r="H345" s="1475"/>
      <c r="I345" s="1475"/>
      <c r="J345" s="1475"/>
      <c r="L345" s="1422"/>
      <c r="M345" s="1422"/>
      <c r="N345" s="1430"/>
      <c r="O345" s="1640" t="s">
        <v>1603</v>
      </c>
      <c r="P345" s="1436">
        <f t="shared" si="471"/>
        <v>31</v>
      </c>
      <c r="Q345" s="1495">
        <f>'Potable Water Calculator'!$C$105/'Potable Water Calculator'!$P$346*'Potable Water Calculator'!$P345</f>
        <v>0</v>
      </c>
      <c r="R345" s="1495">
        <f>'Potable Water Calculator'!$C$106/'Potable Water Calculator'!$P$346*'Potable Water Calculator'!$P345</f>
        <v>0</v>
      </c>
      <c r="S345" s="1495">
        <f>'Potable Water Calculator'!$C$107/'Potable Water Calculator'!$P$346*'Potable Water Calculator'!$P345</f>
        <v>0</v>
      </c>
      <c r="T345" s="1495">
        <f>'Potable Water Calculator'!$C$108/'Potable Water Calculator'!$P$346*'Potable Water Calculator'!$P345</f>
        <v>0</v>
      </c>
      <c r="U345" s="1436">
        <f>('Potable Water Calculator'!P155+'Potable Water Calculator'!R155)/1000</f>
        <v>0</v>
      </c>
      <c r="V345" s="1436">
        <f>'Potable Water Calculator'!S155/1000</f>
        <v>0</v>
      </c>
      <c r="W345" s="1436">
        <f>V345+U345</f>
        <v>0</v>
      </c>
      <c r="X345" s="1436">
        <f t="shared" si="472"/>
        <v>0</v>
      </c>
      <c r="Y345" s="1436">
        <f t="shared" si="473"/>
        <v>0</v>
      </c>
      <c r="Z345" s="1436">
        <f t="shared" si="474"/>
        <v>0</v>
      </c>
      <c r="AA345" s="1436">
        <f t="shared" si="475"/>
        <v>0</v>
      </c>
      <c r="AB345" s="1436">
        <f t="shared" si="476"/>
        <v>0</v>
      </c>
      <c r="AC345" s="1436">
        <f t="shared" si="477"/>
        <v>0</v>
      </c>
      <c r="AD345" s="1436">
        <f t="shared" si="478"/>
        <v>0</v>
      </c>
      <c r="AE345" s="1436">
        <f t="shared" si="487"/>
        <v>0</v>
      </c>
      <c r="AF345" s="1430"/>
      <c r="AG345" s="1436">
        <f>'Potable Water Calculator'!$D$105/'Potable Water Calculator'!$P$346*'Potable Water Calculator'!$P345</f>
        <v>0</v>
      </c>
      <c r="AH345" s="1436">
        <f>'Potable Water Calculator'!$D$106/'Potable Water Calculator'!$P$346*'Potable Water Calculator'!$P345</f>
        <v>0</v>
      </c>
      <c r="AI345" s="1436">
        <f>'Potable Water Calculator'!$D$107/'Potable Water Calculator'!$P$346*'Potable Water Calculator'!$P345</f>
        <v>0</v>
      </c>
      <c r="AJ345" s="1436">
        <f>'Potable Water Calculator'!$D$108/'Potable Water Calculator'!$P$346*'Potable Water Calculator'!$P345</f>
        <v>0</v>
      </c>
      <c r="AK345" s="1436">
        <f>('Potable Water Calculator'!V155+'Potable Water Calculator'!X155)/1000</f>
        <v>0</v>
      </c>
      <c r="AL345" s="1436">
        <f>'Potable Water Calculator'!Y155/1000</f>
        <v>0</v>
      </c>
      <c r="AM345" s="1436">
        <f>AL345+AK345</f>
        <v>0</v>
      </c>
      <c r="AN345" s="1436">
        <f t="shared" si="479"/>
        <v>0</v>
      </c>
      <c r="AO345" s="1436">
        <f t="shared" si="480"/>
        <v>0</v>
      </c>
      <c r="AP345" s="1436">
        <f t="shared" si="481"/>
        <v>0</v>
      </c>
      <c r="AQ345" s="1436">
        <f t="shared" si="482"/>
        <v>0</v>
      </c>
      <c r="AR345" s="1436">
        <f t="shared" si="483"/>
        <v>0</v>
      </c>
      <c r="AS345" s="1436">
        <f t="shared" si="484"/>
        <v>0</v>
      </c>
      <c r="AT345" s="1436">
        <f t="shared" si="485"/>
        <v>0</v>
      </c>
      <c r="AU345" s="1436">
        <f t="shared" si="489"/>
        <v>0</v>
      </c>
      <c r="AV345" s="1430"/>
      <c r="AW345" s="1430"/>
      <c r="AX345" s="1430"/>
      <c r="AY345" s="1430"/>
      <c r="AZ345" s="1430"/>
      <c r="BA345" s="1430"/>
      <c r="BB345" s="1430"/>
      <c r="BC345" s="1430"/>
      <c r="BE345" s="1571" t="s">
        <v>1218</v>
      </c>
      <c r="BF345" s="1436">
        <v>22</v>
      </c>
      <c r="BG345" s="1436">
        <v>22</v>
      </c>
      <c r="BH345" s="1436">
        <v>1</v>
      </c>
      <c r="BI345" s="1495" t="b">
        <f t="shared" si="505"/>
        <v>1</v>
      </c>
      <c r="BJ345" s="1450" t="b">
        <f t="shared" si="443"/>
        <v>0</v>
      </c>
      <c r="BK345" s="1572">
        <f t="shared" si="468"/>
        <v>0</v>
      </c>
      <c r="BL345" s="1581">
        <f>IF(SUM(BL$324:BL344,BK345)&gt;$BT$4,0,BK345)</f>
        <v>0</v>
      </c>
      <c r="BM345" s="1436">
        <f t="shared" si="490"/>
        <v>0</v>
      </c>
      <c r="BN345" s="1495">
        <f t="shared" si="491"/>
        <v>0</v>
      </c>
      <c r="BO345" s="1437">
        <f t="shared" ref="BO345:BO384" si="510">BM345-BN345</f>
        <v>0</v>
      </c>
      <c r="BP345" s="1762">
        <f t="shared" si="444"/>
        <v>0</v>
      </c>
      <c r="BQ345" s="1577">
        <f t="shared" si="445"/>
        <v>0</v>
      </c>
      <c r="BR345" s="1576">
        <f t="shared" si="492"/>
        <v>0</v>
      </c>
      <c r="BS345" s="1574">
        <f t="shared" si="446"/>
        <v>0</v>
      </c>
      <c r="BT345" s="1577">
        <f t="shared" si="447"/>
        <v>0</v>
      </c>
      <c r="BU345" s="1576">
        <f t="shared" si="493"/>
        <v>0</v>
      </c>
      <c r="BV345" s="1574">
        <f t="shared" si="448"/>
        <v>0</v>
      </c>
      <c r="BW345" s="1577">
        <f t="shared" si="449"/>
        <v>0</v>
      </c>
      <c r="BX345" s="1576">
        <f t="shared" si="494"/>
        <v>0</v>
      </c>
      <c r="BY345" s="1574">
        <f t="shared" si="450"/>
        <v>0</v>
      </c>
      <c r="BZ345" s="1577">
        <f t="shared" si="451"/>
        <v>0</v>
      </c>
      <c r="CA345" s="1576">
        <f t="shared" si="495"/>
        <v>0</v>
      </c>
      <c r="CB345" s="1495">
        <f t="shared" si="452"/>
        <v>0</v>
      </c>
      <c r="CC345" s="1577">
        <f t="shared" si="453"/>
        <v>0</v>
      </c>
      <c r="CD345" s="1576">
        <f t="shared" si="496"/>
        <v>0</v>
      </c>
      <c r="CE345" s="1495">
        <f t="shared" si="454"/>
        <v>0</v>
      </c>
      <c r="CF345" s="1577">
        <f t="shared" si="455"/>
        <v>0</v>
      </c>
      <c r="CG345" s="1576">
        <f t="shared" si="497"/>
        <v>0</v>
      </c>
      <c r="CH345" s="1495">
        <f t="shared" si="456"/>
        <v>0</v>
      </c>
      <c r="CI345" s="1577">
        <f t="shared" si="457"/>
        <v>0</v>
      </c>
      <c r="CJ345" s="1576">
        <f t="shared" si="498"/>
        <v>0</v>
      </c>
      <c r="CK345" s="1495">
        <f t="shared" si="458"/>
        <v>0</v>
      </c>
      <c r="CL345" s="1577">
        <f t="shared" si="459"/>
        <v>0</v>
      </c>
      <c r="CM345" s="1576">
        <f t="shared" si="499"/>
        <v>0</v>
      </c>
      <c r="CN345" s="1495">
        <f t="shared" si="460"/>
        <v>0</v>
      </c>
      <c r="CO345" s="1577">
        <f t="shared" si="461"/>
        <v>0</v>
      </c>
      <c r="CP345" s="1576">
        <f t="shared" si="500"/>
        <v>0</v>
      </c>
      <c r="CQ345" s="1495">
        <f t="shared" si="462"/>
        <v>0</v>
      </c>
      <c r="CR345" s="1577">
        <f t="shared" si="463"/>
        <v>0</v>
      </c>
      <c r="CS345" s="1576">
        <f t="shared" si="501"/>
        <v>0</v>
      </c>
      <c r="CT345" s="1495">
        <f t="shared" si="464"/>
        <v>0</v>
      </c>
      <c r="CU345" s="1577">
        <f t="shared" si="465"/>
        <v>0</v>
      </c>
      <c r="CV345" s="1576">
        <f t="shared" si="502"/>
        <v>0</v>
      </c>
      <c r="CW345" s="1495">
        <f t="shared" si="466"/>
        <v>0</v>
      </c>
      <c r="CX345" s="1577">
        <f t="shared" si="467"/>
        <v>0</v>
      </c>
      <c r="CY345" s="1576">
        <f t="shared" si="503"/>
        <v>0</v>
      </c>
      <c r="CZ345" s="1574">
        <f t="shared" si="504"/>
        <v>0</v>
      </c>
      <c r="DA345" s="1578">
        <f t="shared" si="506"/>
        <v>0</v>
      </c>
      <c r="DB345" s="1579">
        <f t="shared" si="507"/>
        <v>0</v>
      </c>
      <c r="DC345" s="1578">
        <f t="shared" si="508"/>
        <v>0</v>
      </c>
      <c r="DD345" s="1578">
        <f t="shared" si="508"/>
        <v>0</v>
      </c>
      <c r="DE345" s="1578">
        <f t="shared" si="508"/>
        <v>0</v>
      </c>
      <c r="DF345" s="1578">
        <f t="shared" si="509"/>
        <v>0</v>
      </c>
      <c r="DG345" s="1420"/>
      <c r="DH345" s="1420"/>
      <c r="DI345" s="1422"/>
      <c r="DJ345" s="1428"/>
      <c r="DK345" s="1428"/>
      <c r="DL345" s="1428"/>
      <c r="DM345" s="1428"/>
      <c r="DN345" s="1428"/>
      <c r="DO345" s="1428"/>
      <c r="DP345" s="1428"/>
      <c r="DQ345" s="1422"/>
      <c r="DR345" s="1428"/>
      <c r="DS345" s="1428"/>
      <c r="DT345" s="1428"/>
      <c r="DU345" s="1428"/>
      <c r="DV345" s="1428"/>
      <c r="DW345" s="1428"/>
      <c r="DX345" s="1428"/>
      <c r="DY345" s="1428"/>
      <c r="DZ345" s="1428"/>
      <c r="EA345" s="1428"/>
      <c r="EB345" s="1428"/>
      <c r="EC345" s="1428"/>
      <c r="ED345" s="1428"/>
      <c r="EE345" s="1428"/>
      <c r="EF345" s="1428"/>
      <c r="EG345" s="1428"/>
      <c r="EH345" s="1428"/>
      <c r="EI345" s="1428"/>
      <c r="EJ345" s="1428"/>
      <c r="EK345" s="1428"/>
      <c r="EL345" s="1428"/>
      <c r="EM345" s="1428"/>
      <c r="EN345" s="1428"/>
      <c r="EO345" s="1428"/>
      <c r="EP345" s="1428"/>
      <c r="EQ345" s="1428"/>
      <c r="ER345" s="1428"/>
      <c r="ES345" s="1428"/>
      <c r="ET345" s="1428"/>
      <c r="EU345" s="1428"/>
    </row>
    <row r="346" spans="1:151" s="1440" customFormat="1" ht="15.75" customHeight="1">
      <c r="A346" s="1603"/>
      <c r="B346" s="1600" t="str">
        <f>C311</f>
        <v>{Other Water Use 1}</v>
      </c>
      <c r="C346" s="1737">
        <f>$AB$346</f>
        <v>0</v>
      </c>
      <c r="D346" s="1737">
        <f>$AR$346</f>
        <v>0</v>
      </c>
      <c r="E346" s="1475"/>
      <c r="F346" s="1475"/>
      <c r="G346" s="1475"/>
      <c r="H346" s="1475"/>
      <c r="I346" s="1475"/>
      <c r="J346" s="1475"/>
      <c r="L346" s="1422"/>
      <c r="M346" s="1422"/>
      <c r="N346" s="1430"/>
      <c r="O346" s="1640" t="s">
        <v>261</v>
      </c>
      <c r="P346" s="1432">
        <f t="shared" ref="P346:AD346" si="511">SUM(P334:P345)</f>
        <v>365</v>
      </c>
      <c r="Q346" s="1875">
        <f t="shared" si="511"/>
        <v>0</v>
      </c>
      <c r="R346" s="1875">
        <f t="shared" si="511"/>
        <v>0</v>
      </c>
      <c r="S346" s="1875">
        <f t="shared" si="511"/>
        <v>0</v>
      </c>
      <c r="T346" s="1875">
        <f t="shared" si="511"/>
        <v>0</v>
      </c>
      <c r="U346" s="1875">
        <f t="shared" si="511"/>
        <v>0</v>
      </c>
      <c r="V346" s="1875">
        <f t="shared" si="511"/>
        <v>0</v>
      </c>
      <c r="W346" s="1875">
        <f t="shared" si="511"/>
        <v>0</v>
      </c>
      <c r="X346" s="1875">
        <f t="shared" si="511"/>
        <v>0</v>
      </c>
      <c r="Y346" s="1875">
        <f t="shared" si="511"/>
        <v>0</v>
      </c>
      <c r="Z346" s="1875">
        <f t="shared" si="511"/>
        <v>0</v>
      </c>
      <c r="AA346" s="1875">
        <f t="shared" si="511"/>
        <v>0</v>
      </c>
      <c r="AB346" s="1875">
        <f t="shared" si="511"/>
        <v>0</v>
      </c>
      <c r="AC346" s="1875">
        <f t="shared" si="511"/>
        <v>0</v>
      </c>
      <c r="AD346" s="1875">
        <f t="shared" si="511"/>
        <v>0</v>
      </c>
      <c r="AE346" s="1875">
        <f>SUM(AE334:AE345)</f>
        <v>0</v>
      </c>
      <c r="AF346" s="1430"/>
      <c r="AG346" s="1875">
        <f t="shared" ref="AG346:AU346" si="512">SUM(AG334:AG345)</f>
        <v>0</v>
      </c>
      <c r="AH346" s="1875">
        <f t="shared" si="512"/>
        <v>0</v>
      </c>
      <c r="AI346" s="1875">
        <f t="shared" si="512"/>
        <v>0</v>
      </c>
      <c r="AJ346" s="1875">
        <f t="shared" si="512"/>
        <v>0</v>
      </c>
      <c r="AK346" s="1875">
        <f t="shared" si="512"/>
        <v>0</v>
      </c>
      <c r="AL346" s="1875">
        <f t="shared" si="512"/>
        <v>0</v>
      </c>
      <c r="AM346" s="1875">
        <f t="shared" si="512"/>
        <v>0</v>
      </c>
      <c r="AN346" s="1875">
        <f t="shared" si="512"/>
        <v>0</v>
      </c>
      <c r="AO346" s="1875">
        <f t="shared" si="512"/>
        <v>0</v>
      </c>
      <c r="AP346" s="1875">
        <f t="shared" si="512"/>
        <v>0</v>
      </c>
      <c r="AQ346" s="1875">
        <f t="shared" si="512"/>
        <v>0</v>
      </c>
      <c r="AR346" s="1875">
        <f t="shared" si="512"/>
        <v>0</v>
      </c>
      <c r="AS346" s="1875">
        <f t="shared" si="512"/>
        <v>0</v>
      </c>
      <c r="AT346" s="1875">
        <f t="shared" si="512"/>
        <v>0</v>
      </c>
      <c r="AU346" s="1875">
        <f t="shared" si="512"/>
        <v>0</v>
      </c>
      <c r="AV346" s="1430"/>
      <c r="AW346" s="1430"/>
      <c r="AX346" s="1430"/>
      <c r="AY346" s="1430"/>
      <c r="AZ346" s="1430"/>
      <c r="BA346" s="1430"/>
      <c r="BB346" s="1430"/>
      <c r="BC346" s="1430"/>
      <c r="BE346" s="1571" t="s">
        <v>1218</v>
      </c>
      <c r="BF346" s="1436">
        <v>22</v>
      </c>
      <c r="BG346" s="1436">
        <v>23</v>
      </c>
      <c r="BH346" s="1436">
        <v>2</v>
      </c>
      <c r="BI346" s="1495" t="b">
        <f t="shared" si="505"/>
        <v>1</v>
      </c>
      <c r="BJ346" s="1450" t="b">
        <f t="shared" si="443"/>
        <v>0</v>
      </c>
      <c r="BK346" s="1572">
        <f t="shared" si="468"/>
        <v>0</v>
      </c>
      <c r="BL346" s="1581">
        <f>IF(SUM(BL$324:BL345,BK346)&gt;$BT$4,0,BK346)</f>
        <v>0</v>
      </c>
      <c r="BM346" s="1436">
        <f t="shared" si="490"/>
        <v>0</v>
      </c>
      <c r="BN346" s="1495">
        <f t="shared" si="491"/>
        <v>0</v>
      </c>
      <c r="BO346" s="1437">
        <f t="shared" si="510"/>
        <v>0</v>
      </c>
      <c r="BP346" s="1762">
        <f t="shared" si="444"/>
        <v>0</v>
      </c>
      <c r="BQ346" s="1577">
        <f t="shared" si="445"/>
        <v>0</v>
      </c>
      <c r="BR346" s="1576">
        <f t="shared" si="492"/>
        <v>0</v>
      </c>
      <c r="BS346" s="1574">
        <f t="shared" si="446"/>
        <v>0</v>
      </c>
      <c r="BT346" s="1577">
        <f t="shared" si="447"/>
        <v>0</v>
      </c>
      <c r="BU346" s="1576">
        <f t="shared" si="493"/>
        <v>0</v>
      </c>
      <c r="BV346" s="1574">
        <f t="shared" si="448"/>
        <v>0</v>
      </c>
      <c r="BW346" s="1577">
        <f t="shared" si="449"/>
        <v>0</v>
      </c>
      <c r="BX346" s="1576">
        <f t="shared" si="494"/>
        <v>0</v>
      </c>
      <c r="BY346" s="1574">
        <f t="shared" si="450"/>
        <v>0</v>
      </c>
      <c r="BZ346" s="1577">
        <f t="shared" si="451"/>
        <v>0</v>
      </c>
      <c r="CA346" s="1576">
        <f t="shared" si="495"/>
        <v>0</v>
      </c>
      <c r="CB346" s="1495">
        <f t="shared" si="452"/>
        <v>0</v>
      </c>
      <c r="CC346" s="1577">
        <f t="shared" si="453"/>
        <v>0</v>
      </c>
      <c r="CD346" s="1576">
        <f t="shared" si="496"/>
        <v>0</v>
      </c>
      <c r="CE346" s="1495">
        <f t="shared" si="454"/>
        <v>0</v>
      </c>
      <c r="CF346" s="1577">
        <f t="shared" si="455"/>
        <v>0</v>
      </c>
      <c r="CG346" s="1576">
        <f t="shared" si="497"/>
        <v>0</v>
      </c>
      <c r="CH346" s="1495">
        <f t="shared" si="456"/>
        <v>0</v>
      </c>
      <c r="CI346" s="1577">
        <f t="shared" si="457"/>
        <v>0</v>
      </c>
      <c r="CJ346" s="1576">
        <f t="shared" si="498"/>
        <v>0</v>
      </c>
      <c r="CK346" s="1495">
        <f t="shared" si="458"/>
        <v>0</v>
      </c>
      <c r="CL346" s="1577">
        <f t="shared" si="459"/>
        <v>0</v>
      </c>
      <c r="CM346" s="1576">
        <f t="shared" si="499"/>
        <v>0</v>
      </c>
      <c r="CN346" s="1495">
        <f t="shared" si="460"/>
        <v>0</v>
      </c>
      <c r="CO346" s="1577">
        <f t="shared" si="461"/>
        <v>0</v>
      </c>
      <c r="CP346" s="1576">
        <f t="shared" si="500"/>
        <v>0</v>
      </c>
      <c r="CQ346" s="1495">
        <f t="shared" si="462"/>
        <v>0</v>
      </c>
      <c r="CR346" s="1577">
        <f t="shared" si="463"/>
        <v>0</v>
      </c>
      <c r="CS346" s="1576">
        <f t="shared" si="501"/>
        <v>0</v>
      </c>
      <c r="CT346" s="1495">
        <f t="shared" si="464"/>
        <v>0</v>
      </c>
      <c r="CU346" s="1577">
        <f t="shared" si="465"/>
        <v>0</v>
      </c>
      <c r="CV346" s="1576">
        <f t="shared" si="502"/>
        <v>0</v>
      </c>
      <c r="CW346" s="1495">
        <f t="shared" si="466"/>
        <v>0</v>
      </c>
      <c r="CX346" s="1577">
        <f t="shared" si="467"/>
        <v>0</v>
      </c>
      <c r="CY346" s="1576">
        <f t="shared" si="503"/>
        <v>0</v>
      </c>
      <c r="CZ346" s="1574">
        <f t="shared" si="504"/>
        <v>0</v>
      </c>
      <c r="DA346" s="1578">
        <f t="shared" si="506"/>
        <v>0</v>
      </c>
      <c r="DB346" s="1579">
        <f t="shared" si="507"/>
        <v>0</v>
      </c>
      <c r="DC346" s="1578">
        <f t="shared" si="508"/>
        <v>0</v>
      </c>
      <c r="DD346" s="1578">
        <f t="shared" si="508"/>
        <v>0</v>
      </c>
      <c r="DE346" s="1578">
        <f t="shared" si="508"/>
        <v>0</v>
      </c>
      <c r="DF346" s="1578">
        <f>IF(DA346-(DE345+CZ346)&lt;0,0,DA346-(DE345+CZ346))</f>
        <v>0</v>
      </c>
      <c r="DG346" s="1420"/>
      <c r="DH346" s="1420"/>
      <c r="DI346" s="1422"/>
      <c r="DJ346" s="1428"/>
      <c r="DK346" s="1428"/>
      <c r="DL346" s="1428"/>
      <c r="DM346" s="1428"/>
      <c r="DN346" s="1428"/>
      <c r="DO346" s="1428"/>
      <c r="DP346" s="1428"/>
      <c r="DQ346" s="1422"/>
      <c r="DR346" s="1428"/>
      <c r="DS346" s="1428"/>
      <c r="DT346" s="1428"/>
      <c r="DU346" s="1428"/>
      <c r="DV346" s="1428"/>
      <c r="DW346" s="1428"/>
      <c r="DX346" s="1428"/>
      <c r="DY346" s="1428"/>
      <c r="DZ346" s="1428"/>
      <c r="EA346" s="1428"/>
      <c r="EB346" s="1428"/>
      <c r="EC346" s="1428"/>
      <c r="ED346" s="1428"/>
      <c r="EE346" s="1428"/>
      <c r="EF346" s="1428"/>
      <c r="EG346" s="1428"/>
      <c r="EH346" s="1428"/>
      <c r="EI346" s="1428"/>
      <c r="EJ346" s="1428"/>
      <c r="EK346" s="1428"/>
      <c r="EL346" s="1428"/>
      <c r="EM346" s="1428"/>
      <c r="EN346" s="1428"/>
      <c r="EO346" s="1428"/>
      <c r="EP346" s="1428"/>
      <c r="EQ346" s="1428"/>
      <c r="ER346" s="1428"/>
      <c r="ES346" s="1428"/>
      <c r="ET346" s="1428"/>
      <c r="EU346" s="1428"/>
    </row>
    <row r="347" spans="1:151" s="1440" customFormat="1" ht="15.75" customHeight="1">
      <c r="A347" s="1603"/>
      <c r="B347" s="1600" t="str">
        <f>G311</f>
        <v>{Other Water Use 2}</v>
      </c>
      <c r="C347" s="1737">
        <f>$AC$346</f>
        <v>0</v>
      </c>
      <c r="D347" s="1737">
        <f>$AS$346</f>
        <v>0</v>
      </c>
      <c r="E347" s="1475"/>
      <c r="F347" s="1475"/>
      <c r="G347" s="1475"/>
      <c r="H347" s="1475"/>
      <c r="I347" s="1475"/>
      <c r="J347" s="1475"/>
      <c r="L347" s="1422"/>
      <c r="M347" s="1422"/>
      <c r="N347" s="1430"/>
      <c r="O347" s="1430"/>
      <c r="P347" s="1430"/>
      <c r="Q347" s="1430"/>
      <c r="R347" s="1430"/>
      <c r="S347" s="1430"/>
      <c r="T347" s="1430"/>
      <c r="U347" s="1430"/>
      <c r="V347" s="1430"/>
      <c r="W347" s="1430"/>
      <c r="X347" s="1430"/>
      <c r="Y347" s="1430"/>
      <c r="Z347" s="1430"/>
      <c r="AA347" s="1430"/>
      <c r="AB347" s="1430"/>
      <c r="AC347" s="1430"/>
      <c r="AD347" s="1430"/>
      <c r="AE347" s="1430"/>
      <c r="AF347" s="1430"/>
      <c r="AG347" s="1430"/>
      <c r="AH347" s="1430"/>
      <c r="AI347" s="1430"/>
      <c r="AJ347" s="1430"/>
      <c r="AK347" s="1430"/>
      <c r="AL347" s="1430"/>
      <c r="AM347" s="1430"/>
      <c r="AN347" s="1430"/>
      <c r="AO347" s="1430"/>
      <c r="AP347" s="1430"/>
      <c r="AQ347" s="1430"/>
      <c r="AR347" s="1430"/>
      <c r="AS347" s="1430"/>
      <c r="AT347" s="1430"/>
      <c r="AU347" s="1430"/>
      <c r="AV347" s="1430"/>
      <c r="AW347" s="1430"/>
      <c r="AX347" s="1430"/>
      <c r="AY347" s="1430"/>
      <c r="AZ347" s="1430"/>
      <c r="BA347" s="1430"/>
      <c r="BB347" s="1430"/>
      <c r="BC347" s="1430"/>
      <c r="BE347" s="1571" t="s">
        <v>1218</v>
      </c>
      <c r="BF347" s="1436">
        <v>22</v>
      </c>
      <c r="BG347" s="1436">
        <v>24</v>
      </c>
      <c r="BH347" s="1436">
        <v>3</v>
      </c>
      <c r="BI347" s="1495" t="b">
        <f t="shared" si="505"/>
        <v>1</v>
      </c>
      <c r="BJ347" s="1450" t="b">
        <f t="shared" si="443"/>
        <v>1</v>
      </c>
      <c r="BK347" s="1572">
        <f t="shared" si="468"/>
        <v>7.083333333333333</v>
      </c>
      <c r="BL347" s="1581">
        <f>IF(SUM(BL$324:BL346,BK347)&gt;$BT$4,0,BK347)</f>
        <v>7.083333333333333</v>
      </c>
      <c r="BM347" s="1436">
        <f t="shared" si="490"/>
        <v>0</v>
      </c>
      <c r="BN347" s="1495">
        <f t="shared" si="491"/>
        <v>0</v>
      </c>
      <c r="BO347" s="1437">
        <f t="shared" si="510"/>
        <v>0</v>
      </c>
      <c r="BP347" s="1762">
        <f t="shared" si="444"/>
        <v>0</v>
      </c>
      <c r="BQ347" s="1577">
        <f t="shared" si="445"/>
        <v>0</v>
      </c>
      <c r="BR347" s="1576">
        <f t="shared" si="492"/>
        <v>0</v>
      </c>
      <c r="BS347" s="1574">
        <f t="shared" si="446"/>
        <v>0</v>
      </c>
      <c r="BT347" s="1577">
        <f t="shared" si="447"/>
        <v>0</v>
      </c>
      <c r="BU347" s="1576">
        <f t="shared" si="493"/>
        <v>0</v>
      </c>
      <c r="BV347" s="1574">
        <f t="shared" si="448"/>
        <v>0</v>
      </c>
      <c r="BW347" s="1577">
        <f t="shared" si="449"/>
        <v>0</v>
      </c>
      <c r="BX347" s="1576">
        <f t="shared" si="494"/>
        <v>0</v>
      </c>
      <c r="BY347" s="1574">
        <f t="shared" si="450"/>
        <v>0</v>
      </c>
      <c r="BZ347" s="1577">
        <f t="shared" si="451"/>
        <v>0</v>
      </c>
      <c r="CA347" s="1576">
        <f t="shared" si="495"/>
        <v>0</v>
      </c>
      <c r="CB347" s="1495">
        <f t="shared" si="452"/>
        <v>0</v>
      </c>
      <c r="CC347" s="1577">
        <f t="shared" si="453"/>
        <v>0</v>
      </c>
      <c r="CD347" s="1576">
        <f t="shared" si="496"/>
        <v>0</v>
      </c>
      <c r="CE347" s="1495">
        <f t="shared" si="454"/>
        <v>0</v>
      </c>
      <c r="CF347" s="1577">
        <f t="shared" si="455"/>
        <v>0</v>
      </c>
      <c r="CG347" s="1576">
        <f t="shared" si="497"/>
        <v>0</v>
      </c>
      <c r="CH347" s="1495">
        <f t="shared" si="456"/>
        <v>0</v>
      </c>
      <c r="CI347" s="1577">
        <f t="shared" si="457"/>
        <v>0</v>
      </c>
      <c r="CJ347" s="1576">
        <f t="shared" si="498"/>
        <v>0</v>
      </c>
      <c r="CK347" s="1495">
        <f t="shared" si="458"/>
        <v>0</v>
      </c>
      <c r="CL347" s="1577">
        <f t="shared" si="459"/>
        <v>0</v>
      </c>
      <c r="CM347" s="1576">
        <f t="shared" si="499"/>
        <v>0</v>
      </c>
      <c r="CN347" s="1495">
        <f t="shared" si="460"/>
        <v>0</v>
      </c>
      <c r="CO347" s="1577">
        <f t="shared" si="461"/>
        <v>0</v>
      </c>
      <c r="CP347" s="1576">
        <f t="shared" si="500"/>
        <v>0</v>
      </c>
      <c r="CQ347" s="1495">
        <f t="shared" si="462"/>
        <v>0</v>
      </c>
      <c r="CR347" s="1577">
        <f t="shared" si="463"/>
        <v>0</v>
      </c>
      <c r="CS347" s="1576">
        <f t="shared" si="501"/>
        <v>0</v>
      </c>
      <c r="CT347" s="1495">
        <f t="shared" si="464"/>
        <v>0</v>
      </c>
      <c r="CU347" s="1577">
        <f t="shared" si="465"/>
        <v>0</v>
      </c>
      <c r="CV347" s="1576">
        <f t="shared" si="502"/>
        <v>0</v>
      </c>
      <c r="CW347" s="1495">
        <f t="shared" si="466"/>
        <v>0</v>
      </c>
      <c r="CX347" s="1577">
        <f t="shared" si="467"/>
        <v>0</v>
      </c>
      <c r="CY347" s="1576">
        <f t="shared" si="503"/>
        <v>0</v>
      </c>
      <c r="CZ347" s="1574">
        <f t="shared" si="504"/>
        <v>0</v>
      </c>
      <c r="DA347" s="1578">
        <f t="shared" si="506"/>
        <v>0</v>
      </c>
      <c r="DB347" s="1579">
        <f t="shared" si="507"/>
        <v>0</v>
      </c>
      <c r="DC347" s="1578">
        <f t="shared" si="508"/>
        <v>0</v>
      </c>
      <c r="DD347" s="1578">
        <f t="shared" si="508"/>
        <v>0</v>
      </c>
      <c r="DE347" s="1578">
        <f t="shared" si="508"/>
        <v>0</v>
      </c>
      <c r="DF347" s="1578">
        <f t="shared" si="509"/>
        <v>0</v>
      </c>
      <c r="DG347" s="1420"/>
      <c r="DH347" s="1420"/>
      <c r="DI347" s="1422"/>
      <c r="DJ347" s="1428"/>
      <c r="DK347" s="1428"/>
      <c r="DL347" s="1428"/>
      <c r="DM347" s="1428"/>
      <c r="DN347" s="1428"/>
      <c r="DO347" s="1428"/>
      <c r="DP347" s="1428"/>
      <c r="DQ347" s="1422"/>
      <c r="DR347" s="1428"/>
      <c r="DS347" s="1428"/>
      <c r="DT347" s="1428"/>
      <c r="DU347" s="1428"/>
      <c r="DV347" s="1428"/>
      <c r="DW347" s="1428"/>
      <c r="DX347" s="1428"/>
      <c r="DY347" s="1428"/>
      <c r="DZ347" s="1428"/>
      <c r="EA347" s="1428"/>
      <c r="EB347" s="1428"/>
      <c r="EC347" s="1428"/>
      <c r="ED347" s="1428"/>
      <c r="EE347" s="1428"/>
      <c r="EF347" s="1428"/>
      <c r="EG347" s="1428"/>
      <c r="EH347" s="1428"/>
      <c r="EI347" s="1428"/>
      <c r="EJ347" s="1428"/>
      <c r="EK347" s="1428"/>
      <c r="EL347" s="1428"/>
      <c r="EM347" s="1428"/>
      <c r="EN347" s="1428"/>
      <c r="EO347" s="1428"/>
      <c r="EP347" s="1428"/>
      <c r="EQ347" s="1428"/>
      <c r="ER347" s="1428"/>
      <c r="ES347" s="1428"/>
      <c r="ET347" s="1428"/>
      <c r="EU347" s="1428"/>
    </row>
    <row r="348" spans="1:151" s="1440" customFormat="1" ht="15.75" customHeight="1">
      <c r="A348" s="1603"/>
      <c r="B348" s="1600" t="str">
        <f>K311</f>
        <v>{Other Water Use 3}</v>
      </c>
      <c r="C348" s="1737">
        <f>$AD$346</f>
        <v>0</v>
      </c>
      <c r="D348" s="1737">
        <f>$AT$346</f>
        <v>0</v>
      </c>
      <c r="E348" s="1475"/>
      <c r="F348" s="1475"/>
      <c r="G348" s="1475"/>
      <c r="H348" s="1475"/>
      <c r="I348" s="1475"/>
      <c r="J348" s="1475"/>
      <c r="L348" s="1422"/>
      <c r="M348" s="1422"/>
      <c r="N348" s="1430"/>
      <c r="O348" s="1430"/>
      <c r="P348" s="1430"/>
      <c r="Q348" s="1430"/>
      <c r="R348" s="1430"/>
      <c r="S348" s="1430"/>
      <c r="T348" s="1430"/>
      <c r="U348" s="1430"/>
      <c r="V348" s="1430"/>
      <c r="W348" s="1430"/>
      <c r="X348" s="1430"/>
      <c r="Y348" s="1430"/>
      <c r="Z348" s="1430"/>
      <c r="AA348" s="1430"/>
      <c r="AB348" s="1430"/>
      <c r="AC348" s="1430"/>
      <c r="AD348" s="1430"/>
      <c r="AE348" s="1430"/>
      <c r="AF348" s="1430"/>
      <c r="AG348" s="1430"/>
      <c r="AH348" s="1430"/>
      <c r="AI348" s="1430"/>
      <c r="AJ348" s="1430"/>
      <c r="AK348" s="1430"/>
      <c r="AL348" s="1430"/>
      <c r="AM348" s="1430"/>
      <c r="AN348" s="1430"/>
      <c r="AO348" s="1430"/>
      <c r="AP348" s="1430"/>
      <c r="AQ348" s="1430"/>
      <c r="AR348" s="1430"/>
      <c r="AS348" s="1430"/>
      <c r="AT348" s="1430"/>
      <c r="AU348" s="1430"/>
      <c r="AV348" s="1430"/>
      <c r="AW348" s="1430"/>
      <c r="AX348" s="1430"/>
      <c r="AY348" s="1430"/>
      <c r="AZ348" s="1430"/>
      <c r="BA348" s="1430"/>
      <c r="BB348" s="1430"/>
      <c r="BC348" s="1430"/>
      <c r="BE348" s="1571" t="s">
        <v>1218</v>
      </c>
      <c r="BF348" s="1436">
        <v>22</v>
      </c>
      <c r="BG348" s="1436">
        <v>25</v>
      </c>
      <c r="BH348" s="1436">
        <v>4</v>
      </c>
      <c r="BI348" s="1495" t="b">
        <f t="shared" si="505"/>
        <v>1</v>
      </c>
      <c r="BJ348" s="1450" t="b">
        <f t="shared" si="443"/>
        <v>0</v>
      </c>
      <c r="BK348" s="1572">
        <f t="shared" si="468"/>
        <v>0</v>
      </c>
      <c r="BL348" s="1581">
        <f>IF(SUM(BL$324:BL347,BK348)&gt;$BT$4,0,BK348)</f>
        <v>0</v>
      </c>
      <c r="BM348" s="1436">
        <f t="shared" si="490"/>
        <v>0</v>
      </c>
      <c r="BN348" s="1495">
        <f t="shared" si="491"/>
        <v>0</v>
      </c>
      <c r="BO348" s="1437">
        <f t="shared" si="510"/>
        <v>0</v>
      </c>
      <c r="BP348" s="1762">
        <f t="shared" si="444"/>
        <v>0</v>
      </c>
      <c r="BQ348" s="1577">
        <f t="shared" si="445"/>
        <v>0</v>
      </c>
      <c r="BR348" s="1576">
        <f t="shared" si="492"/>
        <v>0</v>
      </c>
      <c r="BS348" s="1574">
        <f t="shared" si="446"/>
        <v>0</v>
      </c>
      <c r="BT348" s="1577">
        <f t="shared" si="447"/>
        <v>0</v>
      </c>
      <c r="BU348" s="1576">
        <f t="shared" si="493"/>
        <v>0</v>
      </c>
      <c r="BV348" s="1574">
        <f t="shared" si="448"/>
        <v>0</v>
      </c>
      <c r="BW348" s="1577">
        <f t="shared" si="449"/>
        <v>0</v>
      </c>
      <c r="BX348" s="1576">
        <f t="shared" si="494"/>
        <v>0</v>
      </c>
      <c r="BY348" s="1574">
        <f t="shared" si="450"/>
        <v>0</v>
      </c>
      <c r="BZ348" s="1577">
        <f t="shared" si="451"/>
        <v>0</v>
      </c>
      <c r="CA348" s="1576">
        <f t="shared" si="495"/>
        <v>0</v>
      </c>
      <c r="CB348" s="1495">
        <f t="shared" si="452"/>
        <v>0</v>
      </c>
      <c r="CC348" s="1577">
        <f t="shared" si="453"/>
        <v>0</v>
      </c>
      <c r="CD348" s="1576">
        <f t="shared" si="496"/>
        <v>0</v>
      </c>
      <c r="CE348" s="1495">
        <f t="shared" si="454"/>
        <v>0</v>
      </c>
      <c r="CF348" s="1577">
        <f t="shared" si="455"/>
        <v>0</v>
      </c>
      <c r="CG348" s="1576">
        <f t="shared" si="497"/>
        <v>0</v>
      </c>
      <c r="CH348" s="1495">
        <f t="shared" si="456"/>
        <v>0</v>
      </c>
      <c r="CI348" s="1577">
        <f t="shared" si="457"/>
        <v>0</v>
      </c>
      <c r="CJ348" s="1576">
        <f t="shared" si="498"/>
        <v>0</v>
      </c>
      <c r="CK348" s="1495">
        <f t="shared" si="458"/>
        <v>0</v>
      </c>
      <c r="CL348" s="1577">
        <f t="shared" si="459"/>
        <v>0</v>
      </c>
      <c r="CM348" s="1576">
        <f t="shared" si="499"/>
        <v>0</v>
      </c>
      <c r="CN348" s="1495">
        <f t="shared" si="460"/>
        <v>0</v>
      </c>
      <c r="CO348" s="1577">
        <f t="shared" si="461"/>
        <v>0</v>
      </c>
      <c r="CP348" s="1576">
        <f t="shared" si="500"/>
        <v>0</v>
      </c>
      <c r="CQ348" s="1495">
        <f t="shared" si="462"/>
        <v>0</v>
      </c>
      <c r="CR348" s="1577">
        <f t="shared" si="463"/>
        <v>0</v>
      </c>
      <c r="CS348" s="1576">
        <f t="shared" si="501"/>
        <v>0</v>
      </c>
      <c r="CT348" s="1495">
        <f t="shared" si="464"/>
        <v>0</v>
      </c>
      <c r="CU348" s="1577">
        <f t="shared" si="465"/>
        <v>0</v>
      </c>
      <c r="CV348" s="1576">
        <f t="shared" si="502"/>
        <v>0</v>
      </c>
      <c r="CW348" s="1495">
        <f t="shared" si="466"/>
        <v>0</v>
      </c>
      <c r="CX348" s="1577">
        <f t="shared" si="467"/>
        <v>0</v>
      </c>
      <c r="CY348" s="1576">
        <f t="shared" si="503"/>
        <v>0</v>
      </c>
      <c r="CZ348" s="1574">
        <f t="shared" si="504"/>
        <v>0</v>
      </c>
      <c r="DA348" s="1578">
        <f t="shared" si="506"/>
        <v>0</v>
      </c>
      <c r="DB348" s="1579">
        <f t="shared" si="507"/>
        <v>0</v>
      </c>
      <c r="DC348" s="1578">
        <f t="shared" si="508"/>
        <v>0</v>
      </c>
      <c r="DD348" s="1578">
        <f t="shared" si="508"/>
        <v>0</v>
      </c>
      <c r="DE348" s="1578">
        <f t="shared" si="508"/>
        <v>0</v>
      </c>
      <c r="DF348" s="1578">
        <f t="shared" si="509"/>
        <v>0</v>
      </c>
      <c r="DG348" s="1420"/>
      <c r="DH348" s="1420"/>
      <c r="DI348" s="1422"/>
      <c r="DJ348" s="1428"/>
      <c r="DK348" s="1428"/>
      <c r="DL348" s="1428"/>
      <c r="DM348" s="1428"/>
      <c r="DN348" s="1428"/>
      <c r="DO348" s="1428"/>
      <c r="DP348" s="1428"/>
      <c r="DQ348" s="1422"/>
      <c r="DR348" s="1428"/>
      <c r="DS348" s="1428"/>
      <c r="DT348" s="1428"/>
      <c r="DU348" s="1428"/>
      <c r="DV348" s="1428"/>
      <c r="DW348" s="1428"/>
      <c r="DX348" s="1428"/>
      <c r="DY348" s="1428"/>
      <c r="DZ348" s="1428"/>
      <c r="EA348" s="1428"/>
      <c r="EB348" s="1428"/>
      <c r="EC348" s="1428"/>
      <c r="ED348" s="1428"/>
      <c r="EE348" s="1428"/>
      <c r="EF348" s="1428"/>
      <c r="EG348" s="1428"/>
      <c r="EH348" s="1428"/>
      <c r="EI348" s="1428"/>
      <c r="EJ348" s="1428"/>
      <c r="EK348" s="1428"/>
      <c r="EL348" s="1428"/>
      <c r="EM348" s="1428"/>
      <c r="EN348" s="1428"/>
      <c r="EO348" s="1428"/>
      <c r="EP348" s="1428"/>
      <c r="EQ348" s="1428"/>
      <c r="ER348" s="1428"/>
      <c r="ES348" s="1428"/>
      <c r="ET348" s="1428"/>
      <c r="EU348" s="1428"/>
    </row>
    <row r="349" spans="1:151" s="1440" customFormat="1" ht="15.75" customHeight="1">
      <c r="A349" s="1603"/>
      <c r="B349" s="1475"/>
      <c r="C349" s="1475"/>
      <c r="D349" s="1475"/>
      <c r="E349" s="1475"/>
      <c r="F349" s="1475"/>
      <c r="G349" s="1475"/>
      <c r="H349" s="1475"/>
      <c r="I349" s="1475"/>
      <c r="J349" s="1475"/>
      <c r="L349" s="1422"/>
      <c r="M349" s="1422"/>
      <c r="N349" s="1430"/>
      <c r="O349" s="1430"/>
      <c r="P349" s="1430"/>
      <c r="Q349" s="1430"/>
      <c r="R349" s="1430"/>
      <c r="S349" s="1430"/>
      <c r="T349" s="1430"/>
      <c r="U349" s="1430"/>
      <c r="V349" s="1430"/>
      <c r="W349" s="1430"/>
      <c r="X349" s="1430"/>
      <c r="Y349" s="1430"/>
      <c r="Z349" s="1430"/>
      <c r="AA349" s="1430"/>
      <c r="AB349" s="1430"/>
      <c r="AC349" s="1430"/>
      <c r="AD349" s="1430"/>
      <c r="AE349" s="1430"/>
      <c r="AF349" s="1430"/>
      <c r="AG349" s="1430"/>
      <c r="AH349" s="1430"/>
      <c r="AI349" s="1430"/>
      <c r="AJ349" s="1430"/>
      <c r="AK349" s="1430"/>
      <c r="AL349" s="1430"/>
      <c r="AM349" s="1430"/>
      <c r="AN349" s="1430"/>
      <c r="AO349" s="1430"/>
      <c r="AP349" s="1430"/>
      <c r="AQ349" s="1430"/>
      <c r="AR349" s="1430"/>
      <c r="AS349" s="1430"/>
      <c r="AT349" s="1430"/>
      <c r="AU349" s="1430"/>
      <c r="AV349" s="1430"/>
      <c r="AW349" s="1430"/>
      <c r="AX349" s="1430"/>
      <c r="AY349" s="1430"/>
      <c r="AZ349" s="1430"/>
      <c r="BA349" s="1430"/>
      <c r="BB349" s="1430"/>
      <c r="BC349" s="1430"/>
      <c r="BE349" s="1571" t="s">
        <v>1218</v>
      </c>
      <c r="BF349" s="1436">
        <v>22</v>
      </c>
      <c r="BG349" s="1436">
        <v>26</v>
      </c>
      <c r="BH349" s="1436">
        <v>5</v>
      </c>
      <c r="BI349" s="1495" t="b">
        <f t="shared" si="505"/>
        <v>1</v>
      </c>
      <c r="BJ349" s="1450" t="b">
        <f t="shared" si="443"/>
        <v>0</v>
      </c>
      <c r="BK349" s="1572">
        <f t="shared" si="468"/>
        <v>0</v>
      </c>
      <c r="BL349" s="1581">
        <f>IF(SUM(BL$324:BL348,BK349)&gt;$BT$4,0,BK349)</f>
        <v>0</v>
      </c>
      <c r="BM349" s="1436">
        <f t="shared" si="490"/>
        <v>0</v>
      </c>
      <c r="BN349" s="1495">
        <f t="shared" si="491"/>
        <v>0</v>
      </c>
      <c r="BO349" s="1437">
        <f t="shared" si="510"/>
        <v>0</v>
      </c>
      <c r="BP349" s="1762">
        <f t="shared" si="444"/>
        <v>0</v>
      </c>
      <c r="BQ349" s="1577">
        <f t="shared" si="445"/>
        <v>0</v>
      </c>
      <c r="BR349" s="1576">
        <f t="shared" si="492"/>
        <v>0</v>
      </c>
      <c r="BS349" s="1574">
        <f t="shared" si="446"/>
        <v>0</v>
      </c>
      <c r="BT349" s="1577">
        <f t="shared" si="447"/>
        <v>0</v>
      </c>
      <c r="BU349" s="1576">
        <f t="shared" si="493"/>
        <v>0</v>
      </c>
      <c r="BV349" s="1574">
        <f t="shared" si="448"/>
        <v>0</v>
      </c>
      <c r="BW349" s="1577">
        <f t="shared" si="449"/>
        <v>0</v>
      </c>
      <c r="BX349" s="1576">
        <f t="shared" si="494"/>
        <v>0</v>
      </c>
      <c r="BY349" s="1574">
        <f t="shared" si="450"/>
        <v>0</v>
      </c>
      <c r="BZ349" s="1577">
        <f t="shared" si="451"/>
        <v>0</v>
      </c>
      <c r="CA349" s="1576">
        <f t="shared" si="495"/>
        <v>0</v>
      </c>
      <c r="CB349" s="1495">
        <f t="shared" si="452"/>
        <v>0</v>
      </c>
      <c r="CC349" s="1577">
        <f t="shared" si="453"/>
        <v>0</v>
      </c>
      <c r="CD349" s="1576">
        <f t="shared" si="496"/>
        <v>0</v>
      </c>
      <c r="CE349" s="1495">
        <f t="shared" si="454"/>
        <v>0</v>
      </c>
      <c r="CF349" s="1577">
        <f t="shared" si="455"/>
        <v>0</v>
      </c>
      <c r="CG349" s="1576">
        <f t="shared" si="497"/>
        <v>0</v>
      </c>
      <c r="CH349" s="1495">
        <f t="shared" si="456"/>
        <v>0</v>
      </c>
      <c r="CI349" s="1577">
        <f t="shared" si="457"/>
        <v>0</v>
      </c>
      <c r="CJ349" s="1576">
        <f t="shared" si="498"/>
        <v>0</v>
      </c>
      <c r="CK349" s="1495">
        <f t="shared" si="458"/>
        <v>0</v>
      </c>
      <c r="CL349" s="1577">
        <f t="shared" si="459"/>
        <v>0</v>
      </c>
      <c r="CM349" s="1576">
        <f t="shared" si="499"/>
        <v>0</v>
      </c>
      <c r="CN349" s="1495">
        <f t="shared" si="460"/>
        <v>0</v>
      </c>
      <c r="CO349" s="1577">
        <f t="shared" si="461"/>
        <v>0</v>
      </c>
      <c r="CP349" s="1576">
        <f t="shared" si="500"/>
        <v>0</v>
      </c>
      <c r="CQ349" s="1495">
        <f t="shared" si="462"/>
        <v>0</v>
      </c>
      <c r="CR349" s="1577">
        <f t="shared" si="463"/>
        <v>0</v>
      </c>
      <c r="CS349" s="1576">
        <f t="shared" si="501"/>
        <v>0</v>
      </c>
      <c r="CT349" s="1495">
        <f t="shared" si="464"/>
        <v>0</v>
      </c>
      <c r="CU349" s="1577">
        <f t="shared" si="465"/>
        <v>0</v>
      </c>
      <c r="CV349" s="1576">
        <f t="shared" si="502"/>
        <v>0</v>
      </c>
      <c r="CW349" s="1495">
        <f t="shared" si="466"/>
        <v>0</v>
      </c>
      <c r="CX349" s="1577">
        <f t="shared" si="467"/>
        <v>0</v>
      </c>
      <c r="CY349" s="1576">
        <f t="shared" si="503"/>
        <v>0</v>
      </c>
      <c r="CZ349" s="1574">
        <f t="shared" si="504"/>
        <v>0</v>
      </c>
      <c r="DA349" s="1578">
        <f t="shared" si="506"/>
        <v>0</v>
      </c>
      <c r="DB349" s="1579">
        <f t="shared" si="507"/>
        <v>0</v>
      </c>
      <c r="DC349" s="1578">
        <f t="shared" si="508"/>
        <v>0</v>
      </c>
      <c r="DD349" s="1578">
        <f t="shared" si="508"/>
        <v>0</v>
      </c>
      <c r="DE349" s="1578">
        <f t="shared" si="508"/>
        <v>0</v>
      </c>
      <c r="DF349" s="1578">
        <f t="shared" si="509"/>
        <v>0</v>
      </c>
      <c r="DG349" s="1420"/>
      <c r="DH349" s="1420"/>
      <c r="DI349" s="1422"/>
      <c r="DJ349" s="1428"/>
      <c r="DK349" s="1428"/>
      <c r="DL349" s="1428"/>
      <c r="DM349" s="1428"/>
      <c r="DN349" s="1428"/>
      <c r="DO349" s="1428"/>
      <c r="DP349" s="1428"/>
      <c r="DQ349" s="1422"/>
      <c r="DR349" s="1428"/>
      <c r="DS349" s="1428"/>
      <c r="DT349" s="1428"/>
      <c r="DU349" s="1428"/>
      <c r="DV349" s="1428"/>
      <c r="DW349" s="1428"/>
      <c r="DX349" s="1428"/>
      <c r="DY349" s="1428"/>
      <c r="DZ349" s="1428"/>
      <c r="EA349" s="1428"/>
      <c r="EB349" s="1428"/>
      <c r="EC349" s="1428"/>
      <c r="ED349" s="1428"/>
      <c r="EE349" s="1428"/>
      <c r="EF349" s="1428"/>
      <c r="EG349" s="1428"/>
      <c r="EH349" s="1428"/>
      <c r="EI349" s="1428"/>
      <c r="EJ349" s="1428"/>
      <c r="EK349" s="1428"/>
      <c r="EL349" s="1428"/>
      <c r="EM349" s="1428"/>
      <c r="EN349" s="1428"/>
      <c r="EO349" s="1428"/>
      <c r="EP349" s="1428"/>
      <c r="EQ349" s="1428"/>
      <c r="ER349" s="1428"/>
      <c r="ES349" s="1428"/>
      <c r="ET349" s="1428"/>
      <c r="EU349" s="1428"/>
    </row>
    <row r="350" spans="1:151" s="1440" customFormat="1" ht="15.75" customHeight="1">
      <c r="A350" s="1603"/>
      <c r="B350" s="1475"/>
      <c r="C350" s="1874" t="str">
        <f>$Q$193</f>
        <v>Actual building</v>
      </c>
      <c r="D350" s="1682" t="str">
        <f>$AI$193</f>
        <v>Notional building</v>
      </c>
      <c r="E350" s="1475"/>
      <c r="F350" s="1475"/>
      <c r="G350" s="1475"/>
      <c r="H350" s="1475"/>
      <c r="I350" s="1475"/>
      <c r="J350" s="1475"/>
      <c r="L350" s="1422"/>
      <c r="M350" s="1422"/>
      <c r="N350" s="1430"/>
      <c r="O350" s="1430"/>
      <c r="P350" s="1430"/>
      <c r="Q350" s="1430"/>
      <c r="R350" s="1430"/>
      <c r="S350" s="1430"/>
      <c r="T350" s="1430"/>
      <c r="U350" s="1430"/>
      <c r="V350" s="1430"/>
      <c r="W350" s="1430"/>
      <c r="X350" s="1430"/>
      <c r="Y350" s="1430"/>
      <c r="Z350" s="1430"/>
      <c r="AA350" s="1430"/>
      <c r="AB350" s="1430"/>
      <c r="AC350" s="1430"/>
      <c r="AD350" s="1430"/>
      <c r="AE350" s="1430"/>
      <c r="AF350" s="1430"/>
      <c r="AG350" s="1430"/>
      <c r="AH350" s="1430"/>
      <c r="AI350" s="1430"/>
      <c r="AJ350" s="1430"/>
      <c r="AK350" s="1430"/>
      <c r="AL350" s="1430"/>
      <c r="AM350" s="1430"/>
      <c r="AN350" s="1430"/>
      <c r="AO350" s="1430"/>
      <c r="AP350" s="1430"/>
      <c r="AQ350" s="1430"/>
      <c r="AR350" s="1430"/>
      <c r="AS350" s="1430"/>
      <c r="AT350" s="1430"/>
      <c r="AU350" s="1430"/>
      <c r="AV350" s="1430"/>
      <c r="AW350" s="1430"/>
      <c r="AX350" s="1430"/>
      <c r="AY350" s="1430"/>
      <c r="AZ350" s="1430"/>
      <c r="BA350" s="1430"/>
      <c r="BB350" s="1430"/>
      <c r="BC350" s="1430"/>
      <c r="BD350" s="1422"/>
      <c r="BE350" s="1571" t="s">
        <v>1218</v>
      </c>
      <c r="BF350" s="1436">
        <v>22</v>
      </c>
      <c r="BG350" s="1436">
        <v>27</v>
      </c>
      <c r="BH350" s="1436">
        <v>6</v>
      </c>
      <c r="BI350" s="1495" t="b">
        <f t="shared" si="505"/>
        <v>0</v>
      </c>
      <c r="BJ350" s="1450" t="b">
        <f t="shared" si="443"/>
        <v>1</v>
      </c>
      <c r="BK350" s="1572">
        <f t="shared" si="468"/>
        <v>7.083333333333333</v>
      </c>
      <c r="BL350" s="1581">
        <f>IF(SUM(BL$324:BL349,BK350)&gt;$BT$4,0,BK350)</f>
        <v>7.083333333333333</v>
      </c>
      <c r="BM350" s="1436">
        <f t="shared" si="490"/>
        <v>0</v>
      </c>
      <c r="BN350" s="1495">
        <f t="shared" si="491"/>
        <v>0</v>
      </c>
      <c r="BO350" s="1437">
        <f t="shared" si="510"/>
        <v>0</v>
      </c>
      <c r="BP350" s="1762">
        <f t="shared" si="444"/>
        <v>0</v>
      </c>
      <c r="BQ350" s="1577">
        <f t="shared" si="445"/>
        <v>0</v>
      </c>
      <c r="BR350" s="1576">
        <f t="shared" si="492"/>
        <v>0</v>
      </c>
      <c r="BS350" s="1574">
        <f t="shared" si="446"/>
        <v>0</v>
      </c>
      <c r="BT350" s="1577">
        <f t="shared" si="447"/>
        <v>0</v>
      </c>
      <c r="BU350" s="1576">
        <f t="shared" si="493"/>
        <v>0</v>
      </c>
      <c r="BV350" s="1574">
        <f t="shared" si="448"/>
        <v>0</v>
      </c>
      <c r="BW350" s="1577">
        <f t="shared" si="449"/>
        <v>0</v>
      </c>
      <c r="BX350" s="1576">
        <f t="shared" si="494"/>
        <v>0</v>
      </c>
      <c r="BY350" s="1574">
        <f t="shared" si="450"/>
        <v>0</v>
      </c>
      <c r="BZ350" s="1577">
        <f t="shared" si="451"/>
        <v>0</v>
      </c>
      <c r="CA350" s="1576">
        <f t="shared" si="495"/>
        <v>0</v>
      </c>
      <c r="CB350" s="1495">
        <f t="shared" si="452"/>
        <v>0</v>
      </c>
      <c r="CC350" s="1577">
        <f t="shared" si="453"/>
        <v>0</v>
      </c>
      <c r="CD350" s="1576">
        <f t="shared" si="496"/>
        <v>0</v>
      </c>
      <c r="CE350" s="1495">
        <f t="shared" si="454"/>
        <v>0</v>
      </c>
      <c r="CF350" s="1577">
        <f t="shared" si="455"/>
        <v>0</v>
      </c>
      <c r="CG350" s="1576">
        <f t="shared" si="497"/>
        <v>0</v>
      </c>
      <c r="CH350" s="1495">
        <f t="shared" si="456"/>
        <v>0</v>
      </c>
      <c r="CI350" s="1577">
        <f t="shared" si="457"/>
        <v>0</v>
      </c>
      <c r="CJ350" s="1576">
        <f t="shared" si="498"/>
        <v>0</v>
      </c>
      <c r="CK350" s="1495">
        <f t="shared" si="458"/>
        <v>0</v>
      </c>
      <c r="CL350" s="1577">
        <f t="shared" si="459"/>
        <v>0</v>
      </c>
      <c r="CM350" s="1576">
        <f t="shared" si="499"/>
        <v>0</v>
      </c>
      <c r="CN350" s="1495">
        <f t="shared" si="460"/>
        <v>0</v>
      </c>
      <c r="CO350" s="1577">
        <f t="shared" si="461"/>
        <v>0</v>
      </c>
      <c r="CP350" s="1576">
        <f t="shared" si="500"/>
        <v>0</v>
      </c>
      <c r="CQ350" s="1495">
        <f t="shared" si="462"/>
        <v>0</v>
      </c>
      <c r="CR350" s="1577">
        <f t="shared" si="463"/>
        <v>0</v>
      </c>
      <c r="CS350" s="1576">
        <f t="shared" si="501"/>
        <v>0</v>
      </c>
      <c r="CT350" s="1495">
        <f t="shared" si="464"/>
        <v>0</v>
      </c>
      <c r="CU350" s="1577">
        <f t="shared" si="465"/>
        <v>0</v>
      </c>
      <c r="CV350" s="1576">
        <f t="shared" si="502"/>
        <v>0</v>
      </c>
      <c r="CW350" s="1495">
        <f t="shared" si="466"/>
        <v>0</v>
      </c>
      <c r="CX350" s="1577">
        <f t="shared" si="467"/>
        <v>0</v>
      </c>
      <c r="CY350" s="1576">
        <f t="shared" si="503"/>
        <v>0</v>
      </c>
      <c r="CZ350" s="1574">
        <f t="shared" si="504"/>
        <v>0</v>
      </c>
      <c r="DA350" s="1578">
        <f t="shared" si="506"/>
        <v>0</v>
      </c>
      <c r="DB350" s="1579">
        <f t="shared" si="507"/>
        <v>0</v>
      </c>
      <c r="DC350" s="1578">
        <f t="shared" si="508"/>
        <v>0</v>
      </c>
      <c r="DD350" s="1578">
        <f t="shared" si="508"/>
        <v>0</v>
      </c>
      <c r="DE350" s="1578">
        <f t="shared" si="508"/>
        <v>0</v>
      </c>
      <c r="DF350" s="1578">
        <f t="shared" si="509"/>
        <v>0</v>
      </c>
      <c r="DG350" s="1420"/>
      <c r="DH350" s="1420"/>
      <c r="DI350" s="1422"/>
      <c r="DJ350" s="1428"/>
      <c r="DK350" s="1428"/>
      <c r="DL350" s="1428"/>
      <c r="DM350" s="1428"/>
      <c r="DN350" s="1428"/>
      <c r="DO350" s="1428"/>
      <c r="DP350" s="1428"/>
      <c r="DQ350" s="1422"/>
      <c r="DR350" s="1428"/>
      <c r="DS350" s="1428"/>
      <c r="DT350" s="1428"/>
      <c r="DU350" s="1428"/>
      <c r="DV350" s="1428"/>
      <c r="DW350" s="1428"/>
      <c r="DX350" s="1428"/>
      <c r="DY350" s="1428"/>
      <c r="DZ350" s="1428"/>
      <c r="EA350" s="1428"/>
      <c r="EB350" s="1428"/>
      <c r="EC350" s="1428"/>
      <c r="ED350" s="1428"/>
      <c r="EE350" s="1428"/>
      <c r="EF350" s="1428"/>
      <c r="EG350" s="1428"/>
      <c r="EH350" s="1428"/>
      <c r="EI350" s="1428"/>
      <c r="EJ350" s="1428"/>
      <c r="EK350" s="1428"/>
      <c r="EL350" s="1428"/>
      <c r="EM350" s="1428"/>
      <c r="EN350" s="1428"/>
      <c r="EO350" s="1428"/>
      <c r="EP350" s="1428"/>
      <c r="EQ350" s="1428"/>
      <c r="ER350" s="1428"/>
      <c r="ES350" s="1428"/>
      <c r="ET350" s="1428"/>
      <c r="EU350" s="1428"/>
    </row>
    <row r="351" spans="1:151" s="1440" customFormat="1" ht="18" customHeight="1">
      <c r="A351" s="1603"/>
      <c r="B351" s="1600" t="s">
        <v>800</v>
      </c>
      <c r="C351" s="1737">
        <f t="shared" ref="C351:C362" si="513">AE334</f>
        <v>0</v>
      </c>
      <c r="D351" s="1737">
        <f>AU334</f>
        <v>0</v>
      </c>
      <c r="E351" s="1475"/>
      <c r="F351" s="1475"/>
      <c r="G351" s="1475"/>
      <c r="H351" s="1475"/>
      <c r="I351" s="1475"/>
      <c r="J351" s="1475"/>
      <c r="L351" s="1422"/>
      <c r="M351" s="1422"/>
      <c r="N351" s="1430"/>
      <c r="O351" s="1430"/>
      <c r="P351" s="1430"/>
      <c r="Q351" s="1430"/>
      <c r="R351" s="1430"/>
      <c r="S351" s="1430"/>
      <c r="T351" s="1430"/>
      <c r="U351" s="1430"/>
      <c r="V351" s="1430"/>
      <c r="W351" s="1430"/>
      <c r="X351" s="1430"/>
      <c r="Y351" s="1430"/>
      <c r="Z351" s="1430"/>
      <c r="AA351" s="1430"/>
      <c r="AB351" s="1430"/>
      <c r="AC351" s="1430"/>
      <c r="AD351" s="1430"/>
      <c r="AE351" s="1430"/>
      <c r="AF351" s="1430"/>
      <c r="AG351" s="1430"/>
      <c r="AH351" s="1430"/>
      <c r="AI351" s="1430"/>
      <c r="AJ351" s="1430"/>
      <c r="AK351" s="1430"/>
      <c r="AL351" s="1430"/>
      <c r="AM351" s="1430"/>
      <c r="AN351" s="1430"/>
      <c r="AO351" s="1430"/>
      <c r="AP351" s="1430"/>
      <c r="AQ351" s="1430"/>
      <c r="AR351" s="1430"/>
      <c r="AS351" s="1430"/>
      <c r="AT351" s="1430"/>
      <c r="AU351" s="1430"/>
      <c r="AV351" s="1430"/>
      <c r="AW351" s="1430"/>
      <c r="AX351" s="1430"/>
      <c r="AY351" s="1430"/>
      <c r="AZ351" s="1430"/>
      <c r="BA351" s="1430"/>
      <c r="BB351" s="1430"/>
      <c r="BC351" s="1430"/>
      <c r="BD351" s="1422"/>
      <c r="BE351" s="1571" t="s">
        <v>1218</v>
      </c>
      <c r="BF351" s="1436">
        <v>22</v>
      </c>
      <c r="BG351" s="1436">
        <v>28</v>
      </c>
      <c r="BH351" s="1436">
        <v>7</v>
      </c>
      <c r="BI351" s="1495" t="b">
        <f t="shared" si="505"/>
        <v>0</v>
      </c>
      <c r="BJ351" s="1450" t="b">
        <f t="shared" si="443"/>
        <v>0</v>
      </c>
      <c r="BK351" s="1572">
        <f t="shared" si="468"/>
        <v>0</v>
      </c>
      <c r="BL351" s="1581">
        <f>IF(SUM(BL$324:BL350,BK351)&gt;$BT$4,0,BK351)</f>
        <v>0</v>
      </c>
      <c r="BM351" s="1436">
        <f t="shared" si="490"/>
        <v>0</v>
      </c>
      <c r="BN351" s="1495">
        <f t="shared" si="491"/>
        <v>0</v>
      </c>
      <c r="BO351" s="1437">
        <f t="shared" si="510"/>
        <v>0</v>
      </c>
      <c r="BP351" s="1762">
        <f t="shared" si="444"/>
        <v>0</v>
      </c>
      <c r="BQ351" s="1577">
        <f t="shared" si="445"/>
        <v>0</v>
      </c>
      <c r="BR351" s="1576">
        <f t="shared" si="492"/>
        <v>0</v>
      </c>
      <c r="BS351" s="1574">
        <f t="shared" si="446"/>
        <v>0</v>
      </c>
      <c r="BT351" s="1577">
        <f t="shared" si="447"/>
        <v>0</v>
      </c>
      <c r="BU351" s="1576">
        <f t="shared" si="493"/>
        <v>0</v>
      </c>
      <c r="BV351" s="1574">
        <f t="shared" si="448"/>
        <v>0</v>
      </c>
      <c r="BW351" s="1577">
        <f t="shared" si="449"/>
        <v>0</v>
      </c>
      <c r="BX351" s="1576">
        <f t="shared" si="494"/>
        <v>0</v>
      </c>
      <c r="BY351" s="1574">
        <f t="shared" si="450"/>
        <v>0</v>
      </c>
      <c r="BZ351" s="1577">
        <f t="shared" si="451"/>
        <v>0</v>
      </c>
      <c r="CA351" s="1576">
        <f t="shared" si="495"/>
        <v>0</v>
      </c>
      <c r="CB351" s="1495">
        <f t="shared" si="452"/>
        <v>0</v>
      </c>
      <c r="CC351" s="1577">
        <f t="shared" si="453"/>
        <v>0</v>
      </c>
      <c r="CD351" s="1576">
        <f t="shared" si="496"/>
        <v>0</v>
      </c>
      <c r="CE351" s="1495">
        <f t="shared" si="454"/>
        <v>0</v>
      </c>
      <c r="CF351" s="1577">
        <f t="shared" si="455"/>
        <v>0</v>
      </c>
      <c r="CG351" s="1576">
        <f t="shared" si="497"/>
        <v>0</v>
      </c>
      <c r="CH351" s="1495">
        <f t="shared" si="456"/>
        <v>0</v>
      </c>
      <c r="CI351" s="1577">
        <f t="shared" si="457"/>
        <v>0</v>
      </c>
      <c r="CJ351" s="1576">
        <f t="shared" si="498"/>
        <v>0</v>
      </c>
      <c r="CK351" s="1495">
        <f t="shared" si="458"/>
        <v>0</v>
      </c>
      <c r="CL351" s="1577">
        <f t="shared" si="459"/>
        <v>0</v>
      </c>
      <c r="CM351" s="1576">
        <f t="shared" si="499"/>
        <v>0</v>
      </c>
      <c r="CN351" s="1495">
        <f t="shared" si="460"/>
        <v>0</v>
      </c>
      <c r="CO351" s="1577">
        <f t="shared" si="461"/>
        <v>0</v>
      </c>
      <c r="CP351" s="1576">
        <f t="shared" si="500"/>
        <v>0</v>
      </c>
      <c r="CQ351" s="1495">
        <f t="shared" si="462"/>
        <v>0</v>
      </c>
      <c r="CR351" s="1577">
        <f t="shared" si="463"/>
        <v>0</v>
      </c>
      <c r="CS351" s="1576">
        <f t="shared" si="501"/>
        <v>0</v>
      </c>
      <c r="CT351" s="1495">
        <f t="shared" si="464"/>
        <v>0</v>
      </c>
      <c r="CU351" s="1577">
        <f t="shared" si="465"/>
        <v>0</v>
      </c>
      <c r="CV351" s="1576">
        <f t="shared" si="502"/>
        <v>0</v>
      </c>
      <c r="CW351" s="1495">
        <f t="shared" si="466"/>
        <v>0</v>
      </c>
      <c r="CX351" s="1577">
        <f t="shared" si="467"/>
        <v>0</v>
      </c>
      <c r="CY351" s="1576">
        <f t="shared" si="503"/>
        <v>0</v>
      </c>
      <c r="CZ351" s="1574">
        <f t="shared" si="504"/>
        <v>0</v>
      </c>
      <c r="DA351" s="1578">
        <f t="shared" si="506"/>
        <v>0</v>
      </c>
      <c r="DB351" s="1579">
        <f t="shared" si="507"/>
        <v>0</v>
      </c>
      <c r="DC351" s="1578">
        <f t="shared" si="508"/>
        <v>0</v>
      </c>
      <c r="DD351" s="1578">
        <f t="shared" si="508"/>
        <v>0</v>
      </c>
      <c r="DE351" s="1578">
        <f t="shared" si="508"/>
        <v>0</v>
      </c>
      <c r="DF351" s="1578">
        <f t="shared" si="509"/>
        <v>0</v>
      </c>
      <c r="DG351" s="1420"/>
      <c r="DH351" s="1420"/>
      <c r="DI351" s="1422"/>
      <c r="DJ351" s="1428"/>
      <c r="DK351" s="1428"/>
      <c r="DL351" s="1428"/>
      <c r="DM351" s="1428"/>
      <c r="DN351" s="1428"/>
      <c r="DO351" s="1428"/>
      <c r="DP351" s="1428"/>
      <c r="DQ351" s="1422"/>
      <c r="DR351" s="1428"/>
      <c r="DS351" s="1428"/>
      <c r="DT351" s="1428"/>
      <c r="DU351" s="1428"/>
      <c r="DV351" s="1428"/>
      <c r="DW351" s="1428"/>
      <c r="DX351" s="1428"/>
      <c r="DY351" s="1428"/>
      <c r="DZ351" s="1428"/>
      <c r="EA351" s="1428"/>
      <c r="EB351" s="1428"/>
      <c r="EC351" s="1428"/>
      <c r="ED351" s="1428"/>
      <c r="EE351" s="1428"/>
      <c r="EF351" s="1428"/>
      <c r="EG351" s="1428"/>
      <c r="EH351" s="1428"/>
      <c r="EI351" s="1428"/>
      <c r="EJ351" s="1428"/>
      <c r="EK351" s="1428"/>
      <c r="EL351" s="1428"/>
      <c r="EM351" s="1428"/>
      <c r="EN351" s="1428"/>
      <c r="EO351" s="1428"/>
      <c r="EP351" s="1428"/>
      <c r="EQ351" s="1428"/>
      <c r="ER351" s="1428"/>
      <c r="ES351" s="1428"/>
      <c r="ET351" s="1428"/>
      <c r="EU351" s="1428"/>
    </row>
    <row r="352" spans="1:151" s="1440" customFormat="1" ht="18" customHeight="1">
      <c r="A352" s="1603"/>
      <c r="B352" s="1600" t="s">
        <v>801</v>
      </c>
      <c r="C352" s="1737">
        <f t="shared" si="513"/>
        <v>0</v>
      </c>
      <c r="D352" s="1737">
        <f t="shared" ref="D352:D362" si="514">AU335</f>
        <v>0</v>
      </c>
      <c r="E352" s="1475"/>
      <c r="F352" s="1475"/>
      <c r="G352" s="1475"/>
      <c r="H352" s="1475"/>
      <c r="I352" s="1475"/>
      <c r="J352" s="1475"/>
      <c r="L352" s="1422"/>
      <c r="M352" s="1422"/>
      <c r="N352" s="1430"/>
      <c r="O352" s="1430"/>
      <c r="P352" s="1430"/>
      <c r="Q352" s="1430"/>
      <c r="R352" s="1430"/>
      <c r="S352" s="1430"/>
      <c r="T352" s="1430"/>
      <c r="U352" s="1430"/>
      <c r="V352" s="1430"/>
      <c r="W352" s="1430"/>
      <c r="X352" s="1430"/>
      <c r="Y352" s="1430"/>
      <c r="Z352" s="1430"/>
      <c r="AA352" s="1430"/>
      <c r="AB352" s="1430"/>
      <c r="AC352" s="1430"/>
      <c r="AD352" s="1430"/>
      <c r="AE352" s="1430"/>
      <c r="AF352" s="1430"/>
      <c r="AG352" s="1430"/>
      <c r="AH352" s="1430"/>
      <c r="AI352" s="1430"/>
      <c r="AJ352" s="1430"/>
      <c r="AK352" s="1430"/>
      <c r="AL352" s="1430"/>
      <c r="AM352" s="1430"/>
      <c r="AN352" s="1430"/>
      <c r="AO352" s="1430"/>
      <c r="AP352" s="1430"/>
      <c r="AQ352" s="1430"/>
      <c r="AR352" s="1430"/>
      <c r="AS352" s="1430"/>
      <c r="AT352" s="1430"/>
      <c r="AU352" s="1430"/>
      <c r="AV352" s="1430"/>
      <c r="AW352" s="1430"/>
      <c r="AX352" s="1430"/>
      <c r="AY352" s="1430"/>
      <c r="AZ352" s="1430"/>
      <c r="BA352" s="1430"/>
      <c r="BB352" s="1430"/>
      <c r="BC352" s="1430"/>
      <c r="BD352" s="1422"/>
      <c r="BE352" s="1571" t="s">
        <v>1218</v>
      </c>
      <c r="BF352" s="1436">
        <v>22</v>
      </c>
      <c r="BG352" s="1436">
        <v>29</v>
      </c>
      <c r="BH352" s="1436">
        <v>1</v>
      </c>
      <c r="BI352" s="1495" t="b">
        <f t="shared" si="505"/>
        <v>1</v>
      </c>
      <c r="BJ352" s="1450" t="b">
        <f t="shared" si="443"/>
        <v>0</v>
      </c>
      <c r="BK352" s="1572">
        <f t="shared" si="468"/>
        <v>0</v>
      </c>
      <c r="BL352" s="1581">
        <f>IF(SUM(BL$324:BL351,BK352)&gt;$BT$4,0,BK352)</f>
        <v>0</v>
      </c>
      <c r="BM352" s="1436">
        <f t="shared" si="490"/>
        <v>0</v>
      </c>
      <c r="BN352" s="1495">
        <f t="shared" si="491"/>
        <v>0</v>
      </c>
      <c r="BO352" s="1437">
        <f t="shared" si="510"/>
        <v>0</v>
      </c>
      <c r="BP352" s="1762">
        <f t="shared" si="444"/>
        <v>0</v>
      </c>
      <c r="BQ352" s="1577">
        <f t="shared" si="445"/>
        <v>0</v>
      </c>
      <c r="BR352" s="1576">
        <f t="shared" si="492"/>
        <v>0</v>
      </c>
      <c r="BS352" s="1574">
        <f t="shared" si="446"/>
        <v>0</v>
      </c>
      <c r="BT352" s="1577">
        <f t="shared" si="447"/>
        <v>0</v>
      </c>
      <c r="BU352" s="1576">
        <f t="shared" si="493"/>
        <v>0</v>
      </c>
      <c r="BV352" s="1574">
        <f t="shared" si="448"/>
        <v>0</v>
      </c>
      <c r="BW352" s="1577">
        <f t="shared" si="449"/>
        <v>0</v>
      </c>
      <c r="BX352" s="1576">
        <f t="shared" si="494"/>
        <v>0</v>
      </c>
      <c r="BY352" s="1574">
        <f t="shared" si="450"/>
        <v>0</v>
      </c>
      <c r="BZ352" s="1577">
        <f t="shared" si="451"/>
        <v>0</v>
      </c>
      <c r="CA352" s="1576">
        <f t="shared" si="495"/>
        <v>0</v>
      </c>
      <c r="CB352" s="1495">
        <f t="shared" si="452"/>
        <v>0</v>
      </c>
      <c r="CC352" s="1577">
        <f t="shared" si="453"/>
        <v>0</v>
      </c>
      <c r="CD352" s="1576">
        <f t="shared" si="496"/>
        <v>0</v>
      </c>
      <c r="CE352" s="1495">
        <f t="shared" si="454"/>
        <v>0</v>
      </c>
      <c r="CF352" s="1577">
        <f t="shared" si="455"/>
        <v>0</v>
      </c>
      <c r="CG352" s="1576">
        <f t="shared" si="497"/>
        <v>0</v>
      </c>
      <c r="CH352" s="1495">
        <f t="shared" si="456"/>
        <v>0</v>
      </c>
      <c r="CI352" s="1577">
        <f t="shared" si="457"/>
        <v>0</v>
      </c>
      <c r="CJ352" s="1576">
        <f t="shared" si="498"/>
        <v>0</v>
      </c>
      <c r="CK352" s="1495">
        <f t="shared" si="458"/>
        <v>0</v>
      </c>
      <c r="CL352" s="1577">
        <f t="shared" si="459"/>
        <v>0</v>
      </c>
      <c r="CM352" s="1576">
        <f t="shared" si="499"/>
        <v>0</v>
      </c>
      <c r="CN352" s="1495">
        <f t="shared" si="460"/>
        <v>0</v>
      </c>
      <c r="CO352" s="1577">
        <f t="shared" si="461"/>
        <v>0</v>
      </c>
      <c r="CP352" s="1576">
        <f t="shared" si="500"/>
        <v>0</v>
      </c>
      <c r="CQ352" s="1495">
        <f t="shared" si="462"/>
        <v>0</v>
      </c>
      <c r="CR352" s="1577">
        <f t="shared" si="463"/>
        <v>0</v>
      </c>
      <c r="CS352" s="1576">
        <f t="shared" si="501"/>
        <v>0</v>
      </c>
      <c r="CT352" s="1495">
        <f t="shared" si="464"/>
        <v>0</v>
      </c>
      <c r="CU352" s="1577">
        <f t="shared" si="465"/>
        <v>0</v>
      </c>
      <c r="CV352" s="1576">
        <f t="shared" si="502"/>
        <v>0</v>
      </c>
      <c r="CW352" s="1495">
        <f t="shared" si="466"/>
        <v>0</v>
      </c>
      <c r="CX352" s="1577">
        <f t="shared" si="467"/>
        <v>0</v>
      </c>
      <c r="CY352" s="1576">
        <f t="shared" si="503"/>
        <v>0</v>
      </c>
      <c r="CZ352" s="1574">
        <f t="shared" si="504"/>
        <v>0</v>
      </c>
      <c r="DA352" s="1578">
        <f t="shared" si="506"/>
        <v>0</v>
      </c>
      <c r="DB352" s="1579">
        <f t="shared" si="507"/>
        <v>0</v>
      </c>
      <c r="DC352" s="1578">
        <f t="shared" si="508"/>
        <v>0</v>
      </c>
      <c r="DD352" s="1578">
        <f t="shared" si="508"/>
        <v>0</v>
      </c>
      <c r="DE352" s="1578">
        <f t="shared" si="508"/>
        <v>0</v>
      </c>
      <c r="DF352" s="1578">
        <f t="shared" si="509"/>
        <v>0</v>
      </c>
      <c r="DG352" s="1420"/>
      <c r="DH352" s="1420"/>
      <c r="DI352" s="1422"/>
      <c r="DJ352" s="1428"/>
      <c r="DK352" s="1428"/>
      <c r="DL352" s="1428"/>
      <c r="DM352" s="1428"/>
      <c r="DN352" s="1428"/>
      <c r="DO352" s="1428"/>
      <c r="DP352" s="1428"/>
      <c r="DQ352" s="1422"/>
      <c r="DR352" s="1428"/>
      <c r="DS352" s="1428"/>
      <c r="DT352" s="1428"/>
      <c r="DU352" s="1428"/>
      <c r="DV352" s="1428"/>
      <c r="DW352" s="1428"/>
      <c r="DX352" s="1428"/>
      <c r="DY352" s="1428"/>
      <c r="DZ352" s="1428"/>
      <c r="EA352" s="1428"/>
      <c r="EB352" s="1428"/>
      <c r="EC352" s="1428"/>
      <c r="ED352" s="1428"/>
      <c r="EE352" s="1428"/>
      <c r="EF352" s="1428"/>
      <c r="EG352" s="1428"/>
      <c r="EH352" s="1428"/>
      <c r="EI352" s="1428"/>
      <c r="EJ352" s="1428"/>
      <c r="EK352" s="1428"/>
      <c r="EL352" s="1428"/>
      <c r="EM352" s="1428"/>
      <c r="EN352" s="1428"/>
      <c r="EO352" s="1428"/>
      <c r="EP352" s="1428"/>
      <c r="EQ352" s="1428"/>
      <c r="ER352" s="1428"/>
      <c r="ES352" s="1428"/>
      <c r="ET352" s="1428"/>
      <c r="EU352" s="1428"/>
    </row>
    <row r="353" spans="1:151" s="1440" customFormat="1" ht="18" customHeight="1">
      <c r="A353" s="1603"/>
      <c r="B353" s="1600" t="s">
        <v>881</v>
      </c>
      <c r="C353" s="1737">
        <f t="shared" si="513"/>
        <v>0</v>
      </c>
      <c r="D353" s="1737">
        <f t="shared" si="514"/>
        <v>0</v>
      </c>
      <c r="E353" s="1475"/>
      <c r="F353" s="1475"/>
      <c r="G353" s="1475"/>
      <c r="H353" s="1475"/>
      <c r="I353" s="1475"/>
      <c r="J353" s="1475"/>
      <c r="L353" s="1422"/>
      <c r="M353" s="1422"/>
      <c r="N353" s="1430"/>
      <c r="O353" s="1430"/>
      <c r="P353" s="1430"/>
      <c r="Q353" s="1430"/>
      <c r="R353" s="1430"/>
      <c r="S353" s="1430"/>
      <c r="T353" s="1430"/>
      <c r="U353" s="1430"/>
      <c r="V353" s="1430"/>
      <c r="W353" s="1430"/>
      <c r="X353" s="1430"/>
      <c r="Y353" s="1430"/>
      <c r="Z353" s="1430"/>
      <c r="AA353" s="1430"/>
      <c r="AB353" s="1430"/>
      <c r="AC353" s="1430"/>
      <c r="AD353" s="1430"/>
      <c r="AE353" s="1430"/>
      <c r="AF353" s="1430"/>
      <c r="AG353" s="1430"/>
      <c r="AH353" s="1430"/>
      <c r="AI353" s="1430"/>
      <c r="AJ353" s="1430"/>
      <c r="AK353" s="1430"/>
      <c r="AL353" s="1430"/>
      <c r="AM353" s="1430"/>
      <c r="AN353" s="1430"/>
      <c r="AO353" s="1430"/>
      <c r="AP353" s="1430"/>
      <c r="AQ353" s="1430"/>
      <c r="AR353" s="1430"/>
      <c r="AS353" s="1430"/>
      <c r="AT353" s="1430"/>
      <c r="AU353" s="1430"/>
      <c r="AV353" s="1430"/>
      <c r="AW353" s="1430"/>
      <c r="AX353" s="1430"/>
      <c r="AY353" s="1430"/>
      <c r="AZ353" s="1430"/>
      <c r="BA353" s="1430"/>
      <c r="BB353" s="1430"/>
      <c r="BC353" s="1430"/>
      <c r="BD353" s="1422"/>
      <c r="BE353" s="1571" t="s">
        <v>1218</v>
      </c>
      <c r="BF353" s="1436">
        <v>22</v>
      </c>
      <c r="BG353" s="1436">
        <v>30</v>
      </c>
      <c r="BH353" s="1436">
        <v>2</v>
      </c>
      <c r="BI353" s="1495" t="b">
        <f t="shared" si="505"/>
        <v>1</v>
      </c>
      <c r="BJ353" s="1450" t="b">
        <f>MOD(BG353,$BO$7)=0</f>
        <v>1</v>
      </c>
      <c r="BK353" s="1572">
        <f>IF(BJ353,BO$8,0)</f>
        <v>5</v>
      </c>
      <c r="BL353" s="1573">
        <f>$BT$4-SUM(BL324:BL352)</f>
        <v>21.249999999999993</v>
      </c>
      <c r="BM353" s="1436">
        <f t="shared" si="490"/>
        <v>0</v>
      </c>
      <c r="BN353" s="1495">
        <f t="shared" si="491"/>
        <v>0</v>
      </c>
      <c r="BO353" s="1437">
        <f t="shared" si="510"/>
        <v>0</v>
      </c>
      <c r="BP353" s="1762">
        <f t="shared" si="444"/>
        <v>0</v>
      </c>
      <c r="BQ353" s="1577">
        <f t="shared" si="445"/>
        <v>0</v>
      </c>
      <c r="BR353" s="1576">
        <f t="shared" si="492"/>
        <v>0</v>
      </c>
      <c r="BS353" s="1574">
        <f t="shared" si="446"/>
        <v>0</v>
      </c>
      <c r="BT353" s="1577">
        <f t="shared" si="447"/>
        <v>0</v>
      </c>
      <c r="BU353" s="1576">
        <f t="shared" si="493"/>
        <v>0</v>
      </c>
      <c r="BV353" s="1574">
        <f t="shared" si="448"/>
        <v>0</v>
      </c>
      <c r="BW353" s="1577">
        <f t="shared" si="449"/>
        <v>0</v>
      </c>
      <c r="BX353" s="1576">
        <f t="shared" si="494"/>
        <v>0</v>
      </c>
      <c r="BY353" s="1574">
        <f t="shared" si="450"/>
        <v>0</v>
      </c>
      <c r="BZ353" s="1577">
        <f t="shared" si="451"/>
        <v>0</v>
      </c>
      <c r="CA353" s="1576">
        <f t="shared" si="495"/>
        <v>0</v>
      </c>
      <c r="CB353" s="1495">
        <f t="shared" si="452"/>
        <v>0</v>
      </c>
      <c r="CC353" s="1577">
        <f t="shared" si="453"/>
        <v>0</v>
      </c>
      <c r="CD353" s="1576">
        <f t="shared" si="496"/>
        <v>0</v>
      </c>
      <c r="CE353" s="1495">
        <f t="shared" si="454"/>
        <v>0</v>
      </c>
      <c r="CF353" s="1577">
        <f t="shared" si="455"/>
        <v>0</v>
      </c>
      <c r="CG353" s="1576">
        <f t="shared" si="497"/>
        <v>0</v>
      </c>
      <c r="CH353" s="1495">
        <f t="shared" si="456"/>
        <v>0</v>
      </c>
      <c r="CI353" s="1577">
        <f t="shared" si="457"/>
        <v>0</v>
      </c>
      <c r="CJ353" s="1576">
        <f t="shared" si="498"/>
        <v>0</v>
      </c>
      <c r="CK353" s="1495">
        <f t="shared" si="458"/>
        <v>0</v>
      </c>
      <c r="CL353" s="1577">
        <f t="shared" si="459"/>
        <v>0</v>
      </c>
      <c r="CM353" s="1576">
        <f t="shared" si="499"/>
        <v>0</v>
      </c>
      <c r="CN353" s="1495">
        <f t="shared" si="460"/>
        <v>0</v>
      </c>
      <c r="CO353" s="1577">
        <f t="shared" si="461"/>
        <v>0</v>
      </c>
      <c r="CP353" s="1576">
        <f t="shared" si="500"/>
        <v>0</v>
      </c>
      <c r="CQ353" s="1495">
        <f t="shared" si="462"/>
        <v>0</v>
      </c>
      <c r="CR353" s="1577">
        <f t="shared" si="463"/>
        <v>0</v>
      </c>
      <c r="CS353" s="1576">
        <f t="shared" si="501"/>
        <v>0</v>
      </c>
      <c r="CT353" s="1495">
        <f t="shared" si="464"/>
        <v>0</v>
      </c>
      <c r="CU353" s="1577">
        <f t="shared" si="465"/>
        <v>0</v>
      </c>
      <c r="CV353" s="1576">
        <f t="shared" si="502"/>
        <v>0</v>
      </c>
      <c r="CW353" s="1495">
        <f t="shared" si="466"/>
        <v>0</v>
      </c>
      <c r="CX353" s="1577">
        <f t="shared" si="467"/>
        <v>0</v>
      </c>
      <c r="CY353" s="1576">
        <f t="shared" si="503"/>
        <v>0</v>
      </c>
      <c r="CZ353" s="1574">
        <f t="shared" si="504"/>
        <v>0</v>
      </c>
      <c r="DA353" s="1578">
        <f t="shared" si="506"/>
        <v>0</v>
      </c>
      <c r="DB353" s="1579">
        <f t="shared" si="507"/>
        <v>0</v>
      </c>
      <c r="DC353" s="1578">
        <f t="shared" si="508"/>
        <v>0</v>
      </c>
      <c r="DD353" s="1578">
        <f t="shared" si="508"/>
        <v>0</v>
      </c>
      <c r="DE353" s="1578">
        <f t="shared" si="508"/>
        <v>0</v>
      </c>
      <c r="DF353" s="1578">
        <f t="shared" si="509"/>
        <v>0</v>
      </c>
      <c r="DG353" s="1420"/>
      <c r="DH353" s="1420"/>
      <c r="DI353" s="1422"/>
      <c r="DJ353" s="1428"/>
      <c r="DK353" s="1428"/>
      <c r="DL353" s="1428"/>
      <c r="DM353" s="1428"/>
      <c r="DN353" s="1428"/>
      <c r="DO353" s="1428"/>
      <c r="DP353" s="1428"/>
      <c r="DQ353" s="1422"/>
      <c r="DR353" s="1428"/>
      <c r="DS353" s="1428"/>
      <c r="DT353" s="1428"/>
      <c r="DU353" s="1428"/>
      <c r="DV353" s="1428"/>
      <c r="DW353" s="1428"/>
      <c r="DX353" s="1428"/>
      <c r="DY353" s="1428"/>
      <c r="DZ353" s="1428"/>
      <c r="EA353" s="1428"/>
      <c r="EB353" s="1428"/>
      <c r="EC353" s="1428"/>
      <c r="ED353" s="1428"/>
      <c r="EE353" s="1428"/>
      <c r="EF353" s="1428"/>
      <c r="EG353" s="1428"/>
      <c r="EH353" s="1428"/>
      <c r="EI353" s="1428"/>
      <c r="EJ353" s="1428"/>
      <c r="EK353" s="1428"/>
      <c r="EL353" s="1428"/>
      <c r="EM353" s="1428"/>
      <c r="EN353" s="1428"/>
      <c r="EO353" s="1428"/>
      <c r="EP353" s="1428"/>
      <c r="EQ353" s="1428"/>
      <c r="ER353" s="1428"/>
      <c r="ES353" s="1428"/>
      <c r="ET353" s="1685"/>
      <c r="EU353" s="1685"/>
    </row>
    <row r="354" spans="1:151" s="1440" customFormat="1" ht="18" customHeight="1">
      <c r="A354" s="1603"/>
      <c r="B354" s="1600" t="s">
        <v>882</v>
      </c>
      <c r="C354" s="1737">
        <f t="shared" si="513"/>
        <v>0</v>
      </c>
      <c r="D354" s="1737">
        <f t="shared" si="514"/>
        <v>0</v>
      </c>
      <c r="E354" s="1475"/>
      <c r="F354" s="1475"/>
      <c r="G354" s="1475"/>
      <c r="H354" s="1475"/>
      <c r="I354" s="1475"/>
      <c r="J354" s="1475"/>
      <c r="L354" s="1422"/>
      <c r="M354" s="1422"/>
      <c r="N354" s="1430"/>
      <c r="O354" s="1430"/>
      <c r="P354" s="1430"/>
      <c r="Q354" s="1430"/>
      <c r="R354" s="1430"/>
      <c r="S354" s="1430"/>
      <c r="T354" s="1430"/>
      <c r="U354" s="1430"/>
      <c r="V354" s="1430"/>
      <c r="W354" s="1430"/>
      <c r="X354" s="1430"/>
      <c r="Y354" s="1430"/>
      <c r="Z354" s="1430"/>
      <c r="AA354" s="1430"/>
      <c r="AB354" s="1430"/>
      <c r="AC354" s="1430"/>
      <c r="AD354" s="1430"/>
      <c r="AE354" s="1430"/>
      <c r="AF354" s="1430"/>
      <c r="AG354" s="1430"/>
      <c r="AH354" s="1430"/>
      <c r="AI354" s="1430"/>
      <c r="AJ354" s="1430"/>
      <c r="AK354" s="1430"/>
      <c r="AL354" s="1430"/>
      <c r="AM354" s="1430"/>
      <c r="AN354" s="1430"/>
      <c r="AO354" s="1430"/>
      <c r="AP354" s="1430"/>
      <c r="AQ354" s="1430"/>
      <c r="AR354" s="1430"/>
      <c r="AS354" s="1430"/>
      <c r="AT354" s="1430"/>
      <c r="AU354" s="1430"/>
      <c r="AV354" s="1430"/>
      <c r="AW354" s="1430"/>
      <c r="AX354" s="1430"/>
      <c r="AY354" s="1430"/>
      <c r="AZ354" s="1430"/>
      <c r="BA354" s="1430"/>
      <c r="BB354" s="1430"/>
      <c r="BC354" s="1430"/>
      <c r="BD354" s="1422"/>
      <c r="BE354" s="1571" t="s">
        <v>1219</v>
      </c>
      <c r="BF354" s="1436">
        <v>23</v>
      </c>
      <c r="BG354" s="1436">
        <v>1</v>
      </c>
      <c r="BH354" s="1436">
        <v>3</v>
      </c>
      <c r="BI354" s="1495" t="b">
        <f t="shared" si="505"/>
        <v>1</v>
      </c>
      <c r="BJ354" s="1450" t="b">
        <f t="shared" ref="BJ354:BJ384" si="515">MOD(BG354,$BU$7)=0</f>
        <v>0</v>
      </c>
      <c r="BK354" s="1572">
        <f t="shared" ref="BK354:BK384" si="516">IF(BJ354,BU$8,0)</f>
        <v>0</v>
      </c>
      <c r="BL354" s="1573">
        <f>BK354</f>
        <v>0</v>
      </c>
      <c r="BM354" s="1436">
        <f t="shared" si="490"/>
        <v>0</v>
      </c>
      <c r="BN354" s="1495">
        <f t="shared" si="491"/>
        <v>0</v>
      </c>
      <c r="BO354" s="1437">
        <f t="shared" si="510"/>
        <v>0</v>
      </c>
      <c r="BP354" s="1574">
        <f t="shared" ref="BP354:BP384" si="517">$Q$345/$BF$354*BR$16*$BI354</f>
        <v>0</v>
      </c>
      <c r="BQ354" s="1577">
        <f t="shared" ref="BQ354:BQ384" si="518">AQ$380/$BF354*$BI354</f>
        <v>0</v>
      </c>
      <c r="BR354" s="1576">
        <f t="shared" si="492"/>
        <v>0</v>
      </c>
      <c r="BS354" s="1574">
        <f t="shared" ref="BS354:BS383" si="519">$R$345/$BF354*BU$16*$BI354</f>
        <v>0</v>
      </c>
      <c r="BT354" s="1577">
        <f t="shared" ref="BT354:BT384" si="520">AR$380/$BF354*$BI354</f>
        <v>0</v>
      </c>
      <c r="BU354" s="1576">
        <f t="shared" si="493"/>
        <v>0</v>
      </c>
      <c r="BV354" s="1574">
        <f t="shared" ref="BV354:BV383" si="521">$S$345/$BF354*BX$16*$BI354</f>
        <v>0</v>
      </c>
      <c r="BW354" s="1577">
        <f t="shared" ref="BW354:BW383" si="522">AS$380/$BF354*$BI354</f>
        <v>0</v>
      </c>
      <c r="BX354" s="1576">
        <f t="shared" si="494"/>
        <v>0</v>
      </c>
      <c r="BY354" s="1574">
        <f t="shared" ref="BY354:BY383" si="523">$T$345/$BF354*CA$16*$BI354</f>
        <v>0</v>
      </c>
      <c r="BZ354" s="1577">
        <f t="shared" ref="BZ354:BZ383" si="524">AT$380/$BF354*$BI354</f>
        <v>0</v>
      </c>
      <c r="CA354" s="1576">
        <f t="shared" si="495"/>
        <v>0</v>
      </c>
      <c r="CB354" s="1495">
        <f t="shared" ref="CB354:CB384" si="525">$W$345/BF354*BI354*$C$419</f>
        <v>0</v>
      </c>
      <c r="CC354" s="1577">
        <f t="shared" ref="CC354:CC383" si="526">AU$380/$BF354*$BI354</f>
        <v>0</v>
      </c>
      <c r="CD354" s="1576">
        <f t="shared" si="496"/>
        <v>0</v>
      </c>
      <c r="CE354" s="1495">
        <f t="shared" ref="CE354:CE384" si="527">$X$345/BF354*BI354*$C$420</f>
        <v>0</v>
      </c>
      <c r="CF354" s="1577">
        <f t="shared" ref="CF354:CF383" si="528">AV$380/$BF354*$BI354</f>
        <v>0</v>
      </c>
      <c r="CG354" s="1576">
        <f t="shared" si="497"/>
        <v>0</v>
      </c>
      <c r="CH354" s="1495">
        <f t="shared" ref="CH354:CH384" si="529">$Y$345/BF354*BI354*$C$421</f>
        <v>0</v>
      </c>
      <c r="CI354" s="1577">
        <f t="shared" ref="CI354:CI383" si="530">AW$380/$BF354*$BI354</f>
        <v>0</v>
      </c>
      <c r="CJ354" s="1576">
        <f t="shared" si="498"/>
        <v>0</v>
      </c>
      <c r="CK354" s="1495">
        <f t="shared" ref="CK354:CK384" si="531">$Z$345/BF354*BI354*$CM$16</f>
        <v>0</v>
      </c>
      <c r="CL354" s="1577">
        <f t="shared" ref="CL354:CL384" si="532">AX$380/$BF354*$BI354</f>
        <v>0</v>
      </c>
      <c r="CM354" s="1576">
        <f t="shared" si="499"/>
        <v>0</v>
      </c>
      <c r="CN354" s="1495">
        <f t="shared" ref="CN354:CN384" si="533">$AA$345/BF354*BI354*$CP$16</f>
        <v>0</v>
      </c>
      <c r="CO354" s="1577">
        <f t="shared" ref="CO354:CO384" si="534">$AY$380/$BF354*$BI354</f>
        <v>0</v>
      </c>
      <c r="CP354" s="1576">
        <f t="shared" si="500"/>
        <v>0</v>
      </c>
      <c r="CQ354" s="1495">
        <f t="shared" ref="CQ354:CQ384" si="535">$AB$345/BF354*BI354*$CS$16</f>
        <v>0</v>
      </c>
      <c r="CR354" s="1577">
        <f t="shared" ref="CR354:CR384" si="536">AZ$380/$BF354*$BI354</f>
        <v>0</v>
      </c>
      <c r="CS354" s="1576">
        <f t="shared" si="501"/>
        <v>0</v>
      </c>
      <c r="CT354" s="1495">
        <f t="shared" ref="CT354:CT384" si="537">$AC$345/BF354*BI354*$CV$16</f>
        <v>0</v>
      </c>
      <c r="CU354" s="1577">
        <f t="shared" ref="CU354:CU384" si="538">BA$380/$BF354*$BI354</f>
        <v>0</v>
      </c>
      <c r="CV354" s="1576">
        <f t="shared" si="502"/>
        <v>0</v>
      </c>
      <c r="CW354" s="1495">
        <f t="shared" ref="CW354:CW384" si="539">$AD$345/BF354*BI354*$CY$16</f>
        <v>0</v>
      </c>
      <c r="CX354" s="1577">
        <f t="shared" ref="CX354:CX384" si="540">BB$380/$BF354*$BI354</f>
        <v>0</v>
      </c>
      <c r="CY354" s="1576">
        <f t="shared" si="503"/>
        <v>0</v>
      </c>
      <c r="CZ354" s="1574">
        <f t="shared" si="504"/>
        <v>0</v>
      </c>
      <c r="DA354" s="1578">
        <f t="shared" si="506"/>
        <v>0</v>
      </c>
      <c r="DB354" s="1579">
        <f t="shared" si="507"/>
        <v>0</v>
      </c>
      <c r="DC354" s="1578">
        <f t="shared" si="508"/>
        <v>0</v>
      </c>
      <c r="DD354" s="1578">
        <f t="shared" si="508"/>
        <v>0</v>
      </c>
      <c r="DE354" s="1578">
        <f t="shared" si="508"/>
        <v>0</v>
      </c>
      <c r="DF354" s="1578">
        <f>IF(DA354-(DE353+CZ354)&lt;0,0,DA354-(DE353+CZ354))</f>
        <v>0</v>
      </c>
      <c r="DG354" s="1420"/>
      <c r="DH354" s="1420"/>
      <c r="DI354" s="1422"/>
      <c r="DJ354" s="1428"/>
      <c r="DK354" s="1428"/>
      <c r="DL354" s="1428"/>
      <c r="DM354" s="1428"/>
      <c r="DN354" s="1428"/>
      <c r="DO354" s="1428"/>
      <c r="DP354" s="1428"/>
      <c r="DQ354" s="1422"/>
      <c r="DR354" s="1428"/>
      <c r="DS354" s="1428"/>
      <c r="DT354" s="1428"/>
      <c r="DU354" s="1428"/>
      <c r="DV354" s="1428"/>
      <c r="DW354" s="1428"/>
      <c r="DX354" s="1428"/>
      <c r="DY354" s="1428"/>
      <c r="DZ354" s="1428"/>
      <c r="EA354" s="1428"/>
      <c r="EB354" s="1428"/>
      <c r="EC354" s="1428"/>
      <c r="ED354" s="1428"/>
      <c r="EE354" s="1428"/>
      <c r="EF354" s="1428"/>
      <c r="EG354" s="1428"/>
      <c r="EH354" s="1428"/>
      <c r="EI354" s="1428"/>
      <c r="EJ354" s="1428"/>
      <c r="EK354" s="1428"/>
      <c r="EL354" s="1428"/>
      <c r="EM354" s="1428"/>
      <c r="EN354" s="1428"/>
      <c r="EO354" s="1428"/>
      <c r="EP354" s="1428"/>
      <c r="EQ354" s="1428"/>
      <c r="ER354" s="1428"/>
      <c r="ES354" s="1428"/>
      <c r="ET354" s="1428"/>
      <c r="EU354" s="1428"/>
    </row>
    <row r="355" spans="1:151" s="1440" customFormat="1" ht="18" customHeight="1">
      <c r="A355" s="1603"/>
      <c r="B355" s="1600" t="s">
        <v>1212</v>
      </c>
      <c r="C355" s="1737">
        <f t="shared" si="513"/>
        <v>0</v>
      </c>
      <c r="D355" s="1737">
        <f t="shared" si="514"/>
        <v>0</v>
      </c>
      <c r="E355" s="1475"/>
      <c r="F355" s="1475"/>
      <c r="G355" s="1475"/>
      <c r="H355" s="1475"/>
      <c r="I355" s="1475"/>
      <c r="J355" s="1475"/>
      <c r="K355" s="1475"/>
      <c r="L355" s="1475"/>
      <c r="M355" s="1475"/>
      <c r="N355" s="1430"/>
      <c r="O355" s="1430"/>
      <c r="P355" s="1430"/>
      <c r="Q355" s="1430"/>
      <c r="R355" s="1430"/>
      <c r="S355" s="1430"/>
      <c r="T355" s="1430"/>
      <c r="U355" s="1430"/>
      <c r="V355" s="1430"/>
      <c r="W355" s="1430"/>
      <c r="X355" s="1430"/>
      <c r="Y355" s="1430"/>
      <c r="Z355" s="1430"/>
      <c r="AA355" s="1430"/>
      <c r="AB355" s="1430"/>
      <c r="AC355" s="1430"/>
      <c r="AD355" s="1430"/>
      <c r="AE355" s="1430"/>
      <c r="AF355" s="1430"/>
      <c r="AG355" s="1430"/>
      <c r="AH355" s="1430"/>
      <c r="AI355" s="1430"/>
      <c r="AJ355" s="1430"/>
      <c r="AK355" s="1430"/>
      <c r="AL355" s="1430"/>
      <c r="AM355" s="1430"/>
      <c r="AN355" s="1430"/>
      <c r="AO355" s="1430"/>
      <c r="AP355" s="1430"/>
      <c r="AQ355" s="1430"/>
      <c r="AR355" s="1430"/>
      <c r="AS355" s="1430"/>
      <c r="AT355" s="1430"/>
      <c r="AU355" s="1430"/>
      <c r="AV355" s="1430"/>
      <c r="AW355" s="1430"/>
      <c r="AX355" s="1430"/>
      <c r="AY355" s="1430"/>
      <c r="AZ355" s="1430"/>
      <c r="BA355" s="1430"/>
      <c r="BB355" s="1430"/>
      <c r="BC355" s="1430"/>
      <c r="BD355" s="1422"/>
      <c r="BE355" s="1571" t="s">
        <v>1219</v>
      </c>
      <c r="BF355" s="1436">
        <v>23</v>
      </c>
      <c r="BG355" s="1436">
        <v>2</v>
      </c>
      <c r="BH355" s="1436">
        <v>4</v>
      </c>
      <c r="BI355" s="1495" t="b">
        <f t="shared" si="505"/>
        <v>1</v>
      </c>
      <c r="BJ355" s="1450" t="b">
        <f t="shared" si="515"/>
        <v>0</v>
      </c>
      <c r="BK355" s="1572">
        <f t="shared" si="516"/>
        <v>0</v>
      </c>
      <c r="BL355" s="1581">
        <f>IF(SUM(BL$354:BL354,BK355)&gt;$BU$4,0,BK355)</f>
        <v>0</v>
      </c>
      <c r="BM355" s="1436">
        <f t="shared" si="490"/>
        <v>0</v>
      </c>
      <c r="BN355" s="1495">
        <f t="shared" si="491"/>
        <v>0</v>
      </c>
      <c r="BO355" s="1437">
        <f t="shared" si="510"/>
        <v>0</v>
      </c>
      <c r="BP355" s="1574">
        <f t="shared" si="517"/>
        <v>0</v>
      </c>
      <c r="BQ355" s="1577">
        <f t="shared" si="518"/>
        <v>0</v>
      </c>
      <c r="BR355" s="1576">
        <f t="shared" si="492"/>
        <v>0</v>
      </c>
      <c r="BS355" s="1574">
        <f t="shared" si="519"/>
        <v>0</v>
      </c>
      <c r="BT355" s="1577">
        <f t="shared" si="520"/>
        <v>0</v>
      </c>
      <c r="BU355" s="1576">
        <f t="shared" si="493"/>
        <v>0</v>
      </c>
      <c r="BV355" s="1574">
        <f t="shared" si="521"/>
        <v>0</v>
      </c>
      <c r="BW355" s="1577">
        <f t="shared" si="522"/>
        <v>0</v>
      </c>
      <c r="BX355" s="1576">
        <f t="shared" si="494"/>
        <v>0</v>
      </c>
      <c r="BY355" s="1574">
        <f t="shared" si="523"/>
        <v>0</v>
      </c>
      <c r="BZ355" s="1577">
        <f t="shared" si="524"/>
        <v>0</v>
      </c>
      <c r="CA355" s="1576">
        <f t="shared" si="495"/>
        <v>0</v>
      </c>
      <c r="CB355" s="1495">
        <f t="shared" si="525"/>
        <v>0</v>
      </c>
      <c r="CC355" s="1577">
        <f t="shared" si="526"/>
        <v>0</v>
      </c>
      <c r="CD355" s="1576">
        <f t="shared" si="496"/>
        <v>0</v>
      </c>
      <c r="CE355" s="1495">
        <f t="shared" si="527"/>
        <v>0</v>
      </c>
      <c r="CF355" s="1577">
        <f t="shared" si="528"/>
        <v>0</v>
      </c>
      <c r="CG355" s="1576">
        <f t="shared" si="497"/>
        <v>0</v>
      </c>
      <c r="CH355" s="1495">
        <f t="shared" si="529"/>
        <v>0</v>
      </c>
      <c r="CI355" s="1577">
        <f t="shared" si="530"/>
        <v>0</v>
      </c>
      <c r="CJ355" s="1576">
        <f t="shared" si="498"/>
        <v>0</v>
      </c>
      <c r="CK355" s="1495">
        <f t="shared" si="531"/>
        <v>0</v>
      </c>
      <c r="CL355" s="1577">
        <f t="shared" si="532"/>
        <v>0</v>
      </c>
      <c r="CM355" s="1576">
        <f t="shared" si="499"/>
        <v>0</v>
      </c>
      <c r="CN355" s="1495">
        <f t="shared" si="533"/>
        <v>0</v>
      </c>
      <c r="CO355" s="1577">
        <f t="shared" si="534"/>
        <v>0</v>
      </c>
      <c r="CP355" s="1576">
        <f t="shared" si="500"/>
        <v>0</v>
      </c>
      <c r="CQ355" s="1495">
        <f t="shared" si="535"/>
        <v>0</v>
      </c>
      <c r="CR355" s="1577">
        <f t="shared" si="536"/>
        <v>0</v>
      </c>
      <c r="CS355" s="1576">
        <f t="shared" si="501"/>
        <v>0</v>
      </c>
      <c r="CT355" s="1495">
        <f t="shared" si="537"/>
        <v>0</v>
      </c>
      <c r="CU355" s="1577">
        <f t="shared" si="538"/>
        <v>0</v>
      </c>
      <c r="CV355" s="1576">
        <f t="shared" si="502"/>
        <v>0</v>
      </c>
      <c r="CW355" s="1495">
        <f t="shared" si="539"/>
        <v>0</v>
      </c>
      <c r="CX355" s="1577">
        <f t="shared" si="540"/>
        <v>0</v>
      </c>
      <c r="CY355" s="1576">
        <f t="shared" si="503"/>
        <v>0</v>
      </c>
      <c r="CZ355" s="1574">
        <f t="shared" si="504"/>
        <v>0</v>
      </c>
      <c r="DA355" s="1578">
        <f t="shared" si="506"/>
        <v>0</v>
      </c>
      <c r="DB355" s="1579">
        <f t="shared" si="507"/>
        <v>0</v>
      </c>
      <c r="DC355" s="1578">
        <f t="shared" si="508"/>
        <v>0</v>
      </c>
      <c r="DD355" s="1578">
        <f t="shared" si="508"/>
        <v>0</v>
      </c>
      <c r="DE355" s="1578">
        <f t="shared" si="508"/>
        <v>0</v>
      </c>
      <c r="DF355" s="1578">
        <f t="shared" si="509"/>
        <v>0</v>
      </c>
      <c r="DG355" s="1420"/>
      <c r="DH355" s="1420"/>
      <c r="DI355" s="1422"/>
      <c r="DJ355" s="1428"/>
      <c r="DK355" s="1428"/>
      <c r="DL355" s="1428"/>
      <c r="DM355" s="1428"/>
      <c r="DN355" s="1428"/>
      <c r="DO355" s="1428"/>
      <c r="DP355" s="1428"/>
      <c r="DQ355" s="1422"/>
      <c r="DR355" s="1428"/>
      <c r="DS355" s="1428"/>
      <c r="DT355" s="1428"/>
      <c r="DU355" s="1428"/>
      <c r="DV355" s="1428"/>
      <c r="DW355" s="1428"/>
      <c r="DX355" s="1428"/>
      <c r="DY355" s="1428"/>
      <c r="DZ355" s="1428"/>
      <c r="EA355" s="1428"/>
      <c r="EB355" s="1428"/>
      <c r="EC355" s="1428"/>
      <c r="ED355" s="1428"/>
      <c r="EE355" s="1428"/>
      <c r="EF355" s="1428"/>
      <c r="EG355" s="1428"/>
      <c r="EH355" s="1428"/>
      <c r="EI355" s="1428"/>
      <c r="EJ355" s="1428"/>
      <c r="EK355" s="1428"/>
      <c r="EL355" s="1428"/>
      <c r="EM355" s="1428"/>
      <c r="EN355" s="1428"/>
      <c r="EO355" s="1428"/>
      <c r="EP355" s="1428"/>
      <c r="EQ355" s="1428"/>
      <c r="ER355" s="1428"/>
      <c r="ES355" s="1428"/>
      <c r="ET355" s="1428"/>
      <c r="EU355" s="1428"/>
    </row>
    <row r="356" spans="1:151" s="1440" customFormat="1" ht="18" customHeight="1">
      <c r="A356" s="1603"/>
      <c r="B356" s="1600" t="s">
        <v>883</v>
      </c>
      <c r="C356" s="1737">
        <f t="shared" si="513"/>
        <v>0</v>
      </c>
      <c r="D356" s="1737">
        <f t="shared" si="514"/>
        <v>0</v>
      </c>
      <c r="E356" s="1475"/>
      <c r="F356" s="1475"/>
      <c r="G356" s="1475"/>
      <c r="H356" s="1475"/>
      <c r="I356" s="1475"/>
      <c r="J356" s="1475"/>
      <c r="K356" s="1475"/>
      <c r="L356" s="1475"/>
      <c r="M356" s="1475"/>
      <c r="N356" s="1430"/>
      <c r="O356" s="1430"/>
      <c r="P356" s="1430"/>
      <c r="Q356" s="1430"/>
      <c r="R356" s="1430"/>
      <c r="S356" s="1430"/>
      <c r="T356" s="1430"/>
      <c r="U356" s="1430"/>
      <c r="V356" s="1430"/>
      <c r="W356" s="1430"/>
      <c r="X356" s="1430"/>
      <c r="Y356" s="1430"/>
      <c r="Z356" s="1430"/>
      <c r="AA356" s="1430"/>
      <c r="AB356" s="1430"/>
      <c r="AC356" s="1430"/>
      <c r="AD356" s="1430"/>
      <c r="AE356" s="1430"/>
      <c r="AF356" s="1430"/>
      <c r="AG356" s="1430"/>
      <c r="AH356" s="1430"/>
      <c r="AI356" s="1430"/>
      <c r="AJ356" s="1430"/>
      <c r="AK356" s="1430"/>
      <c r="AL356" s="1430"/>
      <c r="AM356" s="1430"/>
      <c r="AN356" s="1430"/>
      <c r="AO356" s="1430"/>
      <c r="AP356" s="1430"/>
      <c r="AQ356" s="1430"/>
      <c r="AR356" s="1430"/>
      <c r="AS356" s="1430"/>
      <c r="AT356" s="1430"/>
      <c r="AU356" s="1430"/>
      <c r="AV356" s="1430"/>
      <c r="AW356" s="1430"/>
      <c r="AX356" s="1430"/>
      <c r="AY356" s="1430"/>
      <c r="AZ356" s="1430"/>
      <c r="BA356" s="1430"/>
      <c r="BB356" s="1430"/>
      <c r="BC356" s="1430"/>
      <c r="BD356" s="1422"/>
      <c r="BE356" s="1571" t="s">
        <v>1219</v>
      </c>
      <c r="BF356" s="1436">
        <v>23</v>
      </c>
      <c r="BG356" s="1436">
        <v>3</v>
      </c>
      <c r="BH356" s="1436">
        <v>5</v>
      </c>
      <c r="BI356" s="1495" t="b">
        <f t="shared" si="505"/>
        <v>1</v>
      </c>
      <c r="BJ356" s="1450" t="b">
        <f t="shared" si="515"/>
        <v>1</v>
      </c>
      <c r="BK356" s="1572">
        <f t="shared" si="516"/>
        <v>7.3636363636363633</v>
      </c>
      <c r="BL356" s="1581">
        <f>IF(SUM(BL$354:BL355,BK356)&gt;$BU$4,0,BK356)</f>
        <v>7.3636363636363633</v>
      </c>
      <c r="BM356" s="1436">
        <f t="shared" si="490"/>
        <v>0</v>
      </c>
      <c r="BN356" s="1495">
        <f t="shared" si="491"/>
        <v>0</v>
      </c>
      <c r="BO356" s="1437">
        <f t="shared" si="510"/>
        <v>0</v>
      </c>
      <c r="BP356" s="1574">
        <f t="shared" si="517"/>
        <v>0</v>
      </c>
      <c r="BQ356" s="1577">
        <f t="shared" si="518"/>
        <v>0</v>
      </c>
      <c r="BR356" s="1576">
        <f t="shared" si="492"/>
        <v>0</v>
      </c>
      <c r="BS356" s="1574">
        <f t="shared" si="519"/>
        <v>0</v>
      </c>
      <c r="BT356" s="1577">
        <f t="shared" si="520"/>
        <v>0</v>
      </c>
      <c r="BU356" s="1576">
        <f t="shared" si="493"/>
        <v>0</v>
      </c>
      <c r="BV356" s="1574">
        <f t="shared" si="521"/>
        <v>0</v>
      </c>
      <c r="BW356" s="1577">
        <f t="shared" si="522"/>
        <v>0</v>
      </c>
      <c r="BX356" s="1576">
        <f t="shared" si="494"/>
        <v>0</v>
      </c>
      <c r="BY356" s="1574">
        <f t="shared" si="523"/>
        <v>0</v>
      </c>
      <c r="BZ356" s="1577">
        <f t="shared" si="524"/>
        <v>0</v>
      </c>
      <c r="CA356" s="1576">
        <f t="shared" si="495"/>
        <v>0</v>
      </c>
      <c r="CB356" s="1495">
        <f t="shared" si="525"/>
        <v>0</v>
      </c>
      <c r="CC356" s="1577">
        <f t="shared" si="526"/>
        <v>0</v>
      </c>
      <c r="CD356" s="1576">
        <f t="shared" si="496"/>
        <v>0</v>
      </c>
      <c r="CE356" s="1495">
        <f t="shared" si="527"/>
        <v>0</v>
      </c>
      <c r="CF356" s="1577">
        <f t="shared" si="528"/>
        <v>0</v>
      </c>
      <c r="CG356" s="1576">
        <f t="shared" si="497"/>
        <v>0</v>
      </c>
      <c r="CH356" s="1495">
        <f t="shared" si="529"/>
        <v>0</v>
      </c>
      <c r="CI356" s="1577">
        <f t="shared" si="530"/>
        <v>0</v>
      </c>
      <c r="CJ356" s="1576">
        <f t="shared" si="498"/>
        <v>0</v>
      </c>
      <c r="CK356" s="1495">
        <f t="shared" si="531"/>
        <v>0</v>
      </c>
      <c r="CL356" s="1577">
        <f t="shared" si="532"/>
        <v>0</v>
      </c>
      <c r="CM356" s="1576">
        <f t="shared" si="499"/>
        <v>0</v>
      </c>
      <c r="CN356" s="1495">
        <f t="shared" si="533"/>
        <v>0</v>
      </c>
      <c r="CO356" s="1577">
        <f t="shared" si="534"/>
        <v>0</v>
      </c>
      <c r="CP356" s="1576">
        <f t="shared" si="500"/>
        <v>0</v>
      </c>
      <c r="CQ356" s="1495">
        <f t="shared" si="535"/>
        <v>0</v>
      </c>
      <c r="CR356" s="1577">
        <f t="shared" si="536"/>
        <v>0</v>
      </c>
      <c r="CS356" s="1576">
        <f t="shared" si="501"/>
        <v>0</v>
      </c>
      <c r="CT356" s="1495">
        <f t="shared" si="537"/>
        <v>0</v>
      </c>
      <c r="CU356" s="1577">
        <f t="shared" si="538"/>
        <v>0</v>
      </c>
      <c r="CV356" s="1576">
        <f t="shared" si="502"/>
        <v>0</v>
      </c>
      <c r="CW356" s="1495">
        <f t="shared" si="539"/>
        <v>0</v>
      </c>
      <c r="CX356" s="1577">
        <f t="shared" si="540"/>
        <v>0</v>
      </c>
      <c r="CY356" s="1576">
        <f t="shared" si="503"/>
        <v>0</v>
      </c>
      <c r="CZ356" s="1574">
        <f t="shared" si="504"/>
        <v>0</v>
      </c>
      <c r="DA356" s="1578">
        <f t="shared" si="506"/>
        <v>0</v>
      </c>
      <c r="DB356" s="1579">
        <f t="shared" si="507"/>
        <v>0</v>
      </c>
      <c r="DC356" s="1578">
        <f t="shared" si="508"/>
        <v>0</v>
      </c>
      <c r="DD356" s="1578">
        <f t="shared" si="508"/>
        <v>0</v>
      </c>
      <c r="DE356" s="1578">
        <f t="shared" si="508"/>
        <v>0</v>
      </c>
      <c r="DF356" s="1578">
        <f t="shared" si="509"/>
        <v>0</v>
      </c>
      <c r="DG356" s="1420"/>
      <c r="DH356" s="1420"/>
      <c r="DI356" s="1422"/>
      <c r="DJ356" s="1428"/>
      <c r="DK356" s="1428"/>
      <c r="DL356" s="1428"/>
      <c r="DM356" s="1428"/>
      <c r="DN356" s="1428"/>
      <c r="DO356" s="1428"/>
      <c r="DP356" s="1428"/>
      <c r="DQ356" s="1422"/>
      <c r="DR356" s="1428"/>
      <c r="DS356" s="1428"/>
      <c r="DT356" s="1428"/>
      <c r="DU356" s="1428"/>
      <c r="DV356" s="1428"/>
      <c r="DW356" s="1428"/>
      <c r="DX356" s="1428"/>
      <c r="DY356" s="1428"/>
      <c r="DZ356" s="1428"/>
      <c r="EA356" s="1428"/>
      <c r="EB356" s="1428"/>
      <c r="EC356" s="1428"/>
      <c r="ED356" s="1428"/>
      <c r="EE356" s="1428"/>
      <c r="EF356" s="1428"/>
      <c r="EG356" s="1428"/>
      <c r="EH356" s="1428"/>
      <c r="EI356" s="1428"/>
      <c r="EJ356" s="1428"/>
      <c r="EK356" s="1428"/>
      <c r="EL356" s="1428"/>
      <c r="EM356" s="1428"/>
      <c r="EN356" s="1428"/>
      <c r="EO356" s="1428"/>
      <c r="EP356" s="1428"/>
      <c r="EQ356" s="1428"/>
      <c r="ER356" s="1428"/>
      <c r="ES356" s="1428"/>
      <c r="ET356" s="1428"/>
      <c r="EU356" s="1428"/>
    </row>
    <row r="357" spans="1:151" s="1440" customFormat="1" ht="18" customHeight="1">
      <c r="A357" s="1603"/>
      <c r="B357" s="1600" t="s">
        <v>884</v>
      </c>
      <c r="C357" s="1737">
        <f t="shared" si="513"/>
        <v>0</v>
      </c>
      <c r="D357" s="1737">
        <f t="shared" si="514"/>
        <v>0</v>
      </c>
      <c r="E357" s="1475"/>
      <c r="F357" s="1475"/>
      <c r="G357" s="1475"/>
      <c r="H357" s="1475"/>
      <c r="I357" s="1475"/>
      <c r="J357" s="1475"/>
      <c r="K357" s="1475"/>
      <c r="L357" s="1475"/>
      <c r="M357" s="1475"/>
      <c r="N357" s="1430"/>
      <c r="O357" s="1430"/>
      <c r="P357" s="1430"/>
      <c r="Q357" s="1430"/>
      <c r="R357" s="1430"/>
      <c r="S357" s="1430"/>
      <c r="T357" s="1430"/>
      <c r="U357" s="1430"/>
      <c r="V357" s="1430"/>
      <c r="W357" s="1430"/>
      <c r="X357" s="1430"/>
      <c r="Y357" s="1430"/>
      <c r="Z357" s="1430"/>
      <c r="AA357" s="1430"/>
      <c r="AB357" s="1430"/>
      <c r="AC357" s="1430"/>
      <c r="AD357" s="1430"/>
      <c r="AE357" s="1430"/>
      <c r="AF357" s="1430"/>
      <c r="AG357" s="1430"/>
      <c r="AH357" s="1430"/>
      <c r="AI357" s="1430"/>
      <c r="AJ357" s="1430"/>
      <c r="AK357" s="1430"/>
      <c r="AL357" s="1430"/>
      <c r="AM357" s="1430"/>
      <c r="AN357" s="1430"/>
      <c r="AO357" s="1430"/>
      <c r="AP357" s="1430"/>
      <c r="AQ357" s="1430"/>
      <c r="AR357" s="1430"/>
      <c r="AS357" s="1430"/>
      <c r="AT357" s="1430"/>
      <c r="AU357" s="1430"/>
      <c r="AV357" s="1430"/>
      <c r="AW357" s="1430"/>
      <c r="AX357" s="1430"/>
      <c r="AY357" s="1430"/>
      <c r="AZ357" s="1430"/>
      <c r="BA357" s="1430"/>
      <c r="BB357" s="1430"/>
      <c r="BC357" s="1430"/>
      <c r="BD357" s="1422"/>
      <c r="BE357" s="1571" t="s">
        <v>1219</v>
      </c>
      <c r="BF357" s="1436">
        <v>23</v>
      </c>
      <c r="BG357" s="1436">
        <v>4</v>
      </c>
      <c r="BH357" s="1436">
        <v>6</v>
      </c>
      <c r="BI357" s="1495" t="b">
        <f t="shared" si="505"/>
        <v>0</v>
      </c>
      <c r="BJ357" s="1450" t="b">
        <f t="shared" si="515"/>
        <v>0</v>
      </c>
      <c r="BK357" s="1572">
        <f t="shared" si="516"/>
        <v>0</v>
      </c>
      <c r="BL357" s="1581">
        <f>IF(SUM(BL$354:BL356,BK357)&gt;$BU$4,0,BK357)</f>
        <v>0</v>
      </c>
      <c r="BM357" s="1436">
        <f t="shared" si="490"/>
        <v>0</v>
      </c>
      <c r="BN357" s="1495">
        <f t="shared" si="491"/>
        <v>0</v>
      </c>
      <c r="BO357" s="1437">
        <f t="shared" si="510"/>
        <v>0</v>
      </c>
      <c r="BP357" s="1574">
        <f t="shared" si="517"/>
        <v>0</v>
      </c>
      <c r="BQ357" s="1577">
        <f t="shared" si="518"/>
        <v>0</v>
      </c>
      <c r="BR357" s="1576">
        <f t="shared" si="492"/>
        <v>0</v>
      </c>
      <c r="BS357" s="1574">
        <f t="shared" si="519"/>
        <v>0</v>
      </c>
      <c r="BT357" s="1577">
        <f t="shared" si="520"/>
        <v>0</v>
      </c>
      <c r="BU357" s="1576">
        <f t="shared" si="493"/>
        <v>0</v>
      </c>
      <c r="BV357" s="1574">
        <f t="shared" si="521"/>
        <v>0</v>
      </c>
      <c r="BW357" s="1577">
        <f t="shared" si="522"/>
        <v>0</v>
      </c>
      <c r="BX357" s="1576">
        <f t="shared" si="494"/>
        <v>0</v>
      </c>
      <c r="BY357" s="1574">
        <f t="shared" si="523"/>
        <v>0</v>
      </c>
      <c r="BZ357" s="1577">
        <f t="shared" si="524"/>
        <v>0</v>
      </c>
      <c r="CA357" s="1576">
        <f t="shared" si="495"/>
        <v>0</v>
      </c>
      <c r="CB357" s="1495">
        <f t="shared" si="525"/>
        <v>0</v>
      </c>
      <c r="CC357" s="1577">
        <f t="shared" si="526"/>
        <v>0</v>
      </c>
      <c r="CD357" s="1576">
        <f t="shared" si="496"/>
        <v>0</v>
      </c>
      <c r="CE357" s="1495">
        <f t="shared" si="527"/>
        <v>0</v>
      </c>
      <c r="CF357" s="1577">
        <f t="shared" si="528"/>
        <v>0</v>
      </c>
      <c r="CG357" s="1576">
        <f t="shared" si="497"/>
        <v>0</v>
      </c>
      <c r="CH357" s="1495">
        <f t="shared" si="529"/>
        <v>0</v>
      </c>
      <c r="CI357" s="1577">
        <f t="shared" si="530"/>
        <v>0</v>
      </c>
      <c r="CJ357" s="1576">
        <f t="shared" si="498"/>
        <v>0</v>
      </c>
      <c r="CK357" s="1495">
        <f t="shared" si="531"/>
        <v>0</v>
      </c>
      <c r="CL357" s="1577">
        <f t="shared" si="532"/>
        <v>0</v>
      </c>
      <c r="CM357" s="1576">
        <f t="shared" si="499"/>
        <v>0</v>
      </c>
      <c r="CN357" s="1495">
        <f t="shared" si="533"/>
        <v>0</v>
      </c>
      <c r="CO357" s="1577">
        <f t="shared" si="534"/>
        <v>0</v>
      </c>
      <c r="CP357" s="1576">
        <f t="shared" si="500"/>
        <v>0</v>
      </c>
      <c r="CQ357" s="1495">
        <f t="shared" si="535"/>
        <v>0</v>
      </c>
      <c r="CR357" s="1577">
        <f t="shared" si="536"/>
        <v>0</v>
      </c>
      <c r="CS357" s="1576">
        <f t="shared" si="501"/>
        <v>0</v>
      </c>
      <c r="CT357" s="1495">
        <f t="shared" si="537"/>
        <v>0</v>
      </c>
      <c r="CU357" s="1577">
        <f t="shared" si="538"/>
        <v>0</v>
      </c>
      <c r="CV357" s="1576">
        <f t="shared" si="502"/>
        <v>0</v>
      </c>
      <c r="CW357" s="1495">
        <f t="shared" si="539"/>
        <v>0</v>
      </c>
      <c r="CX357" s="1577">
        <f t="shared" si="540"/>
        <v>0</v>
      </c>
      <c r="CY357" s="1576">
        <f t="shared" si="503"/>
        <v>0</v>
      </c>
      <c r="CZ357" s="1574">
        <f t="shared" si="504"/>
        <v>0</v>
      </c>
      <c r="DA357" s="1578">
        <f t="shared" si="506"/>
        <v>0</v>
      </c>
      <c r="DB357" s="1579">
        <f t="shared" si="507"/>
        <v>0</v>
      </c>
      <c r="DC357" s="1578">
        <f t="shared" si="508"/>
        <v>0</v>
      </c>
      <c r="DD357" s="1578">
        <f t="shared" si="508"/>
        <v>0</v>
      </c>
      <c r="DE357" s="1578">
        <f t="shared" si="508"/>
        <v>0</v>
      </c>
      <c r="DF357" s="1578">
        <f t="shared" si="509"/>
        <v>0</v>
      </c>
      <c r="DG357" s="1420"/>
      <c r="DH357" s="1420"/>
      <c r="DI357" s="1422"/>
      <c r="DJ357" s="1428"/>
      <c r="DK357" s="1428"/>
      <c r="DL357" s="1428"/>
      <c r="DM357" s="1428"/>
      <c r="DN357" s="1428"/>
      <c r="DO357" s="1428"/>
      <c r="DP357" s="1428"/>
      <c r="DQ357" s="1422"/>
      <c r="DR357" s="1685"/>
      <c r="DS357" s="1685"/>
      <c r="DT357" s="1685"/>
      <c r="DU357" s="1685"/>
      <c r="DV357" s="1685"/>
      <c r="DW357" s="1685"/>
      <c r="DX357" s="1685"/>
      <c r="DY357" s="1685"/>
      <c r="DZ357" s="1685"/>
      <c r="EA357" s="1685"/>
      <c r="EB357" s="1685"/>
      <c r="EC357" s="1685"/>
      <c r="ED357" s="1685"/>
      <c r="EE357" s="1685"/>
      <c r="EF357" s="1685"/>
      <c r="EG357" s="1685"/>
      <c r="EH357" s="1685"/>
      <c r="EI357" s="1685"/>
      <c r="EJ357" s="1685"/>
      <c r="EK357" s="1685"/>
      <c r="EL357" s="1685"/>
      <c r="EM357" s="1685"/>
      <c r="EN357" s="1685"/>
      <c r="EO357" s="1685"/>
      <c r="EP357" s="1685"/>
      <c r="EQ357" s="1685"/>
      <c r="ER357" s="1685"/>
      <c r="ES357" s="1685"/>
      <c r="ET357" s="1428"/>
      <c r="EU357" s="1428"/>
    </row>
    <row r="358" spans="1:151" s="1440" customFormat="1" ht="18" customHeight="1">
      <c r="A358" s="1587"/>
      <c r="B358" s="1600" t="s">
        <v>885</v>
      </c>
      <c r="C358" s="1737">
        <f t="shared" si="513"/>
        <v>0</v>
      </c>
      <c r="D358" s="1737">
        <f t="shared" si="514"/>
        <v>0</v>
      </c>
      <c r="E358" s="1475"/>
      <c r="F358" s="1475"/>
      <c r="G358" s="1475"/>
      <c r="H358" s="1475"/>
      <c r="I358" s="1475"/>
      <c r="J358" s="1475"/>
      <c r="K358" s="1475"/>
      <c r="L358" s="1475"/>
      <c r="M358" s="1475"/>
      <c r="N358" s="1430"/>
      <c r="O358" s="1430"/>
      <c r="P358" s="1430"/>
      <c r="Q358" s="1430"/>
      <c r="R358" s="1430"/>
      <c r="S358" s="1430"/>
      <c r="T358" s="1430"/>
      <c r="U358" s="1430"/>
      <c r="V358" s="1430"/>
      <c r="W358" s="1430"/>
      <c r="X358" s="1430"/>
      <c r="Y358" s="1430"/>
      <c r="Z358" s="1430"/>
      <c r="AA358" s="1430"/>
      <c r="AB358" s="1430"/>
      <c r="AC358" s="1430"/>
      <c r="AD358" s="1430"/>
      <c r="AE358" s="1430"/>
      <c r="AF358" s="1430"/>
      <c r="AG358" s="1430"/>
      <c r="AH358" s="1430"/>
      <c r="AI358" s="1430"/>
      <c r="AJ358" s="1430"/>
      <c r="AK358" s="1430"/>
      <c r="AL358" s="1430"/>
      <c r="AM358" s="1430"/>
      <c r="AN358" s="1430"/>
      <c r="AO358" s="1430"/>
      <c r="AP358" s="1430"/>
      <c r="AQ358" s="1430"/>
      <c r="AR358" s="1430"/>
      <c r="AS358" s="1430"/>
      <c r="AT358" s="1430"/>
      <c r="AU358" s="1430"/>
      <c r="AV358" s="1430"/>
      <c r="AW358" s="1430"/>
      <c r="AX358" s="1430"/>
      <c r="AY358" s="1430"/>
      <c r="AZ358" s="1430"/>
      <c r="BA358" s="1430"/>
      <c r="BB358" s="1430"/>
      <c r="BC358" s="1430"/>
      <c r="BD358" s="1422"/>
      <c r="BE358" s="1571" t="s">
        <v>1219</v>
      </c>
      <c r="BF358" s="1436">
        <v>23</v>
      </c>
      <c r="BG358" s="1436">
        <v>5</v>
      </c>
      <c r="BH358" s="1436">
        <v>7</v>
      </c>
      <c r="BI358" s="1495" t="b">
        <f t="shared" si="505"/>
        <v>0</v>
      </c>
      <c r="BJ358" s="1450" t="b">
        <f t="shared" si="515"/>
        <v>0</v>
      </c>
      <c r="BK358" s="1572">
        <f t="shared" si="516"/>
        <v>0</v>
      </c>
      <c r="BL358" s="1581">
        <f>IF(SUM(BL$354:BL357,BK358)&gt;$BU$4,0,BK358)</f>
        <v>0</v>
      </c>
      <c r="BM358" s="1436">
        <f t="shared" si="490"/>
        <v>0</v>
      </c>
      <c r="BN358" s="1495">
        <f t="shared" si="491"/>
        <v>0</v>
      </c>
      <c r="BO358" s="1437">
        <f t="shared" si="510"/>
        <v>0</v>
      </c>
      <c r="BP358" s="1574">
        <f t="shared" si="517"/>
        <v>0</v>
      </c>
      <c r="BQ358" s="1577">
        <f t="shared" si="518"/>
        <v>0</v>
      </c>
      <c r="BR358" s="1576">
        <f t="shared" si="492"/>
        <v>0</v>
      </c>
      <c r="BS358" s="1574">
        <f t="shared" si="519"/>
        <v>0</v>
      </c>
      <c r="BT358" s="1577">
        <f t="shared" si="520"/>
        <v>0</v>
      </c>
      <c r="BU358" s="1576">
        <f t="shared" si="493"/>
        <v>0</v>
      </c>
      <c r="BV358" s="1574">
        <f t="shared" si="521"/>
        <v>0</v>
      </c>
      <c r="BW358" s="1577">
        <f t="shared" si="522"/>
        <v>0</v>
      </c>
      <c r="BX358" s="1576">
        <f t="shared" si="494"/>
        <v>0</v>
      </c>
      <c r="BY358" s="1574">
        <f t="shared" si="523"/>
        <v>0</v>
      </c>
      <c r="BZ358" s="1577">
        <f t="shared" si="524"/>
        <v>0</v>
      </c>
      <c r="CA358" s="1576">
        <f t="shared" si="495"/>
        <v>0</v>
      </c>
      <c r="CB358" s="1495">
        <f t="shared" si="525"/>
        <v>0</v>
      </c>
      <c r="CC358" s="1577">
        <f t="shared" si="526"/>
        <v>0</v>
      </c>
      <c r="CD358" s="1576">
        <f t="shared" si="496"/>
        <v>0</v>
      </c>
      <c r="CE358" s="1495">
        <f t="shared" si="527"/>
        <v>0</v>
      </c>
      <c r="CF358" s="1577">
        <f t="shared" si="528"/>
        <v>0</v>
      </c>
      <c r="CG358" s="1576">
        <f t="shared" si="497"/>
        <v>0</v>
      </c>
      <c r="CH358" s="1495">
        <f t="shared" si="529"/>
        <v>0</v>
      </c>
      <c r="CI358" s="1577">
        <f t="shared" si="530"/>
        <v>0</v>
      </c>
      <c r="CJ358" s="1576">
        <f t="shared" si="498"/>
        <v>0</v>
      </c>
      <c r="CK358" s="1495">
        <f t="shared" si="531"/>
        <v>0</v>
      </c>
      <c r="CL358" s="1577">
        <f t="shared" si="532"/>
        <v>0</v>
      </c>
      <c r="CM358" s="1576">
        <f t="shared" si="499"/>
        <v>0</v>
      </c>
      <c r="CN358" s="1495">
        <f t="shared" si="533"/>
        <v>0</v>
      </c>
      <c r="CO358" s="1577">
        <f t="shared" si="534"/>
        <v>0</v>
      </c>
      <c r="CP358" s="1576">
        <f t="shared" si="500"/>
        <v>0</v>
      </c>
      <c r="CQ358" s="1495">
        <f t="shared" si="535"/>
        <v>0</v>
      </c>
      <c r="CR358" s="1577">
        <f t="shared" si="536"/>
        <v>0</v>
      </c>
      <c r="CS358" s="1576">
        <f t="shared" si="501"/>
        <v>0</v>
      </c>
      <c r="CT358" s="1495">
        <f t="shared" si="537"/>
        <v>0</v>
      </c>
      <c r="CU358" s="1577">
        <f t="shared" si="538"/>
        <v>0</v>
      </c>
      <c r="CV358" s="1576">
        <f t="shared" si="502"/>
        <v>0</v>
      </c>
      <c r="CW358" s="1495">
        <f t="shared" si="539"/>
        <v>0</v>
      </c>
      <c r="CX358" s="1577">
        <f t="shared" si="540"/>
        <v>0</v>
      </c>
      <c r="CY358" s="1576">
        <f t="shared" si="503"/>
        <v>0</v>
      </c>
      <c r="CZ358" s="1574">
        <f t="shared" si="504"/>
        <v>0</v>
      </c>
      <c r="DA358" s="1578">
        <f t="shared" si="506"/>
        <v>0</v>
      </c>
      <c r="DB358" s="1579">
        <f t="shared" si="507"/>
        <v>0</v>
      </c>
      <c r="DC358" s="1578">
        <f t="shared" si="508"/>
        <v>0</v>
      </c>
      <c r="DD358" s="1578">
        <f t="shared" si="508"/>
        <v>0</v>
      </c>
      <c r="DE358" s="1578">
        <f t="shared" si="508"/>
        <v>0</v>
      </c>
      <c r="DF358" s="1578">
        <f t="shared" si="509"/>
        <v>0</v>
      </c>
      <c r="DG358" s="1420"/>
      <c r="DH358" s="1420"/>
      <c r="DI358" s="1422"/>
      <c r="DJ358" s="1428"/>
      <c r="DK358" s="1428"/>
      <c r="DL358" s="1428"/>
      <c r="DM358" s="1428"/>
      <c r="DN358" s="1428"/>
      <c r="DO358" s="1428"/>
      <c r="DP358" s="1428"/>
      <c r="DQ358" s="1422"/>
      <c r="DR358" s="1428"/>
      <c r="DS358" s="1428"/>
      <c r="DT358" s="1428"/>
      <c r="DU358" s="1428"/>
      <c r="DV358" s="1428"/>
      <c r="DW358" s="1428"/>
      <c r="DX358" s="1428"/>
      <c r="DY358" s="1428"/>
      <c r="DZ358" s="1428"/>
      <c r="EA358" s="1428"/>
      <c r="EB358" s="1428"/>
      <c r="EC358" s="1428"/>
      <c r="ED358" s="1428"/>
      <c r="EE358" s="1428"/>
      <c r="EF358" s="1428"/>
      <c r="EG358" s="1428"/>
      <c r="EH358" s="1428"/>
      <c r="EI358" s="1428"/>
      <c r="EJ358" s="1428"/>
      <c r="EK358" s="1428"/>
      <c r="EL358" s="1428"/>
      <c r="EM358" s="1428"/>
      <c r="EN358" s="1428"/>
      <c r="EO358" s="1428"/>
      <c r="EP358" s="1428"/>
      <c r="EQ358" s="1428"/>
      <c r="ER358" s="1428"/>
      <c r="ES358" s="1428"/>
      <c r="ET358" s="1428"/>
      <c r="EU358" s="1428"/>
    </row>
    <row r="359" spans="1:151" s="1440" customFormat="1" ht="18" customHeight="1">
      <c r="A359" s="1627"/>
      <c r="B359" s="1600" t="s">
        <v>802</v>
      </c>
      <c r="C359" s="1737">
        <f t="shared" si="513"/>
        <v>0</v>
      </c>
      <c r="D359" s="1737">
        <f t="shared" si="514"/>
        <v>0</v>
      </c>
      <c r="E359" s="1475"/>
      <c r="F359" s="1475"/>
      <c r="G359" s="1475"/>
      <c r="H359" s="1475"/>
      <c r="I359" s="1475"/>
      <c r="J359" s="1475"/>
      <c r="K359" s="1475"/>
      <c r="L359" s="1475"/>
      <c r="M359" s="1475"/>
      <c r="N359" s="1430"/>
      <c r="O359" s="1430"/>
      <c r="P359" s="1430"/>
      <c r="Q359" s="1430"/>
      <c r="R359" s="1430"/>
      <c r="S359" s="1430"/>
      <c r="T359" s="1430"/>
      <c r="U359" s="1430"/>
      <c r="V359" s="1430"/>
      <c r="W359" s="1430"/>
      <c r="X359" s="1430"/>
      <c r="Y359" s="1430"/>
      <c r="Z359" s="1430"/>
      <c r="AA359" s="1430"/>
      <c r="AB359" s="1430"/>
      <c r="AC359" s="1430"/>
      <c r="AD359" s="1430"/>
      <c r="AE359" s="1430"/>
      <c r="AF359" s="1430"/>
      <c r="AG359" s="1430"/>
      <c r="AH359" s="1430"/>
      <c r="AI359" s="1430"/>
      <c r="AJ359" s="1430"/>
      <c r="AK359" s="1430"/>
      <c r="AL359" s="1430"/>
      <c r="AM359" s="1430"/>
      <c r="AN359" s="1430"/>
      <c r="AO359" s="1430"/>
      <c r="AP359" s="1430"/>
      <c r="AQ359" s="1430"/>
      <c r="AR359" s="1430"/>
      <c r="AS359" s="1430"/>
      <c r="AT359" s="1430"/>
      <c r="AU359" s="1430"/>
      <c r="AV359" s="1430"/>
      <c r="AW359" s="1430"/>
      <c r="AX359" s="1430"/>
      <c r="AY359" s="1430"/>
      <c r="AZ359" s="1430"/>
      <c r="BA359" s="1430"/>
      <c r="BB359" s="1430"/>
      <c r="BC359" s="1430"/>
      <c r="BD359" s="1422"/>
      <c r="BE359" s="1571" t="s">
        <v>1219</v>
      </c>
      <c r="BF359" s="1436">
        <v>23</v>
      </c>
      <c r="BG359" s="1436">
        <v>6</v>
      </c>
      <c r="BH359" s="1436">
        <v>1</v>
      </c>
      <c r="BI359" s="1495" t="b">
        <f t="shared" si="505"/>
        <v>1</v>
      </c>
      <c r="BJ359" s="1450" t="b">
        <f t="shared" si="515"/>
        <v>1</v>
      </c>
      <c r="BK359" s="1572">
        <f t="shared" si="516"/>
        <v>7.3636363636363633</v>
      </c>
      <c r="BL359" s="1581">
        <f>IF(SUM(BL$354:BL358,BK359)&gt;$BU$4,0,BK359)</f>
        <v>7.3636363636363633</v>
      </c>
      <c r="BM359" s="1436">
        <f t="shared" si="490"/>
        <v>0</v>
      </c>
      <c r="BN359" s="1495">
        <f t="shared" si="491"/>
        <v>0</v>
      </c>
      <c r="BO359" s="1437">
        <f t="shared" si="510"/>
        <v>0</v>
      </c>
      <c r="BP359" s="1574">
        <f t="shared" si="517"/>
        <v>0</v>
      </c>
      <c r="BQ359" s="1577">
        <f t="shared" si="518"/>
        <v>0</v>
      </c>
      <c r="BR359" s="1576">
        <f t="shared" si="492"/>
        <v>0</v>
      </c>
      <c r="BS359" s="1574">
        <f t="shared" si="519"/>
        <v>0</v>
      </c>
      <c r="BT359" s="1577">
        <f t="shared" si="520"/>
        <v>0</v>
      </c>
      <c r="BU359" s="1576">
        <f t="shared" si="493"/>
        <v>0</v>
      </c>
      <c r="BV359" s="1574">
        <f t="shared" si="521"/>
        <v>0</v>
      </c>
      <c r="BW359" s="1577">
        <f t="shared" si="522"/>
        <v>0</v>
      </c>
      <c r="BX359" s="1576">
        <f t="shared" si="494"/>
        <v>0</v>
      </c>
      <c r="BY359" s="1574">
        <f t="shared" si="523"/>
        <v>0</v>
      </c>
      <c r="BZ359" s="1577">
        <f t="shared" si="524"/>
        <v>0</v>
      </c>
      <c r="CA359" s="1576">
        <f t="shared" si="495"/>
        <v>0</v>
      </c>
      <c r="CB359" s="1495">
        <f t="shared" si="525"/>
        <v>0</v>
      </c>
      <c r="CC359" s="1577">
        <f t="shared" si="526"/>
        <v>0</v>
      </c>
      <c r="CD359" s="1576">
        <f t="shared" si="496"/>
        <v>0</v>
      </c>
      <c r="CE359" s="1495">
        <f t="shared" si="527"/>
        <v>0</v>
      </c>
      <c r="CF359" s="1577">
        <f t="shared" si="528"/>
        <v>0</v>
      </c>
      <c r="CG359" s="1576">
        <f t="shared" si="497"/>
        <v>0</v>
      </c>
      <c r="CH359" s="1495">
        <f t="shared" si="529"/>
        <v>0</v>
      </c>
      <c r="CI359" s="1577">
        <f t="shared" si="530"/>
        <v>0</v>
      </c>
      <c r="CJ359" s="1576">
        <f t="shared" si="498"/>
        <v>0</v>
      </c>
      <c r="CK359" s="1495">
        <f t="shared" si="531"/>
        <v>0</v>
      </c>
      <c r="CL359" s="1577">
        <f t="shared" si="532"/>
        <v>0</v>
      </c>
      <c r="CM359" s="1576">
        <f t="shared" si="499"/>
        <v>0</v>
      </c>
      <c r="CN359" s="1495">
        <f t="shared" si="533"/>
        <v>0</v>
      </c>
      <c r="CO359" s="1577">
        <f t="shared" si="534"/>
        <v>0</v>
      </c>
      <c r="CP359" s="1576">
        <f t="shared" si="500"/>
        <v>0</v>
      </c>
      <c r="CQ359" s="1495">
        <f t="shared" si="535"/>
        <v>0</v>
      </c>
      <c r="CR359" s="1577">
        <f t="shared" si="536"/>
        <v>0</v>
      </c>
      <c r="CS359" s="1576">
        <f t="shared" si="501"/>
        <v>0</v>
      </c>
      <c r="CT359" s="1495">
        <f t="shared" si="537"/>
        <v>0</v>
      </c>
      <c r="CU359" s="1577">
        <f t="shared" si="538"/>
        <v>0</v>
      </c>
      <c r="CV359" s="1576">
        <f t="shared" si="502"/>
        <v>0</v>
      </c>
      <c r="CW359" s="1495">
        <f t="shared" si="539"/>
        <v>0</v>
      </c>
      <c r="CX359" s="1577">
        <f t="shared" si="540"/>
        <v>0</v>
      </c>
      <c r="CY359" s="1576">
        <f t="shared" si="503"/>
        <v>0</v>
      </c>
      <c r="CZ359" s="1574">
        <f t="shared" si="504"/>
        <v>0</v>
      </c>
      <c r="DA359" s="1578">
        <f t="shared" si="506"/>
        <v>0</v>
      </c>
      <c r="DB359" s="1579">
        <f t="shared" si="507"/>
        <v>0</v>
      </c>
      <c r="DC359" s="1578">
        <f t="shared" si="508"/>
        <v>0</v>
      </c>
      <c r="DD359" s="1578">
        <f t="shared" si="508"/>
        <v>0</v>
      </c>
      <c r="DE359" s="1578">
        <f t="shared" si="508"/>
        <v>0</v>
      </c>
      <c r="DF359" s="1578">
        <f t="shared" si="509"/>
        <v>0</v>
      </c>
      <c r="DG359" s="1420"/>
      <c r="DH359" s="1420"/>
      <c r="DI359" s="1687"/>
      <c r="DJ359" s="1428"/>
      <c r="DK359" s="1428"/>
      <c r="DL359" s="1428"/>
      <c r="DM359" s="1428"/>
      <c r="DN359" s="1428"/>
      <c r="DO359" s="1428"/>
      <c r="DP359" s="1685"/>
      <c r="DQ359" s="1687"/>
      <c r="DR359" s="1428"/>
      <c r="DS359" s="1428"/>
      <c r="DT359" s="1428"/>
      <c r="DU359" s="1428"/>
      <c r="DV359" s="1428"/>
      <c r="DW359" s="1428"/>
      <c r="DX359" s="1428"/>
      <c r="DY359" s="1428"/>
      <c r="DZ359" s="1428"/>
      <c r="EA359" s="1428"/>
      <c r="EB359" s="1428"/>
      <c r="EC359" s="1428"/>
      <c r="ED359" s="1428"/>
      <c r="EE359" s="1428"/>
      <c r="EF359" s="1428"/>
      <c r="EG359" s="1428"/>
      <c r="EH359" s="1428"/>
      <c r="EI359" s="1428"/>
      <c r="EJ359" s="1428"/>
      <c r="EK359" s="1428"/>
      <c r="EL359" s="1428"/>
      <c r="EM359" s="1428"/>
      <c r="EN359" s="1428"/>
      <c r="EO359" s="1428"/>
      <c r="EP359" s="1428"/>
      <c r="EQ359" s="1428"/>
      <c r="ER359" s="1428"/>
      <c r="ES359" s="1428"/>
      <c r="ET359" s="1428"/>
      <c r="EU359" s="1428"/>
    </row>
    <row r="360" spans="1:151" s="1440" customFormat="1" ht="18" customHeight="1">
      <c r="A360" s="1587"/>
      <c r="B360" s="1600" t="s">
        <v>803</v>
      </c>
      <c r="C360" s="1737">
        <f t="shared" si="513"/>
        <v>0</v>
      </c>
      <c r="D360" s="1737">
        <f t="shared" si="514"/>
        <v>0</v>
      </c>
      <c r="E360" s="1475"/>
      <c r="F360" s="1475"/>
      <c r="G360" s="1475"/>
      <c r="H360" s="1475"/>
      <c r="I360" s="1475"/>
      <c r="J360" s="1475"/>
      <c r="K360" s="1475"/>
      <c r="L360" s="1475"/>
      <c r="M360" s="1475"/>
      <c r="N360" s="1430"/>
      <c r="O360" s="1430"/>
      <c r="P360" s="1430"/>
      <c r="Q360" s="1430"/>
      <c r="R360" s="1430"/>
      <c r="S360" s="1430"/>
      <c r="T360" s="1430"/>
      <c r="U360" s="1430"/>
      <c r="V360" s="1430"/>
      <c r="W360" s="1430"/>
      <c r="X360" s="1430"/>
      <c r="Y360" s="1430"/>
      <c r="Z360" s="1430"/>
      <c r="AA360" s="1430"/>
      <c r="AB360" s="1430"/>
      <c r="AC360" s="1430"/>
      <c r="AD360" s="1430"/>
      <c r="AE360" s="1430"/>
      <c r="AF360" s="1430"/>
      <c r="AG360" s="1430"/>
      <c r="AH360" s="1430"/>
      <c r="AI360" s="1430"/>
      <c r="AJ360" s="1430"/>
      <c r="AK360" s="1430"/>
      <c r="AL360" s="1430"/>
      <c r="AM360" s="1430"/>
      <c r="AN360" s="1430"/>
      <c r="AO360" s="1430"/>
      <c r="AP360" s="1430"/>
      <c r="AQ360" s="1430"/>
      <c r="AR360" s="1430"/>
      <c r="AS360" s="1430"/>
      <c r="AT360" s="1430"/>
      <c r="AU360" s="1430"/>
      <c r="AV360" s="1430"/>
      <c r="AW360" s="1430"/>
      <c r="AX360" s="1430"/>
      <c r="AY360" s="1430"/>
      <c r="AZ360" s="1430"/>
      <c r="BA360" s="1430"/>
      <c r="BB360" s="1430"/>
      <c r="BC360" s="1430"/>
      <c r="BD360" s="1422"/>
      <c r="BE360" s="1571" t="s">
        <v>1219</v>
      </c>
      <c r="BF360" s="1436">
        <v>23</v>
      </c>
      <c r="BG360" s="1436">
        <v>7</v>
      </c>
      <c r="BH360" s="1436">
        <v>2</v>
      </c>
      <c r="BI360" s="1495" t="b">
        <f t="shared" si="505"/>
        <v>1</v>
      </c>
      <c r="BJ360" s="1450" t="b">
        <f t="shared" si="515"/>
        <v>0</v>
      </c>
      <c r="BK360" s="1572">
        <f t="shared" si="516"/>
        <v>0</v>
      </c>
      <c r="BL360" s="1581">
        <f>IF(SUM(BL$354:BL359,BK360)&gt;$BU$4,0,BK360)</f>
        <v>0</v>
      </c>
      <c r="BM360" s="1436">
        <f t="shared" si="490"/>
        <v>0</v>
      </c>
      <c r="BN360" s="1495">
        <f t="shared" si="491"/>
        <v>0</v>
      </c>
      <c r="BO360" s="1437">
        <f t="shared" si="510"/>
        <v>0</v>
      </c>
      <c r="BP360" s="1574">
        <f t="shared" si="517"/>
        <v>0</v>
      </c>
      <c r="BQ360" s="1577">
        <f t="shared" si="518"/>
        <v>0</v>
      </c>
      <c r="BR360" s="1576">
        <f t="shared" si="492"/>
        <v>0</v>
      </c>
      <c r="BS360" s="1574">
        <f t="shared" si="519"/>
        <v>0</v>
      </c>
      <c r="BT360" s="1577">
        <f t="shared" si="520"/>
        <v>0</v>
      </c>
      <c r="BU360" s="1576">
        <f t="shared" si="493"/>
        <v>0</v>
      </c>
      <c r="BV360" s="1574">
        <f t="shared" si="521"/>
        <v>0</v>
      </c>
      <c r="BW360" s="1577">
        <f t="shared" si="522"/>
        <v>0</v>
      </c>
      <c r="BX360" s="1576">
        <f t="shared" si="494"/>
        <v>0</v>
      </c>
      <c r="BY360" s="1574">
        <f t="shared" si="523"/>
        <v>0</v>
      </c>
      <c r="BZ360" s="1577">
        <f t="shared" si="524"/>
        <v>0</v>
      </c>
      <c r="CA360" s="1576">
        <f t="shared" si="495"/>
        <v>0</v>
      </c>
      <c r="CB360" s="1495">
        <f t="shared" si="525"/>
        <v>0</v>
      </c>
      <c r="CC360" s="1577">
        <f t="shared" si="526"/>
        <v>0</v>
      </c>
      <c r="CD360" s="1576">
        <f t="shared" si="496"/>
        <v>0</v>
      </c>
      <c r="CE360" s="1495">
        <f t="shared" si="527"/>
        <v>0</v>
      </c>
      <c r="CF360" s="1577">
        <f t="shared" si="528"/>
        <v>0</v>
      </c>
      <c r="CG360" s="1576">
        <f t="shared" si="497"/>
        <v>0</v>
      </c>
      <c r="CH360" s="1495">
        <f t="shared" si="529"/>
        <v>0</v>
      </c>
      <c r="CI360" s="1577">
        <f t="shared" si="530"/>
        <v>0</v>
      </c>
      <c r="CJ360" s="1576">
        <f t="shared" si="498"/>
        <v>0</v>
      </c>
      <c r="CK360" s="1495">
        <f t="shared" si="531"/>
        <v>0</v>
      </c>
      <c r="CL360" s="1577">
        <f t="shared" si="532"/>
        <v>0</v>
      </c>
      <c r="CM360" s="1576">
        <f t="shared" si="499"/>
        <v>0</v>
      </c>
      <c r="CN360" s="1495">
        <f t="shared" si="533"/>
        <v>0</v>
      </c>
      <c r="CO360" s="1577">
        <f t="shared" si="534"/>
        <v>0</v>
      </c>
      <c r="CP360" s="1576">
        <f t="shared" si="500"/>
        <v>0</v>
      </c>
      <c r="CQ360" s="1495">
        <f t="shared" si="535"/>
        <v>0</v>
      </c>
      <c r="CR360" s="1577">
        <f t="shared" si="536"/>
        <v>0</v>
      </c>
      <c r="CS360" s="1576">
        <f t="shared" si="501"/>
        <v>0</v>
      </c>
      <c r="CT360" s="1495">
        <f t="shared" si="537"/>
        <v>0</v>
      </c>
      <c r="CU360" s="1577">
        <f t="shared" si="538"/>
        <v>0</v>
      </c>
      <c r="CV360" s="1576">
        <f t="shared" si="502"/>
        <v>0</v>
      </c>
      <c r="CW360" s="1495">
        <f t="shared" si="539"/>
        <v>0</v>
      </c>
      <c r="CX360" s="1577">
        <f t="shared" si="540"/>
        <v>0</v>
      </c>
      <c r="CY360" s="1576">
        <f t="shared" si="503"/>
        <v>0</v>
      </c>
      <c r="CZ360" s="1574">
        <f t="shared" si="504"/>
        <v>0</v>
      </c>
      <c r="DA360" s="1578">
        <f t="shared" si="506"/>
        <v>0</v>
      </c>
      <c r="DB360" s="1579">
        <f t="shared" si="507"/>
        <v>0</v>
      </c>
      <c r="DC360" s="1578">
        <f t="shared" si="508"/>
        <v>0</v>
      </c>
      <c r="DD360" s="1578">
        <f t="shared" si="508"/>
        <v>0</v>
      </c>
      <c r="DE360" s="1578">
        <f t="shared" si="508"/>
        <v>0</v>
      </c>
      <c r="DF360" s="1578">
        <f t="shared" si="509"/>
        <v>0</v>
      </c>
      <c r="DG360" s="1420"/>
      <c r="DH360" s="1420"/>
      <c r="DI360" s="1422"/>
      <c r="DJ360" s="1428"/>
      <c r="DK360" s="1428"/>
      <c r="DL360" s="1428"/>
      <c r="DM360" s="1685"/>
      <c r="DN360" s="1685"/>
      <c r="DO360" s="1685"/>
      <c r="DP360" s="1428"/>
      <c r="DQ360" s="1422"/>
      <c r="DR360" s="1428"/>
      <c r="DS360" s="1428"/>
      <c r="DT360" s="1428"/>
      <c r="DU360" s="1428"/>
      <c r="DV360" s="1428"/>
      <c r="DW360" s="1428"/>
      <c r="DX360" s="1428"/>
      <c r="DY360" s="1428"/>
      <c r="DZ360" s="1428"/>
      <c r="EA360" s="1428"/>
      <c r="EB360" s="1428"/>
      <c r="EC360" s="1428"/>
      <c r="ED360" s="1428"/>
      <c r="EE360" s="1428"/>
      <c r="EF360" s="1428"/>
      <c r="EG360" s="1428"/>
      <c r="EH360" s="1428"/>
      <c r="EI360" s="1428"/>
      <c r="EJ360" s="1428"/>
      <c r="EK360" s="1428"/>
      <c r="EL360" s="1428"/>
      <c r="EM360" s="1428"/>
      <c r="EN360" s="1428"/>
      <c r="EO360" s="1428"/>
      <c r="EP360" s="1428"/>
      <c r="EQ360" s="1428"/>
      <c r="ER360" s="1428"/>
      <c r="ES360" s="1428"/>
      <c r="ET360" s="1428"/>
      <c r="EU360" s="1428"/>
    </row>
    <row r="361" spans="1:151" s="1440" customFormat="1" ht="18" customHeight="1">
      <c r="A361" s="1594"/>
      <c r="B361" s="1600" t="s">
        <v>804</v>
      </c>
      <c r="C361" s="1737">
        <f t="shared" si="513"/>
        <v>0</v>
      </c>
      <c r="D361" s="1737">
        <f t="shared" si="514"/>
        <v>0</v>
      </c>
      <c r="E361" s="1475"/>
      <c r="F361" s="1475"/>
      <c r="G361" s="1475"/>
      <c r="H361" s="1475"/>
      <c r="I361" s="1475"/>
      <c r="J361" s="1475"/>
      <c r="K361" s="1475"/>
      <c r="L361" s="1475"/>
      <c r="M361" s="1475"/>
      <c r="N361" s="1430"/>
      <c r="O361" s="1430"/>
      <c r="P361" s="1430"/>
      <c r="Q361" s="1430"/>
      <c r="R361" s="1430"/>
      <c r="S361" s="1430"/>
      <c r="T361" s="1430"/>
      <c r="U361" s="1430"/>
      <c r="V361" s="1430"/>
      <c r="W361" s="1430"/>
      <c r="X361" s="1430"/>
      <c r="Y361" s="1430"/>
      <c r="Z361" s="1430"/>
      <c r="AA361" s="1430"/>
      <c r="AB361" s="1430"/>
      <c r="AC361" s="1430"/>
      <c r="AD361" s="1430"/>
      <c r="AE361" s="1430"/>
      <c r="AF361" s="1430"/>
      <c r="AG361" s="1430"/>
      <c r="AH361" s="1430"/>
      <c r="AI361" s="1430"/>
      <c r="AJ361" s="1430"/>
      <c r="AK361" s="1430"/>
      <c r="AL361" s="1430"/>
      <c r="AM361" s="1430"/>
      <c r="AN361" s="1430"/>
      <c r="AO361" s="1430"/>
      <c r="AP361" s="1430"/>
      <c r="AQ361" s="1430"/>
      <c r="AR361" s="1430"/>
      <c r="AS361" s="1430"/>
      <c r="AT361" s="1430"/>
      <c r="AU361" s="1430"/>
      <c r="AV361" s="1430"/>
      <c r="AW361" s="1430"/>
      <c r="AX361" s="1430"/>
      <c r="AY361" s="1430"/>
      <c r="AZ361" s="1430"/>
      <c r="BA361" s="1430"/>
      <c r="BB361" s="1430"/>
      <c r="BC361" s="1430"/>
      <c r="BD361" s="1422"/>
      <c r="BE361" s="1571" t="s">
        <v>1219</v>
      </c>
      <c r="BF361" s="1436">
        <v>23</v>
      </c>
      <c r="BG361" s="1436">
        <v>8</v>
      </c>
      <c r="BH361" s="1436">
        <v>3</v>
      </c>
      <c r="BI361" s="1495" t="b">
        <f t="shared" si="505"/>
        <v>1</v>
      </c>
      <c r="BJ361" s="1450" t="b">
        <f t="shared" si="515"/>
        <v>0</v>
      </c>
      <c r="BK361" s="1572">
        <f t="shared" si="516"/>
        <v>0</v>
      </c>
      <c r="BL361" s="1581">
        <f>IF(SUM(BL$354:BL360,BK361)&gt;$BU$4,0,BK361)</f>
        <v>0</v>
      </c>
      <c r="BM361" s="1436">
        <f t="shared" si="490"/>
        <v>0</v>
      </c>
      <c r="BN361" s="1495">
        <f t="shared" si="491"/>
        <v>0</v>
      </c>
      <c r="BO361" s="1437">
        <f t="shared" si="510"/>
        <v>0</v>
      </c>
      <c r="BP361" s="1574">
        <f t="shared" si="517"/>
        <v>0</v>
      </c>
      <c r="BQ361" s="1577">
        <f t="shared" si="518"/>
        <v>0</v>
      </c>
      <c r="BR361" s="1576">
        <f t="shared" si="492"/>
        <v>0</v>
      </c>
      <c r="BS361" s="1574">
        <f t="shared" si="519"/>
        <v>0</v>
      </c>
      <c r="BT361" s="1577">
        <f t="shared" si="520"/>
        <v>0</v>
      </c>
      <c r="BU361" s="1576">
        <f t="shared" si="493"/>
        <v>0</v>
      </c>
      <c r="BV361" s="1574">
        <f t="shared" si="521"/>
        <v>0</v>
      </c>
      <c r="BW361" s="1577">
        <f t="shared" si="522"/>
        <v>0</v>
      </c>
      <c r="BX361" s="1576">
        <f t="shared" si="494"/>
        <v>0</v>
      </c>
      <c r="BY361" s="1574">
        <f t="shared" si="523"/>
        <v>0</v>
      </c>
      <c r="BZ361" s="1577">
        <f t="shared" si="524"/>
        <v>0</v>
      </c>
      <c r="CA361" s="1576">
        <f t="shared" si="495"/>
        <v>0</v>
      </c>
      <c r="CB361" s="1495">
        <f t="shared" si="525"/>
        <v>0</v>
      </c>
      <c r="CC361" s="1577">
        <f t="shared" si="526"/>
        <v>0</v>
      </c>
      <c r="CD361" s="1576">
        <f t="shared" si="496"/>
        <v>0</v>
      </c>
      <c r="CE361" s="1495">
        <f t="shared" si="527"/>
        <v>0</v>
      </c>
      <c r="CF361" s="1577">
        <f t="shared" si="528"/>
        <v>0</v>
      </c>
      <c r="CG361" s="1576">
        <f t="shared" si="497"/>
        <v>0</v>
      </c>
      <c r="CH361" s="1495">
        <f t="shared" si="529"/>
        <v>0</v>
      </c>
      <c r="CI361" s="1577">
        <f t="shared" si="530"/>
        <v>0</v>
      </c>
      <c r="CJ361" s="1576">
        <f t="shared" si="498"/>
        <v>0</v>
      </c>
      <c r="CK361" s="1495">
        <f t="shared" si="531"/>
        <v>0</v>
      </c>
      <c r="CL361" s="1577">
        <f t="shared" si="532"/>
        <v>0</v>
      </c>
      <c r="CM361" s="1576">
        <f t="shared" si="499"/>
        <v>0</v>
      </c>
      <c r="CN361" s="1495">
        <f t="shared" si="533"/>
        <v>0</v>
      </c>
      <c r="CO361" s="1577">
        <f t="shared" si="534"/>
        <v>0</v>
      </c>
      <c r="CP361" s="1576">
        <f t="shared" si="500"/>
        <v>0</v>
      </c>
      <c r="CQ361" s="1495">
        <f t="shared" si="535"/>
        <v>0</v>
      </c>
      <c r="CR361" s="1577">
        <f t="shared" si="536"/>
        <v>0</v>
      </c>
      <c r="CS361" s="1576">
        <f t="shared" si="501"/>
        <v>0</v>
      </c>
      <c r="CT361" s="1495">
        <f t="shared" si="537"/>
        <v>0</v>
      </c>
      <c r="CU361" s="1577">
        <f t="shared" si="538"/>
        <v>0</v>
      </c>
      <c r="CV361" s="1576">
        <f t="shared" si="502"/>
        <v>0</v>
      </c>
      <c r="CW361" s="1495">
        <f t="shared" si="539"/>
        <v>0</v>
      </c>
      <c r="CX361" s="1577">
        <f t="shared" si="540"/>
        <v>0</v>
      </c>
      <c r="CY361" s="1576">
        <f t="shared" si="503"/>
        <v>0</v>
      </c>
      <c r="CZ361" s="1574">
        <f t="shared" si="504"/>
        <v>0</v>
      </c>
      <c r="DA361" s="1578">
        <f t="shared" si="506"/>
        <v>0</v>
      </c>
      <c r="DB361" s="1579">
        <f t="shared" si="507"/>
        <v>0</v>
      </c>
      <c r="DC361" s="1578">
        <f t="shared" si="508"/>
        <v>0</v>
      </c>
      <c r="DD361" s="1578">
        <f t="shared" si="508"/>
        <v>0</v>
      </c>
      <c r="DE361" s="1578">
        <f t="shared" si="508"/>
        <v>0</v>
      </c>
      <c r="DF361" s="1578">
        <f t="shared" si="509"/>
        <v>0</v>
      </c>
      <c r="DG361" s="1420"/>
      <c r="DH361" s="1420"/>
      <c r="DI361" s="1422"/>
      <c r="DJ361" s="1685"/>
      <c r="DK361" s="1685"/>
      <c r="DL361" s="1685"/>
      <c r="DM361" s="1428"/>
      <c r="DN361" s="1428"/>
      <c r="DO361" s="1428"/>
      <c r="DP361" s="1428"/>
      <c r="DQ361" s="1422"/>
      <c r="DR361" s="1428"/>
      <c r="DS361" s="1428"/>
      <c r="DT361" s="1428"/>
      <c r="DU361" s="1428"/>
      <c r="DV361" s="1428"/>
      <c r="DW361" s="1428"/>
      <c r="DX361" s="1428"/>
      <c r="DY361" s="1428"/>
      <c r="DZ361" s="1428"/>
      <c r="EA361" s="1428"/>
      <c r="EB361" s="1428"/>
      <c r="EC361" s="1428"/>
      <c r="ED361" s="1428"/>
      <c r="EE361" s="1428"/>
      <c r="EF361" s="1428"/>
      <c r="EG361" s="1428"/>
      <c r="EH361" s="1428"/>
      <c r="EI361" s="1428"/>
      <c r="EJ361" s="1428"/>
      <c r="EK361" s="1428"/>
      <c r="EL361" s="1428"/>
      <c r="EM361" s="1428"/>
      <c r="EN361" s="1428"/>
      <c r="EO361" s="1428"/>
      <c r="EP361" s="1428"/>
      <c r="EQ361" s="1428"/>
      <c r="ER361" s="1428"/>
      <c r="ES361" s="1428"/>
      <c r="ET361" s="1428"/>
      <c r="EU361" s="1428"/>
    </row>
    <row r="362" spans="1:151" s="1440" customFormat="1" ht="18" customHeight="1">
      <c r="A362" s="1594"/>
      <c r="B362" s="1600" t="s">
        <v>1603</v>
      </c>
      <c r="C362" s="1737">
        <f t="shared" si="513"/>
        <v>0</v>
      </c>
      <c r="D362" s="1737">
        <f t="shared" si="514"/>
        <v>0</v>
      </c>
      <c r="E362" s="1475"/>
      <c r="F362" s="1475"/>
      <c r="G362" s="1475"/>
      <c r="H362" s="1475"/>
      <c r="I362" s="1475"/>
      <c r="J362" s="1475"/>
      <c r="K362" s="1475"/>
      <c r="L362" s="1475"/>
      <c r="M362" s="1475"/>
      <c r="N362" s="1430"/>
      <c r="O362" s="1430"/>
      <c r="P362" s="1430"/>
      <c r="Q362" s="1430"/>
      <c r="R362" s="1430"/>
      <c r="S362" s="1430"/>
      <c r="T362" s="1430"/>
      <c r="U362" s="1430"/>
      <c r="V362" s="1430"/>
      <c r="W362" s="1430"/>
      <c r="X362" s="1430"/>
      <c r="Y362" s="1430"/>
      <c r="Z362" s="1430"/>
      <c r="AA362" s="1430"/>
      <c r="AB362" s="1430"/>
      <c r="AC362" s="1430"/>
      <c r="AD362" s="1430"/>
      <c r="AE362" s="1430"/>
      <c r="AF362" s="1430"/>
      <c r="AG362" s="1430"/>
      <c r="AH362" s="1430"/>
      <c r="AI362" s="1430"/>
      <c r="AJ362" s="1430"/>
      <c r="AK362" s="1430"/>
      <c r="AL362" s="1430"/>
      <c r="AM362" s="1430"/>
      <c r="AN362" s="1430"/>
      <c r="AO362" s="1430"/>
      <c r="AP362" s="1430"/>
      <c r="AQ362" s="1430"/>
      <c r="AR362" s="1430"/>
      <c r="AS362" s="1430"/>
      <c r="AT362" s="1430"/>
      <c r="AU362" s="1430"/>
      <c r="AV362" s="1430"/>
      <c r="AW362" s="1430"/>
      <c r="AX362" s="1430"/>
      <c r="AY362" s="1430"/>
      <c r="AZ362" s="1430"/>
      <c r="BA362" s="1430"/>
      <c r="BB362" s="1430"/>
      <c r="BC362" s="1430"/>
      <c r="BD362" s="1422"/>
      <c r="BE362" s="1571" t="s">
        <v>1219</v>
      </c>
      <c r="BF362" s="1436">
        <v>23</v>
      </c>
      <c r="BG362" s="1436">
        <v>9</v>
      </c>
      <c r="BH362" s="1436">
        <v>4</v>
      </c>
      <c r="BI362" s="1495" t="b">
        <f t="shared" si="505"/>
        <v>1</v>
      </c>
      <c r="BJ362" s="1450" t="b">
        <f t="shared" si="515"/>
        <v>1</v>
      </c>
      <c r="BK362" s="1572">
        <f t="shared" si="516"/>
        <v>7.3636363636363633</v>
      </c>
      <c r="BL362" s="1581">
        <f>IF(SUM(BL$354:BL361,BK362)&gt;$BU$4,0,BK362)</f>
        <v>7.3636363636363633</v>
      </c>
      <c r="BM362" s="1436">
        <f t="shared" si="490"/>
        <v>0</v>
      </c>
      <c r="BN362" s="1495">
        <f t="shared" si="491"/>
        <v>0</v>
      </c>
      <c r="BO362" s="1437">
        <f t="shared" si="510"/>
        <v>0</v>
      </c>
      <c r="BP362" s="1574">
        <f t="shared" si="517"/>
        <v>0</v>
      </c>
      <c r="BQ362" s="1577">
        <f t="shared" si="518"/>
        <v>0</v>
      </c>
      <c r="BR362" s="1576">
        <f t="shared" si="492"/>
        <v>0</v>
      </c>
      <c r="BS362" s="1574">
        <f t="shared" si="519"/>
        <v>0</v>
      </c>
      <c r="BT362" s="1577">
        <f t="shared" si="520"/>
        <v>0</v>
      </c>
      <c r="BU362" s="1576">
        <f t="shared" si="493"/>
        <v>0</v>
      </c>
      <c r="BV362" s="1574">
        <f t="shared" si="521"/>
        <v>0</v>
      </c>
      <c r="BW362" s="1577">
        <f t="shared" si="522"/>
        <v>0</v>
      </c>
      <c r="BX362" s="1576">
        <f t="shared" si="494"/>
        <v>0</v>
      </c>
      <c r="BY362" s="1574">
        <f t="shared" si="523"/>
        <v>0</v>
      </c>
      <c r="BZ362" s="1577">
        <f t="shared" si="524"/>
        <v>0</v>
      </c>
      <c r="CA362" s="1576">
        <f t="shared" si="495"/>
        <v>0</v>
      </c>
      <c r="CB362" s="1495">
        <f t="shared" si="525"/>
        <v>0</v>
      </c>
      <c r="CC362" s="1577">
        <f t="shared" si="526"/>
        <v>0</v>
      </c>
      <c r="CD362" s="1576">
        <f t="shared" si="496"/>
        <v>0</v>
      </c>
      <c r="CE362" s="1495">
        <f t="shared" si="527"/>
        <v>0</v>
      </c>
      <c r="CF362" s="1577">
        <f t="shared" si="528"/>
        <v>0</v>
      </c>
      <c r="CG362" s="1576">
        <f t="shared" si="497"/>
        <v>0</v>
      </c>
      <c r="CH362" s="1495">
        <f t="shared" si="529"/>
        <v>0</v>
      </c>
      <c r="CI362" s="1577">
        <f t="shared" si="530"/>
        <v>0</v>
      </c>
      <c r="CJ362" s="1576">
        <f t="shared" si="498"/>
        <v>0</v>
      </c>
      <c r="CK362" s="1495">
        <f t="shared" si="531"/>
        <v>0</v>
      </c>
      <c r="CL362" s="1577">
        <f t="shared" si="532"/>
        <v>0</v>
      </c>
      <c r="CM362" s="1576">
        <f t="shared" si="499"/>
        <v>0</v>
      </c>
      <c r="CN362" s="1495">
        <f t="shared" si="533"/>
        <v>0</v>
      </c>
      <c r="CO362" s="1577">
        <f t="shared" si="534"/>
        <v>0</v>
      </c>
      <c r="CP362" s="1576">
        <f t="shared" si="500"/>
        <v>0</v>
      </c>
      <c r="CQ362" s="1495">
        <f t="shared" si="535"/>
        <v>0</v>
      </c>
      <c r="CR362" s="1577">
        <f t="shared" si="536"/>
        <v>0</v>
      </c>
      <c r="CS362" s="1576">
        <f t="shared" si="501"/>
        <v>0</v>
      </c>
      <c r="CT362" s="1495">
        <f t="shared" si="537"/>
        <v>0</v>
      </c>
      <c r="CU362" s="1577">
        <f t="shared" si="538"/>
        <v>0</v>
      </c>
      <c r="CV362" s="1576">
        <f t="shared" si="502"/>
        <v>0</v>
      </c>
      <c r="CW362" s="1495">
        <f t="shared" si="539"/>
        <v>0</v>
      </c>
      <c r="CX362" s="1577">
        <f t="shared" si="540"/>
        <v>0</v>
      </c>
      <c r="CY362" s="1576">
        <f t="shared" si="503"/>
        <v>0</v>
      </c>
      <c r="CZ362" s="1574">
        <f t="shared" si="504"/>
        <v>0</v>
      </c>
      <c r="DA362" s="1578">
        <f t="shared" si="506"/>
        <v>0</v>
      </c>
      <c r="DB362" s="1579">
        <f t="shared" si="507"/>
        <v>0</v>
      </c>
      <c r="DC362" s="1578">
        <f t="shared" si="508"/>
        <v>0</v>
      </c>
      <c r="DD362" s="1578">
        <f t="shared" si="508"/>
        <v>0</v>
      </c>
      <c r="DE362" s="1578">
        <f t="shared" si="508"/>
        <v>0</v>
      </c>
      <c r="DF362" s="1578">
        <f t="shared" si="509"/>
        <v>0</v>
      </c>
      <c r="DG362" s="1420"/>
      <c r="DH362" s="1420"/>
      <c r="DI362" s="1422"/>
      <c r="DJ362" s="1428"/>
      <c r="DK362" s="1428"/>
      <c r="DL362" s="1428"/>
      <c r="DM362" s="1428"/>
      <c r="DN362" s="1428"/>
      <c r="DO362" s="1428"/>
      <c r="DP362" s="1428"/>
      <c r="DQ362" s="1422"/>
      <c r="DR362" s="1428"/>
      <c r="DS362" s="1428"/>
      <c r="DT362" s="1428"/>
      <c r="DU362" s="1428"/>
      <c r="DV362" s="1428"/>
      <c r="DW362" s="1428"/>
      <c r="DX362" s="1428"/>
      <c r="DY362" s="1428"/>
      <c r="DZ362" s="1428"/>
      <c r="EA362" s="1428"/>
      <c r="EB362" s="1428"/>
      <c r="EC362" s="1428"/>
      <c r="ED362" s="1428"/>
      <c r="EE362" s="1428"/>
      <c r="EF362" s="1428"/>
      <c r="EG362" s="1428"/>
      <c r="EH362" s="1428"/>
      <c r="EI362" s="1428"/>
      <c r="EJ362" s="1428"/>
      <c r="EK362" s="1428"/>
      <c r="EL362" s="1428"/>
      <c r="EM362" s="1428"/>
      <c r="EN362" s="1428"/>
      <c r="EO362" s="1428"/>
      <c r="EP362" s="1428"/>
      <c r="EQ362" s="1428"/>
      <c r="ER362" s="1428"/>
      <c r="ES362" s="1428"/>
      <c r="ET362" s="1428"/>
      <c r="EU362" s="1428"/>
    </row>
    <row r="363" spans="1:151" s="1440" customFormat="1">
      <c r="A363" s="1627"/>
      <c r="B363" s="1600" t="s">
        <v>261</v>
      </c>
      <c r="C363" s="1876">
        <f>SUM(C351:C362)</f>
        <v>0</v>
      </c>
      <c r="D363" s="1876">
        <f>SUM(D351:D362)</f>
        <v>0</v>
      </c>
      <c r="E363" s="1475"/>
      <c r="F363" s="1475"/>
      <c r="G363" s="1475"/>
      <c r="H363" s="1475"/>
      <c r="I363" s="1475"/>
      <c r="J363" s="1475"/>
      <c r="K363" s="1475"/>
      <c r="L363" s="1475"/>
      <c r="M363" s="1475"/>
      <c r="N363" s="1430"/>
      <c r="O363" s="1430"/>
      <c r="P363" s="1430"/>
      <c r="Q363" s="1430"/>
      <c r="R363" s="1430"/>
      <c r="S363" s="1430"/>
      <c r="T363" s="1430"/>
      <c r="U363" s="1430"/>
      <c r="V363" s="1430"/>
      <c r="W363" s="1430"/>
      <c r="X363" s="1430"/>
      <c r="Y363" s="1430"/>
      <c r="Z363" s="1430"/>
      <c r="AA363" s="1430"/>
      <c r="AB363" s="1430"/>
      <c r="AC363" s="1430"/>
      <c r="AD363" s="1430"/>
      <c r="AE363" s="1430"/>
      <c r="AF363" s="1430"/>
      <c r="AG363" s="1430"/>
      <c r="AH363" s="1430"/>
      <c r="AI363" s="1430"/>
      <c r="AJ363" s="1430"/>
      <c r="AK363" s="1430"/>
      <c r="AL363" s="1430"/>
      <c r="AM363" s="1430"/>
      <c r="AN363" s="1430"/>
      <c r="AO363" s="1430"/>
      <c r="AP363" s="1430"/>
      <c r="AQ363" s="1430"/>
      <c r="AR363" s="1430"/>
      <c r="AS363" s="1430"/>
      <c r="AT363" s="1430"/>
      <c r="AU363" s="1430"/>
      <c r="AV363" s="1430"/>
      <c r="AW363" s="1430"/>
      <c r="AX363" s="1430"/>
      <c r="AY363" s="1430"/>
      <c r="AZ363" s="1430"/>
      <c r="BA363" s="1430"/>
      <c r="BB363" s="1430"/>
      <c r="BC363" s="1430"/>
      <c r="BD363" s="1422"/>
      <c r="BE363" s="1571" t="s">
        <v>1219</v>
      </c>
      <c r="BF363" s="1436">
        <v>23</v>
      </c>
      <c r="BG363" s="1436">
        <v>10</v>
      </c>
      <c r="BH363" s="1436">
        <v>5</v>
      </c>
      <c r="BI363" s="1495" t="b">
        <f t="shared" si="505"/>
        <v>1</v>
      </c>
      <c r="BJ363" s="1450" t="b">
        <f t="shared" si="515"/>
        <v>0</v>
      </c>
      <c r="BK363" s="1572">
        <f t="shared" si="516"/>
        <v>0</v>
      </c>
      <c r="BL363" s="1581">
        <f>IF(SUM(BL$354:BL362,BK363)&gt;$BU$4,0,BK363)</f>
        <v>0</v>
      </c>
      <c r="BM363" s="1436">
        <f t="shared" si="490"/>
        <v>0</v>
      </c>
      <c r="BN363" s="1495">
        <f t="shared" si="491"/>
        <v>0</v>
      </c>
      <c r="BO363" s="1437">
        <f t="shared" si="510"/>
        <v>0</v>
      </c>
      <c r="BP363" s="1574">
        <f t="shared" si="517"/>
        <v>0</v>
      </c>
      <c r="BQ363" s="1577">
        <f t="shared" si="518"/>
        <v>0</v>
      </c>
      <c r="BR363" s="1576">
        <f t="shared" si="492"/>
        <v>0</v>
      </c>
      <c r="BS363" s="1574">
        <f t="shared" si="519"/>
        <v>0</v>
      </c>
      <c r="BT363" s="1577">
        <f t="shared" si="520"/>
        <v>0</v>
      </c>
      <c r="BU363" s="1576">
        <f t="shared" si="493"/>
        <v>0</v>
      </c>
      <c r="BV363" s="1574">
        <f t="shared" si="521"/>
        <v>0</v>
      </c>
      <c r="BW363" s="1577">
        <f t="shared" si="522"/>
        <v>0</v>
      </c>
      <c r="BX363" s="1576">
        <f t="shared" si="494"/>
        <v>0</v>
      </c>
      <c r="BY363" s="1574">
        <f t="shared" si="523"/>
        <v>0</v>
      </c>
      <c r="BZ363" s="1577">
        <f t="shared" si="524"/>
        <v>0</v>
      </c>
      <c r="CA363" s="1576">
        <f t="shared" si="495"/>
        <v>0</v>
      </c>
      <c r="CB363" s="1495">
        <f t="shared" si="525"/>
        <v>0</v>
      </c>
      <c r="CC363" s="1577">
        <f t="shared" si="526"/>
        <v>0</v>
      </c>
      <c r="CD363" s="1576">
        <f t="shared" si="496"/>
        <v>0</v>
      </c>
      <c r="CE363" s="1495">
        <f t="shared" si="527"/>
        <v>0</v>
      </c>
      <c r="CF363" s="1577">
        <f t="shared" si="528"/>
        <v>0</v>
      </c>
      <c r="CG363" s="1576">
        <f t="shared" si="497"/>
        <v>0</v>
      </c>
      <c r="CH363" s="1495">
        <f t="shared" si="529"/>
        <v>0</v>
      </c>
      <c r="CI363" s="1577">
        <f t="shared" si="530"/>
        <v>0</v>
      </c>
      <c r="CJ363" s="1576">
        <f t="shared" si="498"/>
        <v>0</v>
      </c>
      <c r="CK363" s="1495">
        <f t="shared" si="531"/>
        <v>0</v>
      </c>
      <c r="CL363" s="1577">
        <f t="shared" si="532"/>
        <v>0</v>
      </c>
      <c r="CM363" s="1576">
        <f t="shared" si="499"/>
        <v>0</v>
      </c>
      <c r="CN363" s="1495">
        <f t="shared" si="533"/>
        <v>0</v>
      </c>
      <c r="CO363" s="1577">
        <f t="shared" si="534"/>
        <v>0</v>
      </c>
      <c r="CP363" s="1576">
        <f t="shared" si="500"/>
        <v>0</v>
      </c>
      <c r="CQ363" s="1495">
        <f t="shared" si="535"/>
        <v>0</v>
      </c>
      <c r="CR363" s="1577">
        <f t="shared" si="536"/>
        <v>0</v>
      </c>
      <c r="CS363" s="1576">
        <f t="shared" si="501"/>
        <v>0</v>
      </c>
      <c r="CT363" s="1495">
        <f t="shared" si="537"/>
        <v>0</v>
      </c>
      <c r="CU363" s="1577">
        <f t="shared" si="538"/>
        <v>0</v>
      </c>
      <c r="CV363" s="1576">
        <f t="shared" si="502"/>
        <v>0</v>
      </c>
      <c r="CW363" s="1495">
        <f t="shared" si="539"/>
        <v>0</v>
      </c>
      <c r="CX363" s="1577">
        <f t="shared" si="540"/>
        <v>0</v>
      </c>
      <c r="CY363" s="1576">
        <f t="shared" si="503"/>
        <v>0</v>
      </c>
      <c r="CZ363" s="1574">
        <f t="shared" si="504"/>
        <v>0</v>
      </c>
      <c r="DA363" s="1578">
        <f t="shared" si="506"/>
        <v>0</v>
      </c>
      <c r="DB363" s="1579">
        <f t="shared" si="507"/>
        <v>0</v>
      </c>
      <c r="DC363" s="1578">
        <f t="shared" si="508"/>
        <v>0</v>
      </c>
      <c r="DD363" s="1578">
        <f t="shared" si="508"/>
        <v>0</v>
      </c>
      <c r="DE363" s="1578">
        <f t="shared" si="508"/>
        <v>0</v>
      </c>
      <c r="DF363" s="1578">
        <f t="shared" si="509"/>
        <v>0</v>
      </c>
      <c r="DG363" s="1420"/>
      <c r="DH363" s="1420"/>
      <c r="DI363" s="1422"/>
      <c r="DJ363" s="2460" t="s">
        <v>1873</v>
      </c>
      <c r="DK363" s="2460"/>
      <c r="DL363" s="1428"/>
      <c r="DM363" s="1428"/>
      <c r="DN363" s="1428"/>
      <c r="DO363" s="1428"/>
      <c r="DP363" s="1428"/>
      <c r="DQ363" s="1422"/>
      <c r="DR363" s="1428"/>
      <c r="DS363" s="1428"/>
      <c r="DT363" s="1428"/>
      <c r="DU363" s="1428"/>
      <c r="DV363" s="1428"/>
      <c r="DW363" s="1428"/>
      <c r="DX363" s="1428"/>
      <c r="DY363" s="1428"/>
      <c r="DZ363" s="1428"/>
      <c r="EA363" s="1428"/>
      <c r="EB363" s="1428"/>
      <c r="EC363" s="1428"/>
      <c r="ED363" s="1428"/>
      <c r="EE363" s="1428"/>
      <c r="EF363" s="1428"/>
      <c r="EG363" s="1428"/>
      <c r="EH363" s="1428"/>
      <c r="EI363" s="1428"/>
      <c r="EJ363" s="1428"/>
      <c r="EK363" s="1428"/>
      <c r="EL363" s="1428"/>
      <c r="EM363" s="1428"/>
      <c r="EN363" s="1428"/>
      <c r="EO363" s="1428"/>
      <c r="EP363" s="1428"/>
      <c r="EQ363" s="1428"/>
      <c r="ER363" s="1428"/>
      <c r="ES363" s="1428"/>
      <c r="ET363" s="1428"/>
      <c r="EU363" s="1428"/>
    </row>
    <row r="364" spans="1:151" s="1440" customFormat="1" ht="15" customHeight="1">
      <c r="A364" s="1594"/>
      <c r="B364" s="1422"/>
      <c r="C364" s="1422"/>
      <c r="D364" s="1422"/>
      <c r="E364" s="1475"/>
      <c r="F364" s="1475"/>
      <c r="G364" s="1475"/>
      <c r="H364" s="1475"/>
      <c r="I364" s="1475"/>
      <c r="J364" s="1475"/>
      <c r="K364" s="1475"/>
      <c r="L364" s="1475"/>
      <c r="M364" s="1475"/>
      <c r="N364" s="1448"/>
      <c r="O364" s="1448"/>
      <c r="P364" s="1448"/>
      <c r="Q364" s="1448"/>
      <c r="R364" s="1448"/>
      <c r="S364" s="1448"/>
      <c r="T364" s="1448"/>
      <c r="U364" s="1448"/>
      <c r="V364" s="1448"/>
      <c r="W364" s="1448"/>
      <c r="X364" s="1448"/>
      <c r="Y364" s="1448"/>
      <c r="Z364" s="1448"/>
      <c r="AA364" s="1448"/>
      <c r="AB364" s="1448"/>
      <c r="AC364" s="1448"/>
      <c r="AD364" s="1448"/>
      <c r="AE364" s="1448"/>
      <c r="AF364" s="1448"/>
      <c r="AG364" s="1448"/>
      <c r="AH364" s="1448"/>
      <c r="AI364" s="1448"/>
      <c r="AJ364" s="1448"/>
      <c r="AK364" s="1448"/>
      <c r="AL364" s="1448"/>
      <c r="AM364" s="1448"/>
      <c r="AN364" s="1448"/>
      <c r="AO364" s="1448"/>
      <c r="AP364" s="1448"/>
      <c r="AQ364" s="1448"/>
      <c r="AR364" s="1448"/>
      <c r="AS364" s="1448"/>
      <c r="AT364" s="1448"/>
      <c r="AU364" s="1448"/>
      <c r="AV364" s="1448"/>
      <c r="AW364" s="1448"/>
      <c r="AX364" s="1448"/>
      <c r="AY364" s="1448"/>
      <c r="AZ364" s="1448"/>
      <c r="BA364" s="1448"/>
      <c r="BB364" s="1448"/>
      <c r="BC364" s="1448"/>
      <c r="BD364" s="1422"/>
      <c r="BE364" s="1571" t="s">
        <v>1219</v>
      </c>
      <c r="BF364" s="1436">
        <v>23</v>
      </c>
      <c r="BG364" s="1436">
        <v>11</v>
      </c>
      <c r="BH364" s="1436">
        <v>6</v>
      </c>
      <c r="BI364" s="1495" t="b">
        <f t="shared" si="505"/>
        <v>0</v>
      </c>
      <c r="BJ364" s="1450" t="b">
        <f t="shared" si="515"/>
        <v>0</v>
      </c>
      <c r="BK364" s="1572">
        <f t="shared" si="516"/>
        <v>0</v>
      </c>
      <c r="BL364" s="1581">
        <f>IF(SUM(BL$354:BL363,BK364)&gt;$BU$4,0,BK364)</f>
        <v>0</v>
      </c>
      <c r="BM364" s="1436">
        <f t="shared" si="490"/>
        <v>0</v>
      </c>
      <c r="BN364" s="1495">
        <f t="shared" si="491"/>
        <v>0</v>
      </c>
      <c r="BO364" s="1437">
        <f t="shared" si="510"/>
        <v>0</v>
      </c>
      <c r="BP364" s="1574">
        <f t="shared" si="517"/>
        <v>0</v>
      </c>
      <c r="BQ364" s="1577">
        <f t="shared" si="518"/>
        <v>0</v>
      </c>
      <c r="BR364" s="1576">
        <f t="shared" si="492"/>
        <v>0</v>
      </c>
      <c r="BS364" s="1574">
        <f t="shared" si="519"/>
        <v>0</v>
      </c>
      <c r="BT364" s="1577">
        <f t="shared" si="520"/>
        <v>0</v>
      </c>
      <c r="BU364" s="1576">
        <f t="shared" si="493"/>
        <v>0</v>
      </c>
      <c r="BV364" s="1574">
        <f t="shared" si="521"/>
        <v>0</v>
      </c>
      <c r="BW364" s="1577">
        <f t="shared" si="522"/>
        <v>0</v>
      </c>
      <c r="BX364" s="1576">
        <f t="shared" si="494"/>
        <v>0</v>
      </c>
      <c r="BY364" s="1574">
        <f t="shared" si="523"/>
        <v>0</v>
      </c>
      <c r="BZ364" s="1577">
        <f t="shared" si="524"/>
        <v>0</v>
      </c>
      <c r="CA364" s="1576">
        <f t="shared" si="495"/>
        <v>0</v>
      </c>
      <c r="CB364" s="1495">
        <f t="shared" si="525"/>
        <v>0</v>
      </c>
      <c r="CC364" s="1577">
        <f t="shared" si="526"/>
        <v>0</v>
      </c>
      <c r="CD364" s="1576">
        <f t="shared" si="496"/>
        <v>0</v>
      </c>
      <c r="CE364" s="1495">
        <f t="shared" si="527"/>
        <v>0</v>
      </c>
      <c r="CF364" s="1577">
        <f t="shared" si="528"/>
        <v>0</v>
      </c>
      <c r="CG364" s="1576">
        <f t="shared" si="497"/>
        <v>0</v>
      </c>
      <c r="CH364" s="1495">
        <f t="shared" si="529"/>
        <v>0</v>
      </c>
      <c r="CI364" s="1577">
        <f t="shared" si="530"/>
        <v>0</v>
      </c>
      <c r="CJ364" s="1576">
        <f t="shared" si="498"/>
        <v>0</v>
      </c>
      <c r="CK364" s="1495">
        <f t="shared" si="531"/>
        <v>0</v>
      </c>
      <c r="CL364" s="1577">
        <f t="shared" si="532"/>
        <v>0</v>
      </c>
      <c r="CM364" s="1576">
        <f t="shared" si="499"/>
        <v>0</v>
      </c>
      <c r="CN364" s="1495">
        <f t="shared" si="533"/>
        <v>0</v>
      </c>
      <c r="CO364" s="1577">
        <f t="shared" si="534"/>
        <v>0</v>
      </c>
      <c r="CP364" s="1576">
        <f t="shared" si="500"/>
        <v>0</v>
      </c>
      <c r="CQ364" s="1495">
        <f t="shared" si="535"/>
        <v>0</v>
      </c>
      <c r="CR364" s="1577">
        <f t="shared" si="536"/>
        <v>0</v>
      </c>
      <c r="CS364" s="1576">
        <f t="shared" si="501"/>
        <v>0</v>
      </c>
      <c r="CT364" s="1495">
        <f t="shared" si="537"/>
        <v>0</v>
      </c>
      <c r="CU364" s="1577">
        <f t="shared" si="538"/>
        <v>0</v>
      </c>
      <c r="CV364" s="1576">
        <f t="shared" si="502"/>
        <v>0</v>
      </c>
      <c r="CW364" s="1495">
        <f t="shared" si="539"/>
        <v>0</v>
      </c>
      <c r="CX364" s="1577">
        <f t="shared" si="540"/>
        <v>0</v>
      </c>
      <c r="CY364" s="1576">
        <f t="shared" si="503"/>
        <v>0</v>
      </c>
      <c r="CZ364" s="1574">
        <f t="shared" si="504"/>
        <v>0</v>
      </c>
      <c r="DA364" s="1578">
        <f t="shared" si="506"/>
        <v>0</v>
      </c>
      <c r="DB364" s="1579">
        <f t="shared" si="507"/>
        <v>0</v>
      </c>
      <c r="DC364" s="1578">
        <f t="shared" si="508"/>
        <v>0</v>
      </c>
      <c r="DD364" s="1578">
        <f t="shared" si="508"/>
        <v>0</v>
      </c>
      <c r="DE364" s="1578">
        <f t="shared" si="508"/>
        <v>0</v>
      </c>
      <c r="DF364" s="1578">
        <f t="shared" si="509"/>
        <v>0</v>
      </c>
      <c r="DG364" s="1420"/>
      <c r="DH364" s="1420"/>
      <c r="DI364" s="1422"/>
      <c r="DJ364" s="1753" t="s">
        <v>1978</v>
      </c>
      <c r="DK364" s="1773">
        <v>0.5</v>
      </c>
      <c r="DL364" s="1428"/>
      <c r="DM364" s="1428"/>
      <c r="DN364" s="1428"/>
      <c r="DO364" s="1428"/>
      <c r="DP364" s="1428"/>
      <c r="DQ364" s="1422"/>
      <c r="DR364" s="1428"/>
      <c r="DS364" s="1428"/>
      <c r="DT364" s="1428"/>
      <c r="DU364" s="1428"/>
      <c r="DV364" s="1428"/>
      <c r="DW364" s="1428"/>
      <c r="DX364" s="1428"/>
      <c r="DY364" s="1428"/>
      <c r="DZ364" s="1428"/>
      <c r="EA364" s="1428"/>
      <c r="EB364" s="1428"/>
      <c r="EC364" s="1428"/>
      <c r="ED364" s="1428"/>
      <c r="EE364" s="1428"/>
      <c r="EF364" s="1428"/>
      <c r="EG364" s="1428"/>
      <c r="EH364" s="1428"/>
      <c r="EI364" s="1428"/>
      <c r="EJ364" s="1428"/>
      <c r="EK364" s="1428"/>
      <c r="EL364" s="1428"/>
      <c r="EM364" s="1428"/>
      <c r="EN364" s="1428"/>
      <c r="EO364" s="1428"/>
      <c r="EP364" s="1428"/>
      <c r="EQ364" s="1428"/>
      <c r="ER364" s="1428"/>
      <c r="ES364" s="1428"/>
      <c r="ET364" s="1428"/>
      <c r="EU364" s="1428"/>
    </row>
    <row r="365" spans="1:151" s="1440" customFormat="1">
      <c r="A365" s="1747"/>
      <c r="B365" s="1095"/>
      <c r="C365" s="1422"/>
      <c r="D365" s="1422"/>
      <c r="E365" s="1475"/>
      <c r="F365" s="1475"/>
      <c r="G365" s="1475"/>
      <c r="H365" s="1475"/>
      <c r="I365" s="1475"/>
      <c r="J365" s="1475"/>
      <c r="K365" s="1475"/>
      <c r="L365" s="1475"/>
      <c r="M365" s="1475"/>
      <c r="N365" s="1430"/>
      <c r="O365" s="1430"/>
      <c r="P365" s="1430"/>
      <c r="Q365" s="1877" t="s">
        <v>1971</v>
      </c>
      <c r="R365" s="1430"/>
      <c r="S365" s="1430"/>
      <c r="T365" s="1430"/>
      <c r="U365" s="1430"/>
      <c r="V365" s="1430"/>
      <c r="W365" s="1430"/>
      <c r="X365" s="1430"/>
      <c r="Y365" s="1430"/>
      <c r="Z365" s="1430"/>
      <c r="AA365" s="1430"/>
      <c r="AB365" s="1430"/>
      <c r="AC365" s="1430"/>
      <c r="AD365" s="1430"/>
      <c r="AE365" s="1430"/>
      <c r="AF365" s="1430"/>
      <c r="AG365" s="1430"/>
      <c r="AH365" s="1430"/>
      <c r="AI365" s="1430"/>
      <c r="AJ365" s="1430"/>
      <c r="AK365" s="1430"/>
      <c r="AL365" s="1430"/>
      <c r="AM365" s="1430"/>
      <c r="AN365" s="1430"/>
      <c r="AO365" s="1430"/>
      <c r="AP365" s="1430"/>
      <c r="AQ365" s="1430"/>
      <c r="AR365" s="1430"/>
      <c r="AS365" s="1430"/>
      <c r="AT365" s="1430"/>
      <c r="AU365" s="1430"/>
      <c r="AV365" s="1430"/>
      <c r="AW365" s="1430"/>
      <c r="AX365" s="1430"/>
      <c r="AY365" s="1430"/>
      <c r="AZ365" s="1430"/>
      <c r="BA365" s="1430"/>
      <c r="BB365" s="1430"/>
      <c r="BC365" s="1430"/>
      <c r="BD365" s="1422"/>
      <c r="BE365" s="1571" t="s">
        <v>1219</v>
      </c>
      <c r="BF365" s="1436">
        <v>23</v>
      </c>
      <c r="BG365" s="1436">
        <v>12</v>
      </c>
      <c r="BH365" s="1436">
        <v>7</v>
      </c>
      <c r="BI365" s="1495" t="b">
        <f t="shared" si="505"/>
        <v>0</v>
      </c>
      <c r="BJ365" s="1450" t="b">
        <f t="shared" si="515"/>
        <v>1</v>
      </c>
      <c r="BK365" s="1572">
        <f t="shared" si="516"/>
        <v>7.3636363636363633</v>
      </c>
      <c r="BL365" s="1581">
        <f>IF(SUM(BL$354:BL364,BK365)&gt;$BU$4,0,BK365)</f>
        <v>7.3636363636363633</v>
      </c>
      <c r="BM365" s="1436">
        <f t="shared" si="490"/>
        <v>0</v>
      </c>
      <c r="BN365" s="1495">
        <f t="shared" si="491"/>
        <v>0</v>
      </c>
      <c r="BO365" s="1437">
        <f t="shared" si="510"/>
        <v>0</v>
      </c>
      <c r="BP365" s="1574">
        <f t="shared" si="517"/>
        <v>0</v>
      </c>
      <c r="BQ365" s="1577">
        <f t="shared" si="518"/>
        <v>0</v>
      </c>
      <c r="BR365" s="1576">
        <f t="shared" si="492"/>
        <v>0</v>
      </c>
      <c r="BS365" s="1574">
        <f t="shared" si="519"/>
        <v>0</v>
      </c>
      <c r="BT365" s="1577">
        <f t="shared" si="520"/>
        <v>0</v>
      </c>
      <c r="BU365" s="1576">
        <f t="shared" si="493"/>
        <v>0</v>
      </c>
      <c r="BV365" s="1574">
        <f t="shared" si="521"/>
        <v>0</v>
      </c>
      <c r="BW365" s="1577">
        <f t="shared" si="522"/>
        <v>0</v>
      </c>
      <c r="BX365" s="1576">
        <f t="shared" si="494"/>
        <v>0</v>
      </c>
      <c r="BY365" s="1574">
        <f t="shared" si="523"/>
        <v>0</v>
      </c>
      <c r="BZ365" s="1577">
        <f t="shared" si="524"/>
        <v>0</v>
      </c>
      <c r="CA365" s="1576">
        <f t="shared" si="495"/>
        <v>0</v>
      </c>
      <c r="CB365" s="1495">
        <f t="shared" si="525"/>
        <v>0</v>
      </c>
      <c r="CC365" s="1577">
        <f t="shared" si="526"/>
        <v>0</v>
      </c>
      <c r="CD365" s="1576">
        <f t="shared" si="496"/>
        <v>0</v>
      </c>
      <c r="CE365" s="1495">
        <f t="shared" si="527"/>
        <v>0</v>
      </c>
      <c r="CF365" s="1577">
        <f t="shared" si="528"/>
        <v>0</v>
      </c>
      <c r="CG365" s="1576">
        <f t="shared" si="497"/>
        <v>0</v>
      </c>
      <c r="CH365" s="1495">
        <f t="shared" si="529"/>
        <v>0</v>
      </c>
      <c r="CI365" s="1577">
        <f t="shared" si="530"/>
        <v>0</v>
      </c>
      <c r="CJ365" s="1576">
        <f t="shared" si="498"/>
        <v>0</v>
      </c>
      <c r="CK365" s="1495">
        <f t="shared" si="531"/>
        <v>0</v>
      </c>
      <c r="CL365" s="1577">
        <f t="shared" si="532"/>
        <v>0</v>
      </c>
      <c r="CM365" s="1576">
        <f t="shared" si="499"/>
        <v>0</v>
      </c>
      <c r="CN365" s="1495">
        <f t="shared" si="533"/>
        <v>0</v>
      </c>
      <c r="CO365" s="1577">
        <f t="shared" si="534"/>
        <v>0</v>
      </c>
      <c r="CP365" s="1576">
        <f t="shared" si="500"/>
        <v>0</v>
      </c>
      <c r="CQ365" s="1495">
        <f t="shared" si="535"/>
        <v>0</v>
      </c>
      <c r="CR365" s="1577">
        <f t="shared" si="536"/>
        <v>0</v>
      </c>
      <c r="CS365" s="1576">
        <f t="shared" si="501"/>
        <v>0</v>
      </c>
      <c r="CT365" s="1495">
        <f t="shared" si="537"/>
        <v>0</v>
      </c>
      <c r="CU365" s="1577">
        <f t="shared" si="538"/>
        <v>0</v>
      </c>
      <c r="CV365" s="1576">
        <f t="shared" si="502"/>
        <v>0</v>
      </c>
      <c r="CW365" s="1495">
        <f t="shared" si="539"/>
        <v>0</v>
      </c>
      <c r="CX365" s="1577">
        <f t="shared" si="540"/>
        <v>0</v>
      </c>
      <c r="CY365" s="1576">
        <f t="shared" si="503"/>
        <v>0</v>
      </c>
      <c r="CZ365" s="1574">
        <f t="shared" si="504"/>
        <v>0</v>
      </c>
      <c r="DA365" s="1578">
        <f t="shared" si="506"/>
        <v>0</v>
      </c>
      <c r="DB365" s="1579">
        <f t="shared" si="507"/>
        <v>0</v>
      </c>
      <c r="DC365" s="1578">
        <f t="shared" si="508"/>
        <v>0</v>
      </c>
      <c r="DD365" s="1578">
        <f t="shared" si="508"/>
        <v>0</v>
      </c>
      <c r="DE365" s="1578">
        <f t="shared" si="508"/>
        <v>0</v>
      </c>
      <c r="DF365" s="1578">
        <f t="shared" si="509"/>
        <v>0</v>
      </c>
      <c r="DG365" s="1420"/>
      <c r="DH365" s="1420"/>
      <c r="DI365" s="1422"/>
      <c r="DJ365" s="1753" t="s">
        <v>1875</v>
      </c>
      <c r="DK365" s="1773" t="s">
        <v>1876</v>
      </c>
      <c r="DL365" s="1428"/>
      <c r="DM365" s="1428"/>
      <c r="DN365" s="1428"/>
      <c r="DO365" s="1428"/>
      <c r="DP365" s="1428"/>
      <c r="DQ365" s="1422"/>
      <c r="DR365" s="1428"/>
      <c r="DS365" s="1428"/>
      <c r="DT365" s="1428"/>
      <c r="DU365" s="1428"/>
      <c r="DV365" s="1428"/>
      <c r="DW365" s="1428"/>
      <c r="DX365" s="1428"/>
      <c r="DY365" s="1428"/>
      <c r="DZ365" s="1428"/>
      <c r="EA365" s="1428"/>
      <c r="EB365" s="1428"/>
      <c r="EC365" s="1428"/>
      <c r="ED365" s="1428"/>
      <c r="EE365" s="1428"/>
      <c r="EF365" s="1428"/>
      <c r="EG365" s="1428"/>
      <c r="EH365" s="1428"/>
      <c r="EI365" s="1428"/>
      <c r="EJ365" s="1428"/>
      <c r="EK365" s="1428"/>
      <c r="EL365" s="1428"/>
      <c r="EM365" s="1428"/>
      <c r="EN365" s="1428"/>
      <c r="EO365" s="1428"/>
      <c r="EP365" s="1428"/>
      <c r="EQ365" s="1428"/>
      <c r="ER365" s="1428"/>
      <c r="ES365" s="1428"/>
      <c r="ET365" s="1428"/>
      <c r="EU365" s="1428"/>
    </row>
    <row r="366" spans="1:151" s="1440" customFormat="1" ht="20.25" customHeight="1">
      <c r="A366" s="1878"/>
      <c r="B366" s="1422"/>
      <c r="C366" s="1422"/>
      <c r="D366" s="1422"/>
      <c r="E366" s="1475"/>
      <c r="F366" s="1475"/>
      <c r="G366" s="1475"/>
      <c r="H366" s="1475"/>
      <c r="I366" s="1475"/>
      <c r="J366" s="1475"/>
      <c r="K366" s="1475"/>
      <c r="L366" s="1475"/>
      <c r="M366" s="1475"/>
      <c r="N366" s="1430"/>
      <c r="O366" s="1430"/>
      <c r="P366" s="1430"/>
      <c r="Q366" s="1879" t="s">
        <v>1972</v>
      </c>
      <c r="R366" s="1879"/>
      <c r="S366" s="1879"/>
      <c r="T366" s="1879"/>
      <c r="U366" s="1879"/>
      <c r="V366" s="1879"/>
      <c r="W366" s="1879"/>
      <c r="X366" s="1879"/>
      <c r="Y366" s="1879"/>
      <c r="Z366" s="1879"/>
      <c r="AA366" s="1879"/>
      <c r="AB366" s="2461" t="s">
        <v>1853</v>
      </c>
      <c r="AC366" s="1880" t="s">
        <v>1973</v>
      </c>
      <c r="AD366" s="1880"/>
      <c r="AE366" s="1880"/>
      <c r="AF366" s="1880"/>
      <c r="AG366" s="1880"/>
      <c r="AH366" s="1880"/>
      <c r="AI366" s="1880"/>
      <c r="AJ366" s="1880"/>
      <c r="AK366" s="1880"/>
      <c r="AL366" s="1880"/>
      <c r="AO366" s="1880"/>
      <c r="AP366" s="1881" t="s">
        <v>1974</v>
      </c>
      <c r="AQ366" s="1882"/>
      <c r="AR366" s="1882"/>
      <c r="AS366" s="1882"/>
      <c r="AT366" s="1882"/>
      <c r="AU366" s="1882"/>
      <c r="AV366" s="1882"/>
      <c r="AW366" s="1882"/>
      <c r="AX366" s="1882"/>
      <c r="AY366" s="1882"/>
      <c r="AZ366" s="1882"/>
      <c r="BA366" s="1882"/>
      <c r="BB366" s="1882"/>
      <c r="BC366" s="1430"/>
      <c r="BD366" s="1422"/>
      <c r="BE366" s="1571" t="s">
        <v>1219</v>
      </c>
      <c r="BF366" s="1436">
        <v>23</v>
      </c>
      <c r="BG366" s="1436">
        <v>13</v>
      </c>
      <c r="BH366" s="1436">
        <v>1</v>
      </c>
      <c r="BI366" s="1495" t="b">
        <f t="shared" si="505"/>
        <v>1</v>
      </c>
      <c r="BJ366" s="1450" t="b">
        <f t="shared" si="515"/>
        <v>0</v>
      </c>
      <c r="BK366" s="1572">
        <f t="shared" si="516"/>
        <v>0</v>
      </c>
      <c r="BL366" s="1581">
        <f>IF(SUM(BL$354:BL365,BK366)&gt;$BU$4,0,BK366)</f>
        <v>0</v>
      </c>
      <c r="BM366" s="1436">
        <f t="shared" si="490"/>
        <v>0</v>
      </c>
      <c r="BN366" s="1495">
        <f t="shared" si="491"/>
        <v>0</v>
      </c>
      <c r="BO366" s="1437">
        <f t="shared" si="510"/>
        <v>0</v>
      </c>
      <c r="BP366" s="1574">
        <f t="shared" si="517"/>
        <v>0</v>
      </c>
      <c r="BQ366" s="1577">
        <f t="shared" si="518"/>
        <v>0</v>
      </c>
      <c r="BR366" s="1576">
        <f t="shared" si="492"/>
        <v>0</v>
      </c>
      <c r="BS366" s="1574">
        <f t="shared" si="519"/>
        <v>0</v>
      </c>
      <c r="BT366" s="1577">
        <f t="shared" si="520"/>
        <v>0</v>
      </c>
      <c r="BU366" s="1576">
        <f t="shared" si="493"/>
        <v>0</v>
      </c>
      <c r="BV366" s="1574">
        <f t="shared" si="521"/>
        <v>0</v>
      </c>
      <c r="BW366" s="1577">
        <f t="shared" si="522"/>
        <v>0</v>
      </c>
      <c r="BX366" s="1576">
        <f t="shared" si="494"/>
        <v>0</v>
      </c>
      <c r="BY366" s="1574">
        <f t="shared" si="523"/>
        <v>0</v>
      </c>
      <c r="BZ366" s="1577">
        <f t="shared" si="524"/>
        <v>0</v>
      </c>
      <c r="CA366" s="1576">
        <f t="shared" si="495"/>
        <v>0</v>
      </c>
      <c r="CB366" s="1495">
        <f t="shared" si="525"/>
        <v>0</v>
      </c>
      <c r="CC366" s="1577">
        <f t="shared" si="526"/>
        <v>0</v>
      </c>
      <c r="CD366" s="1576">
        <f t="shared" si="496"/>
        <v>0</v>
      </c>
      <c r="CE366" s="1495">
        <f t="shared" si="527"/>
        <v>0</v>
      </c>
      <c r="CF366" s="1577">
        <f t="shared" si="528"/>
        <v>0</v>
      </c>
      <c r="CG366" s="1576">
        <f t="shared" si="497"/>
        <v>0</v>
      </c>
      <c r="CH366" s="1495">
        <f t="shared" si="529"/>
        <v>0</v>
      </c>
      <c r="CI366" s="1577">
        <f t="shared" si="530"/>
        <v>0</v>
      </c>
      <c r="CJ366" s="1576">
        <f t="shared" si="498"/>
        <v>0</v>
      </c>
      <c r="CK366" s="1495">
        <f t="shared" si="531"/>
        <v>0</v>
      </c>
      <c r="CL366" s="1577">
        <f t="shared" si="532"/>
        <v>0</v>
      </c>
      <c r="CM366" s="1576">
        <f t="shared" si="499"/>
        <v>0</v>
      </c>
      <c r="CN366" s="1495">
        <f t="shared" si="533"/>
        <v>0</v>
      </c>
      <c r="CO366" s="1577">
        <f t="shared" si="534"/>
        <v>0</v>
      </c>
      <c r="CP366" s="1576">
        <f t="shared" si="500"/>
        <v>0</v>
      </c>
      <c r="CQ366" s="1495">
        <f t="shared" si="535"/>
        <v>0</v>
      </c>
      <c r="CR366" s="1577">
        <f t="shared" si="536"/>
        <v>0</v>
      </c>
      <c r="CS366" s="1576">
        <f t="shared" si="501"/>
        <v>0</v>
      </c>
      <c r="CT366" s="1495">
        <f t="shared" si="537"/>
        <v>0</v>
      </c>
      <c r="CU366" s="1577">
        <f t="shared" si="538"/>
        <v>0</v>
      </c>
      <c r="CV366" s="1576">
        <f t="shared" si="502"/>
        <v>0</v>
      </c>
      <c r="CW366" s="1495">
        <f t="shared" si="539"/>
        <v>0</v>
      </c>
      <c r="CX366" s="1577">
        <f t="shared" si="540"/>
        <v>0</v>
      </c>
      <c r="CY366" s="1576">
        <f t="shared" si="503"/>
        <v>0</v>
      </c>
      <c r="CZ366" s="1574">
        <f t="shared" si="504"/>
        <v>0</v>
      </c>
      <c r="DA366" s="1578">
        <f t="shared" si="506"/>
        <v>0</v>
      </c>
      <c r="DB366" s="1579">
        <f t="shared" si="507"/>
        <v>0</v>
      </c>
      <c r="DC366" s="1578">
        <f t="shared" si="508"/>
        <v>0</v>
      </c>
      <c r="DD366" s="1578">
        <f t="shared" si="508"/>
        <v>0</v>
      </c>
      <c r="DE366" s="1578">
        <f t="shared" si="508"/>
        <v>0</v>
      </c>
      <c r="DF366" s="1578">
        <f t="shared" si="509"/>
        <v>0</v>
      </c>
      <c r="DG366" s="1420"/>
      <c r="DH366" s="1420"/>
      <c r="DI366" s="1422"/>
      <c r="DJ366" s="1753" t="s">
        <v>1877</v>
      </c>
      <c r="DK366" s="1773"/>
      <c r="DL366" s="1428"/>
      <c r="DM366" s="1428"/>
      <c r="DN366" s="1428"/>
      <c r="DO366" s="1428"/>
      <c r="DP366" s="1428"/>
      <c r="DQ366" s="1422"/>
      <c r="DR366" s="1428"/>
      <c r="DS366" s="1428"/>
      <c r="DT366" s="1428"/>
      <c r="DU366" s="1428"/>
      <c r="DV366" s="1428"/>
      <c r="DW366" s="1428"/>
      <c r="DX366" s="1428"/>
      <c r="DY366" s="1428"/>
      <c r="DZ366" s="1428"/>
      <c r="EA366" s="1428"/>
      <c r="EB366" s="1428"/>
      <c r="EC366" s="1428"/>
      <c r="ED366" s="1428"/>
      <c r="EE366" s="1428"/>
      <c r="EF366" s="1428"/>
      <c r="EG366" s="1428"/>
      <c r="EH366" s="1428"/>
      <c r="EI366" s="1428"/>
      <c r="EJ366" s="1428"/>
      <c r="EK366" s="1428"/>
      <c r="EL366" s="1428"/>
      <c r="EM366" s="1428"/>
      <c r="EN366" s="1428"/>
      <c r="EO366" s="1428"/>
      <c r="EP366" s="1428"/>
      <c r="EQ366" s="1428"/>
      <c r="ER366" s="1428"/>
      <c r="ES366" s="1428"/>
      <c r="ET366" s="1428"/>
      <c r="EU366" s="1428"/>
    </row>
    <row r="367" spans="1:151" s="1440" customFormat="1" ht="15" customHeight="1">
      <c r="A367" s="1883"/>
      <c r="B367" s="1611" t="s">
        <v>1848</v>
      </c>
      <c r="C367" s="1448"/>
      <c r="D367" s="1448"/>
      <c r="E367" s="1448"/>
      <c r="F367" s="1448"/>
      <c r="G367" s="1448"/>
      <c r="H367" s="1448"/>
      <c r="I367" s="1448"/>
      <c r="J367" s="1448"/>
      <c r="K367" s="1448"/>
      <c r="L367" s="1448"/>
      <c r="M367" s="1448"/>
      <c r="N367" s="1430"/>
      <c r="O367" s="1430"/>
      <c r="P367" s="1430"/>
      <c r="Q367" s="1425" t="s">
        <v>1540</v>
      </c>
      <c r="R367" s="1425" t="s">
        <v>457</v>
      </c>
      <c r="S367" s="1425" t="s">
        <v>1851</v>
      </c>
      <c r="T367" s="1425" t="s">
        <v>1542</v>
      </c>
      <c r="U367" s="1425" t="s">
        <v>1473</v>
      </c>
      <c r="V367" s="1425" t="s">
        <v>1852</v>
      </c>
      <c r="W367" s="1425" t="str">
        <f>B381</f>
        <v>Laundry Facilities</v>
      </c>
      <c r="X367" s="1425" t="str">
        <f>B382</f>
        <v>Large Kitchens</v>
      </c>
      <c r="Y367" s="1425" t="str">
        <f>B383</f>
        <v>{Other Water Use 1}</v>
      </c>
      <c r="Z367" s="1425" t="str">
        <f>B384</f>
        <v>{Other Water Use 2}</v>
      </c>
      <c r="AA367" s="1425" t="str">
        <f>B385</f>
        <v>{Other Water Use 3}</v>
      </c>
      <c r="AB367" s="2461"/>
      <c r="AC367" s="1596" t="s">
        <v>1540</v>
      </c>
      <c r="AD367" s="1596" t="s">
        <v>457</v>
      </c>
      <c r="AE367" s="1596" t="s">
        <v>1851</v>
      </c>
      <c r="AF367" s="1596" t="s">
        <v>1542</v>
      </c>
      <c r="AG367" s="1596" t="s">
        <v>1473</v>
      </c>
      <c r="AH367" s="1596" t="s">
        <v>459</v>
      </c>
      <c r="AI367" s="1596" t="s">
        <v>1854</v>
      </c>
      <c r="AJ367" s="1596" t="str">
        <f>B396</f>
        <v>Laundry Facilities</v>
      </c>
      <c r="AK367" s="1596" t="str">
        <f>B397</f>
        <v>Large Kitchens</v>
      </c>
      <c r="AL367" s="1596" t="str">
        <f>B398</f>
        <v>{Other Water Use 1}</v>
      </c>
      <c r="AM367" s="1596" t="str">
        <f>B399</f>
        <v>{Other Water Use 2}</v>
      </c>
      <c r="AN367" s="1596" t="str">
        <f>B400</f>
        <v>{Other Water Use 3}</v>
      </c>
      <c r="AO367" s="1425" t="s">
        <v>1855</v>
      </c>
      <c r="AP367" s="1425" t="s">
        <v>1856</v>
      </c>
      <c r="AQ367" s="1596" t="s">
        <v>1857</v>
      </c>
      <c r="AR367" s="1596" t="s">
        <v>1858</v>
      </c>
      <c r="AS367" s="1596" t="s">
        <v>1859</v>
      </c>
      <c r="AT367" s="1596" t="s">
        <v>1860</v>
      </c>
      <c r="AU367" s="1596" t="s">
        <v>1861</v>
      </c>
      <c r="AV367" s="1596" t="s">
        <v>1862</v>
      </c>
      <c r="AW367" s="1596" t="s">
        <v>1863</v>
      </c>
      <c r="AX367" s="1596" t="s">
        <v>2301</v>
      </c>
      <c r="AY367" s="1596" t="s">
        <v>2302</v>
      </c>
      <c r="AZ367" s="1596" t="str">
        <f>AL367&amp;" demand reduction by greywater"</f>
        <v>{Other Water Use 1} demand reduction by greywater</v>
      </c>
      <c r="BA367" s="1596" t="str">
        <f>AM367&amp;" demand reduction by greywater"</f>
        <v>{Other Water Use 2} demand reduction by greywater</v>
      </c>
      <c r="BB367" s="1596" t="str">
        <f>AN367&amp;" demand reduction by greywater"</f>
        <v>{Other Water Use 3} demand reduction by greywater</v>
      </c>
      <c r="BC367" s="1430"/>
      <c r="BD367" s="1422"/>
      <c r="BE367" s="1571" t="s">
        <v>1219</v>
      </c>
      <c r="BF367" s="1436">
        <v>23</v>
      </c>
      <c r="BG367" s="1436">
        <v>14</v>
      </c>
      <c r="BH367" s="1436">
        <v>2</v>
      </c>
      <c r="BI367" s="1495" t="b">
        <f t="shared" si="505"/>
        <v>1</v>
      </c>
      <c r="BJ367" s="1450" t="b">
        <f t="shared" si="515"/>
        <v>0</v>
      </c>
      <c r="BK367" s="1572">
        <f t="shared" si="516"/>
        <v>0</v>
      </c>
      <c r="BL367" s="1581">
        <f>IF(SUM(BL$354:BL366,BK367)&gt;$BU$4,0,BK367)</f>
        <v>0</v>
      </c>
      <c r="BM367" s="1436">
        <f t="shared" si="490"/>
        <v>0</v>
      </c>
      <c r="BN367" s="1495">
        <f t="shared" si="491"/>
        <v>0</v>
      </c>
      <c r="BO367" s="1437">
        <f t="shared" si="510"/>
        <v>0</v>
      </c>
      <c r="BP367" s="1574">
        <f t="shared" si="517"/>
        <v>0</v>
      </c>
      <c r="BQ367" s="1577">
        <f t="shared" si="518"/>
        <v>0</v>
      </c>
      <c r="BR367" s="1576">
        <f t="shared" si="492"/>
        <v>0</v>
      </c>
      <c r="BS367" s="1574">
        <f t="shared" si="519"/>
        <v>0</v>
      </c>
      <c r="BT367" s="1577">
        <f t="shared" si="520"/>
        <v>0</v>
      </c>
      <c r="BU367" s="1576">
        <f t="shared" si="493"/>
        <v>0</v>
      </c>
      <c r="BV367" s="1574">
        <f t="shared" si="521"/>
        <v>0</v>
      </c>
      <c r="BW367" s="1577">
        <f t="shared" si="522"/>
        <v>0</v>
      </c>
      <c r="BX367" s="1576">
        <f t="shared" si="494"/>
        <v>0</v>
      </c>
      <c r="BY367" s="1574">
        <f t="shared" si="523"/>
        <v>0</v>
      </c>
      <c r="BZ367" s="1577">
        <f t="shared" si="524"/>
        <v>0</v>
      </c>
      <c r="CA367" s="1576">
        <f t="shared" si="495"/>
        <v>0</v>
      </c>
      <c r="CB367" s="1495">
        <f t="shared" si="525"/>
        <v>0</v>
      </c>
      <c r="CC367" s="1577">
        <f t="shared" si="526"/>
        <v>0</v>
      </c>
      <c r="CD367" s="1576">
        <f t="shared" si="496"/>
        <v>0</v>
      </c>
      <c r="CE367" s="1495">
        <f t="shared" si="527"/>
        <v>0</v>
      </c>
      <c r="CF367" s="1577">
        <f t="shared" si="528"/>
        <v>0</v>
      </c>
      <c r="CG367" s="1576">
        <f t="shared" si="497"/>
        <v>0</v>
      </c>
      <c r="CH367" s="1495">
        <f t="shared" si="529"/>
        <v>0</v>
      </c>
      <c r="CI367" s="1577">
        <f t="shared" si="530"/>
        <v>0</v>
      </c>
      <c r="CJ367" s="1576">
        <f t="shared" si="498"/>
        <v>0</v>
      </c>
      <c r="CK367" s="1495">
        <f t="shared" si="531"/>
        <v>0</v>
      </c>
      <c r="CL367" s="1577">
        <f t="shared" si="532"/>
        <v>0</v>
      </c>
      <c r="CM367" s="1576">
        <f t="shared" si="499"/>
        <v>0</v>
      </c>
      <c r="CN367" s="1495">
        <f t="shared" si="533"/>
        <v>0</v>
      </c>
      <c r="CO367" s="1577">
        <f t="shared" si="534"/>
        <v>0</v>
      </c>
      <c r="CP367" s="1576">
        <f t="shared" si="500"/>
        <v>0</v>
      </c>
      <c r="CQ367" s="1495">
        <f t="shared" si="535"/>
        <v>0</v>
      </c>
      <c r="CR367" s="1577">
        <f t="shared" si="536"/>
        <v>0</v>
      </c>
      <c r="CS367" s="1576">
        <f t="shared" si="501"/>
        <v>0</v>
      </c>
      <c r="CT367" s="1495">
        <f t="shared" si="537"/>
        <v>0</v>
      </c>
      <c r="CU367" s="1577">
        <f t="shared" si="538"/>
        <v>0</v>
      </c>
      <c r="CV367" s="1576">
        <f t="shared" si="502"/>
        <v>0</v>
      </c>
      <c r="CW367" s="1495">
        <f t="shared" si="539"/>
        <v>0</v>
      </c>
      <c r="CX367" s="1577">
        <f t="shared" si="540"/>
        <v>0</v>
      </c>
      <c r="CY367" s="1576">
        <f t="shared" si="503"/>
        <v>0</v>
      </c>
      <c r="CZ367" s="1574">
        <f t="shared" si="504"/>
        <v>0</v>
      </c>
      <c r="DA367" s="1578">
        <f t="shared" si="506"/>
        <v>0</v>
      </c>
      <c r="DB367" s="1579">
        <f t="shared" si="507"/>
        <v>0</v>
      </c>
      <c r="DC367" s="1578">
        <f t="shared" si="508"/>
        <v>0</v>
      </c>
      <c r="DD367" s="1578">
        <f t="shared" si="508"/>
        <v>0</v>
      </c>
      <c r="DE367" s="1578">
        <f t="shared" si="508"/>
        <v>0</v>
      </c>
      <c r="DF367" s="1578">
        <f t="shared" si="509"/>
        <v>0</v>
      </c>
      <c r="DG367" s="1420"/>
      <c r="DH367" s="1420"/>
      <c r="DI367" s="1422"/>
      <c r="DJ367" s="1884" t="s">
        <v>1881</v>
      </c>
      <c r="DK367" s="1773">
        <v>0.9</v>
      </c>
      <c r="DL367" s="1428"/>
      <c r="DM367" s="1428"/>
      <c r="DN367" s="1428"/>
      <c r="DO367" s="1428"/>
      <c r="DP367" s="1428"/>
      <c r="DQ367" s="1422"/>
      <c r="DR367" s="1428"/>
      <c r="DS367" s="1428"/>
      <c r="DT367" s="1428"/>
      <c r="DU367" s="1428"/>
      <c r="DV367" s="1428"/>
      <c r="DW367" s="1428"/>
      <c r="DX367" s="1428"/>
      <c r="DY367" s="1428"/>
      <c r="DZ367" s="1428"/>
      <c r="EA367" s="1428"/>
      <c r="EB367" s="1428"/>
      <c r="EC367" s="1428"/>
      <c r="ED367" s="1428"/>
      <c r="EE367" s="1428"/>
      <c r="EF367" s="1428"/>
      <c r="EG367" s="1428"/>
      <c r="EH367" s="1428"/>
      <c r="EI367" s="1428"/>
      <c r="EJ367" s="1428"/>
      <c r="EK367" s="1428"/>
      <c r="EL367" s="1428"/>
      <c r="EM367" s="1428"/>
      <c r="EN367" s="1428"/>
      <c r="EO367" s="1428"/>
      <c r="EP367" s="1428"/>
      <c r="EQ367" s="1428"/>
      <c r="ER367" s="1428"/>
      <c r="ES367" s="1428"/>
      <c r="ET367" s="1428"/>
      <c r="EU367" s="1428"/>
    </row>
    <row r="368" spans="1:151" s="1440" customFormat="1" ht="15" customHeight="1">
      <c r="A368" s="1504"/>
      <c r="B368" s="1688" t="s">
        <v>2329</v>
      </c>
      <c r="C368" s="1748"/>
      <c r="D368" s="1458"/>
      <c r="E368" s="1458"/>
      <c r="F368" s="1458"/>
      <c r="G368" s="1748"/>
      <c r="H368" s="1748"/>
      <c r="I368" s="1748"/>
      <c r="J368" s="1748"/>
      <c r="K368" s="1748"/>
      <c r="L368" s="1748"/>
      <c r="M368" s="1748"/>
      <c r="N368" s="1430"/>
      <c r="O368" s="1430"/>
      <c r="P368" s="1430"/>
      <c r="Q368" s="1436" t="b">
        <f>C375=$N$418</f>
        <v>0</v>
      </c>
      <c r="R368" s="1436" t="b">
        <f>C376=$N$418</f>
        <v>0</v>
      </c>
      <c r="S368" s="1436" t="b">
        <f>C377=$N$418</f>
        <v>0</v>
      </c>
      <c r="T368" s="1436" t="b">
        <f>C378=$N$418</f>
        <v>0</v>
      </c>
      <c r="U368" s="1436" t="b">
        <f>C379=$N$418</f>
        <v>0</v>
      </c>
      <c r="V368" s="1436" t="b">
        <f>C380=$N$418</f>
        <v>0</v>
      </c>
      <c r="W368" s="1436" t="b">
        <f>C381=$N$418</f>
        <v>0</v>
      </c>
      <c r="X368" s="1436" t="b">
        <f>C382=$N$418</f>
        <v>0</v>
      </c>
      <c r="Y368" s="1436" t="b">
        <f>C383=$N$418</f>
        <v>0</v>
      </c>
      <c r="Z368" s="1436" t="b">
        <f>C384=$N$418</f>
        <v>0</v>
      </c>
      <c r="AA368" s="1436" t="b">
        <f>C385=$N$418</f>
        <v>0</v>
      </c>
      <c r="AB368" s="1436"/>
      <c r="AC368" s="1436"/>
      <c r="AD368" s="1436"/>
      <c r="AE368" s="1436"/>
      <c r="AF368" s="1436"/>
      <c r="AG368" s="1436"/>
      <c r="AH368" s="1436"/>
      <c r="AI368" s="1436"/>
      <c r="AJ368" s="1436"/>
      <c r="AK368" s="1436"/>
      <c r="AL368" s="1436"/>
      <c r="AM368" s="1436"/>
      <c r="AN368" s="1436"/>
      <c r="AO368" s="1436"/>
      <c r="AP368" s="1430"/>
      <c r="AQ368" s="1436"/>
      <c r="AR368" s="1436"/>
      <c r="AS368" s="1436"/>
      <c r="AT368" s="1436"/>
      <c r="AU368" s="1436"/>
      <c r="AV368" s="1436"/>
      <c r="AW368" s="1436"/>
      <c r="AX368" s="1436"/>
      <c r="AY368" s="1436"/>
      <c r="AZ368" s="1436"/>
      <c r="BA368" s="1436"/>
      <c r="BB368" s="1436"/>
      <c r="BC368" s="1430"/>
      <c r="BD368" s="1422"/>
      <c r="BE368" s="1571" t="s">
        <v>1219</v>
      </c>
      <c r="BF368" s="1436">
        <v>23</v>
      </c>
      <c r="BG368" s="1436">
        <v>15</v>
      </c>
      <c r="BH368" s="1436">
        <v>3</v>
      </c>
      <c r="BI368" s="1495" t="b">
        <f t="shared" si="505"/>
        <v>1</v>
      </c>
      <c r="BJ368" s="1450" t="b">
        <f t="shared" si="515"/>
        <v>1</v>
      </c>
      <c r="BK368" s="1572">
        <f t="shared" si="516"/>
        <v>7.3636363636363633</v>
      </c>
      <c r="BL368" s="1581">
        <f>IF(SUM(BL$354:BL367,BK368)&gt;$BU$4,0,BK368)</f>
        <v>7.3636363636363633</v>
      </c>
      <c r="BM368" s="1436">
        <f t="shared" si="490"/>
        <v>0</v>
      </c>
      <c r="BN368" s="1495">
        <f t="shared" si="491"/>
        <v>0</v>
      </c>
      <c r="BO368" s="1437">
        <f t="shared" si="510"/>
        <v>0</v>
      </c>
      <c r="BP368" s="1574">
        <f t="shared" si="517"/>
        <v>0</v>
      </c>
      <c r="BQ368" s="1577">
        <f t="shared" si="518"/>
        <v>0</v>
      </c>
      <c r="BR368" s="1576">
        <f t="shared" si="492"/>
        <v>0</v>
      </c>
      <c r="BS368" s="1574">
        <f t="shared" si="519"/>
        <v>0</v>
      </c>
      <c r="BT368" s="1577">
        <f t="shared" si="520"/>
        <v>0</v>
      </c>
      <c r="BU368" s="1576">
        <f t="shared" si="493"/>
        <v>0</v>
      </c>
      <c r="BV368" s="1574">
        <f t="shared" si="521"/>
        <v>0</v>
      </c>
      <c r="BW368" s="1577">
        <f t="shared" si="522"/>
        <v>0</v>
      </c>
      <c r="BX368" s="1576">
        <f t="shared" si="494"/>
        <v>0</v>
      </c>
      <c r="BY368" s="1574">
        <f t="shared" si="523"/>
        <v>0</v>
      </c>
      <c r="BZ368" s="1577">
        <f t="shared" si="524"/>
        <v>0</v>
      </c>
      <c r="CA368" s="1576">
        <f t="shared" si="495"/>
        <v>0</v>
      </c>
      <c r="CB368" s="1495">
        <f t="shared" si="525"/>
        <v>0</v>
      </c>
      <c r="CC368" s="1577">
        <f t="shared" si="526"/>
        <v>0</v>
      </c>
      <c r="CD368" s="1576">
        <f t="shared" si="496"/>
        <v>0</v>
      </c>
      <c r="CE368" s="1495">
        <f t="shared" si="527"/>
        <v>0</v>
      </c>
      <c r="CF368" s="1577">
        <f t="shared" si="528"/>
        <v>0</v>
      </c>
      <c r="CG368" s="1576">
        <f t="shared" si="497"/>
        <v>0</v>
      </c>
      <c r="CH368" s="1495">
        <f t="shared" si="529"/>
        <v>0</v>
      </c>
      <c r="CI368" s="1577">
        <f t="shared" si="530"/>
        <v>0</v>
      </c>
      <c r="CJ368" s="1576">
        <f t="shared" si="498"/>
        <v>0</v>
      </c>
      <c r="CK368" s="1495">
        <f t="shared" si="531"/>
        <v>0</v>
      </c>
      <c r="CL368" s="1577">
        <f t="shared" si="532"/>
        <v>0</v>
      </c>
      <c r="CM368" s="1576">
        <f t="shared" si="499"/>
        <v>0</v>
      </c>
      <c r="CN368" s="1495">
        <f t="shared" si="533"/>
        <v>0</v>
      </c>
      <c r="CO368" s="1577">
        <f t="shared" si="534"/>
        <v>0</v>
      </c>
      <c r="CP368" s="1576">
        <f t="shared" si="500"/>
        <v>0</v>
      </c>
      <c r="CQ368" s="1495">
        <f t="shared" si="535"/>
        <v>0</v>
      </c>
      <c r="CR368" s="1577">
        <f t="shared" si="536"/>
        <v>0</v>
      </c>
      <c r="CS368" s="1576">
        <f t="shared" si="501"/>
        <v>0</v>
      </c>
      <c r="CT368" s="1495">
        <f t="shared" si="537"/>
        <v>0</v>
      </c>
      <c r="CU368" s="1577">
        <f t="shared" si="538"/>
        <v>0</v>
      </c>
      <c r="CV368" s="1576">
        <f t="shared" si="502"/>
        <v>0</v>
      </c>
      <c r="CW368" s="1495">
        <f t="shared" si="539"/>
        <v>0</v>
      </c>
      <c r="CX368" s="1577">
        <f t="shared" si="540"/>
        <v>0</v>
      </c>
      <c r="CY368" s="1576">
        <f t="shared" si="503"/>
        <v>0</v>
      </c>
      <c r="CZ368" s="1574">
        <f t="shared" si="504"/>
        <v>0</v>
      </c>
      <c r="DA368" s="1578">
        <f t="shared" si="506"/>
        <v>0</v>
      </c>
      <c r="DB368" s="1579">
        <f t="shared" si="507"/>
        <v>0</v>
      </c>
      <c r="DC368" s="1578">
        <f t="shared" si="508"/>
        <v>0</v>
      </c>
      <c r="DD368" s="1578">
        <f t="shared" si="508"/>
        <v>0</v>
      </c>
      <c r="DE368" s="1578">
        <f t="shared" si="508"/>
        <v>0</v>
      </c>
      <c r="DF368" s="1578">
        <f t="shared" si="509"/>
        <v>0</v>
      </c>
      <c r="DG368" s="1420"/>
      <c r="DH368" s="1420"/>
      <c r="DI368" s="1422"/>
      <c r="DJ368" s="1884" t="s">
        <v>1883</v>
      </c>
      <c r="DK368" s="1773">
        <v>0.9</v>
      </c>
      <c r="DL368" s="1428"/>
      <c r="DM368" s="1428"/>
      <c r="DN368" s="1428"/>
      <c r="DO368" s="1428"/>
      <c r="DP368" s="1428"/>
      <c r="DQ368" s="1422"/>
      <c r="DR368" s="1428"/>
      <c r="DS368" s="1428"/>
      <c r="DT368" s="1428"/>
      <c r="DU368" s="1428"/>
      <c r="DV368" s="1428"/>
      <c r="DW368" s="1428"/>
      <c r="DX368" s="1428"/>
      <c r="DY368" s="1428"/>
      <c r="DZ368" s="1428"/>
      <c r="EA368" s="1428"/>
      <c r="EB368" s="1428"/>
      <c r="EC368" s="1428"/>
      <c r="ED368" s="1428"/>
      <c r="EE368" s="1428"/>
      <c r="EF368" s="1428"/>
      <c r="EG368" s="1428"/>
      <c r="EH368" s="1428"/>
      <c r="EI368" s="1428"/>
      <c r="EJ368" s="1428"/>
      <c r="EK368" s="1428"/>
      <c r="EL368" s="1428"/>
      <c r="EM368" s="1428"/>
      <c r="EN368" s="1428"/>
      <c r="EO368" s="1428"/>
      <c r="EP368" s="1428"/>
      <c r="EQ368" s="1428"/>
      <c r="ER368" s="1428"/>
      <c r="ES368" s="1428"/>
      <c r="ET368" s="1428"/>
      <c r="EU368" s="1428"/>
    </row>
    <row r="369" spans="1:151" s="1440" customFormat="1" ht="15" customHeight="1">
      <c r="A369" s="1504"/>
      <c r="B369" s="1764" t="s">
        <v>1849</v>
      </c>
      <c r="C369" s="1586"/>
      <c r="D369" s="1586"/>
      <c r="E369" s="1735" t="s">
        <v>588</v>
      </c>
      <c r="F369" s="1475"/>
      <c r="G369" s="1475"/>
      <c r="H369" s="1475"/>
      <c r="I369" s="1475"/>
      <c r="J369" s="1475"/>
      <c r="K369" s="1475"/>
      <c r="L369" s="1475"/>
      <c r="M369" s="1475"/>
      <c r="N369" s="1430"/>
      <c r="O369" s="1430"/>
      <c r="P369" s="1640" t="s">
        <v>800</v>
      </c>
      <c r="Q369" s="1436">
        <f t="shared" ref="Q369:Q380" si="541">Q334*$E$375*Q$368</f>
        <v>0</v>
      </c>
      <c r="R369" s="1436">
        <f t="shared" ref="R369:R380" si="542">R334*$E$376*R$368</f>
        <v>0</v>
      </c>
      <c r="S369" s="1436">
        <f t="shared" ref="S369:S380" si="543">S334*$E$377*S$368</f>
        <v>0</v>
      </c>
      <c r="T369" s="1436">
        <f t="shared" ref="T369:T380" si="544">T334*$E$378*T$368</f>
        <v>0</v>
      </c>
      <c r="U369" s="1436">
        <f t="shared" ref="U369:U380" si="545">V334*$E$379*U$368</f>
        <v>0</v>
      </c>
      <c r="V369" s="1495">
        <f t="shared" ref="V369:V380" si="546">SUM(R225:S225)*$E$380*V$368</f>
        <v>0</v>
      </c>
      <c r="W369" s="1495">
        <f t="shared" ref="W369:W380" si="547">Z334*$E$381*W$368</f>
        <v>0</v>
      </c>
      <c r="X369" s="1495">
        <f t="shared" ref="X369:X380" si="548">AA334*$E$382*X$368</f>
        <v>0</v>
      </c>
      <c r="Y369" s="1495">
        <f t="shared" ref="Y369:Y380" si="549">AB334*$E$383*Y$368</f>
        <v>0</v>
      </c>
      <c r="Z369" s="1495">
        <f t="shared" ref="Z369:Z380" si="550">AC334*$E$384*Z$368</f>
        <v>0</v>
      </c>
      <c r="AA369" s="1495">
        <f t="shared" ref="AA369:AA380" si="551">AD334*$E$385*AA$368</f>
        <v>0</v>
      </c>
      <c r="AB369" s="1885">
        <f t="shared" ref="AB369:AB380" si="552">SUM(Q369:AA369)*$N$387</f>
        <v>0</v>
      </c>
      <c r="AC369" s="1482">
        <f t="shared" ref="AC369:AC380" si="553">$C$389*Q334</f>
        <v>0</v>
      </c>
      <c r="AD369" s="1482">
        <f t="shared" ref="AD369:AD380" si="554">$C$390*R334</f>
        <v>0</v>
      </c>
      <c r="AE369" s="1482">
        <f t="shared" ref="AE369:AE380" si="555">$C$391*S334</f>
        <v>0</v>
      </c>
      <c r="AF369" s="1482">
        <f t="shared" ref="AF369:AF380" si="556">$C$392*T334</f>
        <v>0</v>
      </c>
      <c r="AG369" s="1482">
        <f t="shared" ref="AG369:AG380" si="557">$C$393*W334</f>
        <v>0</v>
      </c>
      <c r="AH369" s="1482">
        <f t="shared" ref="AH369:AH380" si="558">$C$394*X334</f>
        <v>0</v>
      </c>
      <c r="AI369" s="1482">
        <f t="shared" ref="AI369:AI380" si="559">$C$395*Y334</f>
        <v>0</v>
      </c>
      <c r="AJ369" s="1482">
        <f t="shared" ref="AJ369:AJ380" si="560">$C$396*Z334</f>
        <v>0</v>
      </c>
      <c r="AK369" s="1482">
        <f t="shared" ref="AK369:AK380" si="561">$C$397*AA334</f>
        <v>0</v>
      </c>
      <c r="AL369" s="1482">
        <f t="shared" ref="AL369:AL380" si="562">$C$398*AB334</f>
        <v>0</v>
      </c>
      <c r="AM369" s="1482">
        <f t="shared" ref="AM369:AM380" si="563">$C$399*AC334</f>
        <v>0</v>
      </c>
      <c r="AN369" s="1482">
        <f t="shared" ref="AN369:AN380" si="564">$C$400*AD334</f>
        <v>0</v>
      </c>
      <c r="AO369" s="1886">
        <f>SUM(AC369:AN369)</f>
        <v>0</v>
      </c>
      <c r="AP369" s="1887">
        <f t="shared" ref="AP369:AP380" si="565">MIN(AO369,AB369)</f>
        <v>0</v>
      </c>
      <c r="AQ369" s="1482">
        <f t="shared" ref="AQ369:BB380" si="566">IFERROR($AP369/$AO369*AC369,0)</f>
        <v>0</v>
      </c>
      <c r="AR369" s="1482">
        <f t="shared" si="566"/>
        <v>0</v>
      </c>
      <c r="AS369" s="1482">
        <f t="shared" si="566"/>
        <v>0</v>
      </c>
      <c r="AT369" s="1482">
        <f t="shared" si="566"/>
        <v>0</v>
      </c>
      <c r="AU369" s="1482">
        <f t="shared" si="566"/>
        <v>0</v>
      </c>
      <c r="AV369" s="1482">
        <f t="shared" si="566"/>
        <v>0</v>
      </c>
      <c r="AW369" s="1482">
        <f t="shared" si="566"/>
        <v>0</v>
      </c>
      <c r="AX369" s="1482">
        <f t="shared" si="566"/>
        <v>0</v>
      </c>
      <c r="AY369" s="1482">
        <f t="shared" si="566"/>
        <v>0</v>
      </c>
      <c r="AZ369" s="1482">
        <f t="shared" si="566"/>
        <v>0</v>
      </c>
      <c r="BA369" s="1482">
        <f t="shared" si="566"/>
        <v>0</v>
      </c>
      <c r="BB369" s="1482">
        <f t="shared" si="566"/>
        <v>0</v>
      </c>
      <c r="BC369" s="1430"/>
      <c r="BD369" s="1422"/>
      <c r="BE369" s="1571" t="s">
        <v>1219</v>
      </c>
      <c r="BF369" s="1436">
        <v>23</v>
      </c>
      <c r="BG369" s="1436">
        <v>16</v>
      </c>
      <c r="BH369" s="1436">
        <v>4</v>
      </c>
      <c r="BI369" s="1495" t="b">
        <f t="shared" si="505"/>
        <v>1</v>
      </c>
      <c r="BJ369" s="1450" t="b">
        <f t="shared" si="515"/>
        <v>0</v>
      </c>
      <c r="BK369" s="1572">
        <f t="shared" si="516"/>
        <v>0</v>
      </c>
      <c r="BL369" s="1581">
        <f>IF(SUM(BL$354:BL368,BK369)&gt;$BU$4,0,BK369)</f>
        <v>0</v>
      </c>
      <c r="BM369" s="1436">
        <f t="shared" si="490"/>
        <v>0</v>
      </c>
      <c r="BN369" s="1495">
        <f t="shared" si="491"/>
        <v>0</v>
      </c>
      <c r="BO369" s="1437">
        <f t="shared" si="510"/>
        <v>0</v>
      </c>
      <c r="BP369" s="1574">
        <f t="shared" si="517"/>
        <v>0</v>
      </c>
      <c r="BQ369" s="1577">
        <f t="shared" si="518"/>
        <v>0</v>
      </c>
      <c r="BR369" s="1576">
        <f t="shared" si="492"/>
        <v>0</v>
      </c>
      <c r="BS369" s="1574">
        <f t="shared" si="519"/>
        <v>0</v>
      </c>
      <c r="BT369" s="1577">
        <f t="shared" si="520"/>
        <v>0</v>
      </c>
      <c r="BU369" s="1576">
        <f t="shared" si="493"/>
        <v>0</v>
      </c>
      <c r="BV369" s="1574">
        <f t="shared" si="521"/>
        <v>0</v>
      </c>
      <c r="BW369" s="1577">
        <f t="shared" si="522"/>
        <v>0</v>
      </c>
      <c r="BX369" s="1576">
        <f t="shared" si="494"/>
        <v>0</v>
      </c>
      <c r="BY369" s="1574">
        <f t="shared" si="523"/>
        <v>0</v>
      </c>
      <c r="BZ369" s="1577">
        <f t="shared" si="524"/>
        <v>0</v>
      </c>
      <c r="CA369" s="1576">
        <f t="shared" si="495"/>
        <v>0</v>
      </c>
      <c r="CB369" s="1495">
        <f t="shared" si="525"/>
        <v>0</v>
      </c>
      <c r="CC369" s="1577">
        <f t="shared" si="526"/>
        <v>0</v>
      </c>
      <c r="CD369" s="1576">
        <f t="shared" si="496"/>
        <v>0</v>
      </c>
      <c r="CE369" s="1495">
        <f t="shared" si="527"/>
        <v>0</v>
      </c>
      <c r="CF369" s="1577">
        <f t="shared" si="528"/>
        <v>0</v>
      </c>
      <c r="CG369" s="1576">
        <f t="shared" si="497"/>
        <v>0</v>
      </c>
      <c r="CH369" s="1495">
        <f t="shared" si="529"/>
        <v>0</v>
      </c>
      <c r="CI369" s="1577">
        <f t="shared" si="530"/>
        <v>0</v>
      </c>
      <c r="CJ369" s="1576">
        <f t="shared" si="498"/>
        <v>0</v>
      </c>
      <c r="CK369" s="1495">
        <f t="shared" si="531"/>
        <v>0</v>
      </c>
      <c r="CL369" s="1577">
        <f t="shared" si="532"/>
        <v>0</v>
      </c>
      <c r="CM369" s="1576">
        <f t="shared" si="499"/>
        <v>0</v>
      </c>
      <c r="CN369" s="1495">
        <f t="shared" si="533"/>
        <v>0</v>
      </c>
      <c r="CO369" s="1577">
        <f t="shared" si="534"/>
        <v>0</v>
      </c>
      <c r="CP369" s="1576">
        <f t="shared" si="500"/>
        <v>0</v>
      </c>
      <c r="CQ369" s="1495">
        <f t="shared" si="535"/>
        <v>0</v>
      </c>
      <c r="CR369" s="1577">
        <f t="shared" si="536"/>
        <v>0</v>
      </c>
      <c r="CS369" s="1576">
        <f t="shared" si="501"/>
        <v>0</v>
      </c>
      <c r="CT369" s="1495">
        <f t="shared" si="537"/>
        <v>0</v>
      </c>
      <c r="CU369" s="1577">
        <f t="shared" si="538"/>
        <v>0</v>
      </c>
      <c r="CV369" s="1576">
        <f t="shared" si="502"/>
        <v>0</v>
      </c>
      <c r="CW369" s="1495">
        <f t="shared" si="539"/>
        <v>0</v>
      </c>
      <c r="CX369" s="1577">
        <f t="shared" si="540"/>
        <v>0</v>
      </c>
      <c r="CY369" s="1576">
        <f t="shared" si="503"/>
        <v>0</v>
      </c>
      <c r="CZ369" s="1574">
        <f t="shared" si="504"/>
        <v>0</v>
      </c>
      <c r="DA369" s="1578">
        <f t="shared" si="506"/>
        <v>0</v>
      </c>
      <c r="DB369" s="1579">
        <f t="shared" si="507"/>
        <v>0</v>
      </c>
      <c r="DC369" s="1578">
        <f t="shared" si="508"/>
        <v>0</v>
      </c>
      <c r="DD369" s="1578">
        <f t="shared" si="508"/>
        <v>0</v>
      </c>
      <c r="DE369" s="1578">
        <f t="shared" si="508"/>
        <v>0</v>
      </c>
      <c r="DF369" s="1578">
        <f t="shared" si="509"/>
        <v>0</v>
      </c>
      <c r="DG369" s="1420"/>
      <c r="DH369" s="1420"/>
      <c r="DI369" s="1422"/>
      <c r="DJ369" s="1884" t="s">
        <v>1872</v>
      </c>
      <c r="DK369" s="1773">
        <v>0.8</v>
      </c>
      <c r="DL369" s="1428"/>
      <c r="DM369" s="1428"/>
      <c r="DN369" s="1428"/>
      <c r="DO369" s="1428"/>
      <c r="DP369" s="1428"/>
      <c r="DQ369" s="1422"/>
      <c r="DR369" s="1428"/>
      <c r="DS369" s="1428"/>
      <c r="DT369" s="1428"/>
      <c r="DU369" s="1428"/>
      <c r="DV369" s="1428"/>
      <c r="DW369" s="1428"/>
      <c r="DX369" s="1428"/>
      <c r="DY369" s="1428"/>
      <c r="DZ369" s="1428"/>
      <c r="EA369" s="1428"/>
      <c r="EB369" s="1428"/>
      <c r="EC369" s="1428"/>
      <c r="ED369" s="1428"/>
      <c r="EE369" s="1428"/>
      <c r="EF369" s="1428"/>
      <c r="EG369" s="1428"/>
      <c r="EH369" s="1428"/>
      <c r="EI369" s="1428"/>
      <c r="EJ369" s="1428"/>
      <c r="EK369" s="1428"/>
      <c r="EL369" s="1428"/>
      <c r="EM369" s="1428"/>
      <c r="EN369" s="1428"/>
      <c r="EO369" s="1428"/>
      <c r="EP369" s="1428"/>
      <c r="EQ369" s="1428"/>
      <c r="ER369" s="1428"/>
      <c r="ES369" s="1428"/>
      <c r="ET369" s="1428"/>
      <c r="EU369" s="1428"/>
    </row>
    <row r="370" spans="1:151" s="1440" customFormat="1" ht="15" customHeight="1">
      <c r="A370" s="1592"/>
      <c r="G370" s="1475"/>
      <c r="H370" s="1475"/>
      <c r="I370" s="1475"/>
      <c r="J370" s="1475"/>
      <c r="K370" s="1475"/>
      <c r="L370" s="1475"/>
      <c r="M370" s="1475"/>
      <c r="N370" s="1430"/>
      <c r="O370" s="1430"/>
      <c r="P370" s="1640" t="s">
        <v>801</v>
      </c>
      <c r="Q370" s="1436">
        <f t="shared" si="541"/>
        <v>0</v>
      </c>
      <c r="R370" s="1436">
        <f t="shared" si="542"/>
        <v>0</v>
      </c>
      <c r="S370" s="1436">
        <f t="shared" si="543"/>
        <v>0</v>
      </c>
      <c r="T370" s="1436">
        <f t="shared" si="544"/>
        <v>0</v>
      </c>
      <c r="U370" s="1436">
        <f t="shared" si="545"/>
        <v>0</v>
      </c>
      <c r="V370" s="1495">
        <f t="shared" si="546"/>
        <v>0</v>
      </c>
      <c r="W370" s="1495">
        <f t="shared" si="547"/>
        <v>0</v>
      </c>
      <c r="X370" s="1495">
        <f t="shared" si="548"/>
        <v>0</v>
      </c>
      <c r="Y370" s="1495">
        <f t="shared" si="549"/>
        <v>0</v>
      </c>
      <c r="Z370" s="1495">
        <f t="shared" si="550"/>
        <v>0</v>
      </c>
      <c r="AA370" s="1495">
        <f t="shared" si="551"/>
        <v>0</v>
      </c>
      <c r="AB370" s="1885">
        <f t="shared" si="552"/>
        <v>0</v>
      </c>
      <c r="AC370" s="1482">
        <f t="shared" si="553"/>
        <v>0</v>
      </c>
      <c r="AD370" s="1482">
        <f t="shared" si="554"/>
        <v>0</v>
      </c>
      <c r="AE370" s="1482">
        <f t="shared" si="555"/>
        <v>0</v>
      </c>
      <c r="AF370" s="1482">
        <f t="shared" si="556"/>
        <v>0</v>
      </c>
      <c r="AG370" s="1482">
        <f t="shared" si="557"/>
        <v>0</v>
      </c>
      <c r="AH370" s="1482">
        <f t="shared" si="558"/>
        <v>0</v>
      </c>
      <c r="AI370" s="1482">
        <f t="shared" si="559"/>
        <v>0</v>
      </c>
      <c r="AJ370" s="1482">
        <f t="shared" si="560"/>
        <v>0</v>
      </c>
      <c r="AK370" s="1482">
        <f t="shared" si="561"/>
        <v>0</v>
      </c>
      <c r="AL370" s="1482">
        <f t="shared" si="562"/>
        <v>0</v>
      </c>
      <c r="AM370" s="1482">
        <f t="shared" si="563"/>
        <v>0</v>
      </c>
      <c r="AN370" s="1482">
        <f t="shared" si="564"/>
        <v>0</v>
      </c>
      <c r="AO370" s="1886">
        <f t="shared" ref="AO370:AO380" si="567">SUM(AC370:AN370)</f>
        <v>0</v>
      </c>
      <c r="AP370" s="1887">
        <f t="shared" si="565"/>
        <v>0</v>
      </c>
      <c r="AQ370" s="1482">
        <f t="shared" si="566"/>
        <v>0</v>
      </c>
      <c r="AR370" s="1482">
        <f t="shared" si="566"/>
        <v>0</v>
      </c>
      <c r="AS370" s="1482">
        <f t="shared" si="566"/>
        <v>0</v>
      </c>
      <c r="AT370" s="1482">
        <f t="shared" si="566"/>
        <v>0</v>
      </c>
      <c r="AU370" s="1482">
        <f t="shared" si="566"/>
        <v>0</v>
      </c>
      <c r="AV370" s="1482">
        <f t="shared" si="566"/>
        <v>0</v>
      </c>
      <c r="AW370" s="1482">
        <f t="shared" si="566"/>
        <v>0</v>
      </c>
      <c r="AX370" s="1482">
        <f t="shared" si="566"/>
        <v>0</v>
      </c>
      <c r="AY370" s="1482">
        <f t="shared" si="566"/>
        <v>0</v>
      </c>
      <c r="AZ370" s="1482">
        <f t="shared" si="566"/>
        <v>0</v>
      </c>
      <c r="BA370" s="1482">
        <f t="shared" si="566"/>
        <v>0</v>
      </c>
      <c r="BB370" s="1482">
        <f t="shared" si="566"/>
        <v>0</v>
      </c>
      <c r="BC370" s="1430"/>
      <c r="BD370" s="1422"/>
      <c r="BE370" s="1571" t="s">
        <v>1219</v>
      </c>
      <c r="BF370" s="1436">
        <v>23</v>
      </c>
      <c r="BG370" s="1436">
        <v>17</v>
      </c>
      <c r="BH370" s="1436">
        <v>5</v>
      </c>
      <c r="BI370" s="1495" t="b">
        <f t="shared" si="505"/>
        <v>1</v>
      </c>
      <c r="BJ370" s="1450" t="b">
        <f t="shared" si="515"/>
        <v>0</v>
      </c>
      <c r="BK370" s="1572">
        <f t="shared" si="516"/>
        <v>0</v>
      </c>
      <c r="BL370" s="1581">
        <f>IF(SUM(BL$354:BL369,BK370)&gt;$BU$4,0,BK370)</f>
        <v>0</v>
      </c>
      <c r="BM370" s="1436">
        <f t="shared" si="490"/>
        <v>0</v>
      </c>
      <c r="BN370" s="1495">
        <f t="shared" si="491"/>
        <v>0</v>
      </c>
      <c r="BO370" s="1437">
        <f t="shared" si="510"/>
        <v>0</v>
      </c>
      <c r="BP370" s="1574">
        <f t="shared" si="517"/>
        <v>0</v>
      </c>
      <c r="BQ370" s="1577">
        <f t="shared" si="518"/>
        <v>0</v>
      </c>
      <c r="BR370" s="1576">
        <f t="shared" si="492"/>
        <v>0</v>
      </c>
      <c r="BS370" s="1574">
        <f t="shared" si="519"/>
        <v>0</v>
      </c>
      <c r="BT370" s="1577">
        <f t="shared" si="520"/>
        <v>0</v>
      </c>
      <c r="BU370" s="1576">
        <f t="shared" si="493"/>
        <v>0</v>
      </c>
      <c r="BV370" s="1574">
        <f t="shared" si="521"/>
        <v>0</v>
      </c>
      <c r="BW370" s="1577">
        <f t="shared" si="522"/>
        <v>0</v>
      </c>
      <c r="BX370" s="1576">
        <f t="shared" si="494"/>
        <v>0</v>
      </c>
      <c r="BY370" s="1574">
        <f t="shared" si="523"/>
        <v>0</v>
      </c>
      <c r="BZ370" s="1577">
        <f t="shared" si="524"/>
        <v>0</v>
      </c>
      <c r="CA370" s="1576">
        <f t="shared" si="495"/>
        <v>0</v>
      </c>
      <c r="CB370" s="1495">
        <f t="shared" si="525"/>
        <v>0</v>
      </c>
      <c r="CC370" s="1577">
        <f t="shared" si="526"/>
        <v>0</v>
      </c>
      <c r="CD370" s="1576">
        <f t="shared" si="496"/>
        <v>0</v>
      </c>
      <c r="CE370" s="1495">
        <f t="shared" si="527"/>
        <v>0</v>
      </c>
      <c r="CF370" s="1577">
        <f t="shared" si="528"/>
        <v>0</v>
      </c>
      <c r="CG370" s="1576">
        <f t="shared" si="497"/>
        <v>0</v>
      </c>
      <c r="CH370" s="1495">
        <f t="shared" si="529"/>
        <v>0</v>
      </c>
      <c r="CI370" s="1577">
        <f t="shared" si="530"/>
        <v>0</v>
      </c>
      <c r="CJ370" s="1576">
        <f t="shared" si="498"/>
        <v>0</v>
      </c>
      <c r="CK370" s="1495">
        <f t="shared" si="531"/>
        <v>0</v>
      </c>
      <c r="CL370" s="1577">
        <f t="shared" si="532"/>
        <v>0</v>
      </c>
      <c r="CM370" s="1576">
        <f t="shared" si="499"/>
        <v>0</v>
      </c>
      <c r="CN370" s="1495">
        <f t="shared" si="533"/>
        <v>0</v>
      </c>
      <c r="CO370" s="1577">
        <f t="shared" si="534"/>
        <v>0</v>
      </c>
      <c r="CP370" s="1576">
        <f t="shared" si="500"/>
        <v>0</v>
      </c>
      <c r="CQ370" s="1495">
        <f t="shared" si="535"/>
        <v>0</v>
      </c>
      <c r="CR370" s="1577">
        <f t="shared" si="536"/>
        <v>0</v>
      </c>
      <c r="CS370" s="1576">
        <f t="shared" si="501"/>
        <v>0</v>
      </c>
      <c r="CT370" s="1495">
        <f t="shared" si="537"/>
        <v>0</v>
      </c>
      <c r="CU370" s="1577">
        <f t="shared" si="538"/>
        <v>0</v>
      </c>
      <c r="CV370" s="1576">
        <f t="shared" si="502"/>
        <v>0</v>
      </c>
      <c r="CW370" s="1495">
        <f t="shared" si="539"/>
        <v>0</v>
      </c>
      <c r="CX370" s="1577">
        <f t="shared" si="540"/>
        <v>0</v>
      </c>
      <c r="CY370" s="1576">
        <f t="shared" si="503"/>
        <v>0</v>
      </c>
      <c r="CZ370" s="1574">
        <f t="shared" si="504"/>
        <v>0</v>
      </c>
      <c r="DA370" s="1578">
        <f t="shared" si="506"/>
        <v>0</v>
      </c>
      <c r="DB370" s="1579">
        <f t="shared" si="507"/>
        <v>0</v>
      </c>
      <c r="DC370" s="1578">
        <f t="shared" si="508"/>
        <v>0</v>
      </c>
      <c r="DD370" s="1578">
        <f t="shared" si="508"/>
        <v>0</v>
      </c>
      <c r="DE370" s="1578">
        <f t="shared" si="508"/>
        <v>0</v>
      </c>
      <c r="DF370" s="1578">
        <f t="shared" si="509"/>
        <v>0</v>
      </c>
      <c r="DG370" s="1420"/>
      <c r="DH370" s="1420"/>
      <c r="DI370" s="1422"/>
      <c r="DJ370" s="1884" t="s">
        <v>1885</v>
      </c>
      <c r="DK370" s="1773">
        <v>0.65</v>
      </c>
      <c r="DL370" s="1428"/>
      <c r="DM370" s="1428"/>
      <c r="DN370" s="1428"/>
      <c r="DO370" s="1428"/>
      <c r="DP370" s="1428"/>
      <c r="DQ370" s="1422"/>
      <c r="DR370" s="1428"/>
      <c r="DS370" s="1428"/>
      <c r="DT370" s="1428"/>
      <c r="DU370" s="1428"/>
      <c r="DV370" s="1428"/>
      <c r="DW370" s="1428"/>
      <c r="DX370" s="1428"/>
      <c r="DY370" s="1428"/>
      <c r="DZ370" s="1428"/>
      <c r="EA370" s="1428"/>
      <c r="EB370" s="1428"/>
      <c r="EC370" s="1428"/>
      <c r="ED370" s="1428"/>
      <c r="EE370" s="1428"/>
      <c r="EF370" s="1428"/>
      <c r="EG370" s="1428"/>
      <c r="EH370" s="1428"/>
      <c r="EI370" s="1428"/>
      <c r="EJ370" s="1428"/>
      <c r="EK370" s="1428"/>
      <c r="EL370" s="1428"/>
      <c r="EM370" s="1428"/>
      <c r="EN370" s="1428"/>
      <c r="EO370" s="1428"/>
      <c r="EP370" s="1428"/>
      <c r="EQ370" s="1428"/>
      <c r="ER370" s="1428"/>
      <c r="ES370" s="1428"/>
      <c r="ET370" s="1428"/>
      <c r="EU370" s="1428"/>
    </row>
    <row r="371" spans="1:151" s="1440" customFormat="1" ht="15" customHeight="1">
      <c r="A371" s="1504"/>
      <c r="B371" s="1888" t="s">
        <v>1947</v>
      </c>
      <c r="C371" s="1888"/>
      <c r="D371" s="1888"/>
      <c r="E371" s="1888"/>
      <c r="F371" s="1889" t="s">
        <v>588</v>
      </c>
      <c r="G371" s="1475"/>
      <c r="H371" s="1475"/>
      <c r="I371" s="1475"/>
      <c r="J371" s="1475"/>
      <c r="K371" s="1475"/>
      <c r="L371" s="1475"/>
      <c r="M371" s="1475"/>
      <c r="N371" s="1430"/>
      <c r="O371" s="1430"/>
      <c r="P371" s="1640" t="s">
        <v>881</v>
      </c>
      <c r="Q371" s="1436">
        <f t="shared" si="541"/>
        <v>0</v>
      </c>
      <c r="R371" s="1436">
        <f t="shared" si="542"/>
        <v>0</v>
      </c>
      <c r="S371" s="1436">
        <f t="shared" si="543"/>
        <v>0</v>
      </c>
      <c r="T371" s="1436">
        <f t="shared" si="544"/>
        <v>0</v>
      </c>
      <c r="U371" s="1436">
        <f t="shared" si="545"/>
        <v>0</v>
      </c>
      <c r="V371" s="1495">
        <f t="shared" si="546"/>
        <v>0</v>
      </c>
      <c r="W371" s="1495">
        <f t="shared" si="547"/>
        <v>0</v>
      </c>
      <c r="X371" s="1495">
        <f t="shared" si="548"/>
        <v>0</v>
      </c>
      <c r="Y371" s="1495">
        <f t="shared" si="549"/>
        <v>0</v>
      </c>
      <c r="Z371" s="1495">
        <f t="shared" si="550"/>
        <v>0</v>
      </c>
      <c r="AA371" s="1495">
        <f t="shared" si="551"/>
        <v>0</v>
      </c>
      <c r="AB371" s="1885">
        <f t="shared" si="552"/>
        <v>0</v>
      </c>
      <c r="AC371" s="1482">
        <f t="shared" si="553"/>
        <v>0</v>
      </c>
      <c r="AD371" s="1482">
        <f t="shared" si="554"/>
        <v>0</v>
      </c>
      <c r="AE371" s="1482">
        <f t="shared" si="555"/>
        <v>0</v>
      </c>
      <c r="AF371" s="1482">
        <f t="shared" si="556"/>
        <v>0</v>
      </c>
      <c r="AG371" s="1482">
        <f t="shared" si="557"/>
        <v>0</v>
      </c>
      <c r="AH371" s="1482">
        <f t="shared" si="558"/>
        <v>0</v>
      </c>
      <c r="AI371" s="1482">
        <f t="shared" si="559"/>
        <v>0</v>
      </c>
      <c r="AJ371" s="1482">
        <f t="shared" si="560"/>
        <v>0</v>
      </c>
      <c r="AK371" s="1482">
        <f t="shared" si="561"/>
        <v>0</v>
      </c>
      <c r="AL371" s="1482">
        <f t="shared" si="562"/>
        <v>0</v>
      </c>
      <c r="AM371" s="1482">
        <f t="shared" si="563"/>
        <v>0</v>
      </c>
      <c r="AN371" s="1482">
        <f t="shared" si="564"/>
        <v>0</v>
      </c>
      <c r="AO371" s="1886">
        <f t="shared" si="567"/>
        <v>0</v>
      </c>
      <c r="AP371" s="1887">
        <f t="shared" si="565"/>
        <v>0</v>
      </c>
      <c r="AQ371" s="1482">
        <f t="shared" si="566"/>
        <v>0</v>
      </c>
      <c r="AR371" s="1482">
        <f t="shared" si="566"/>
        <v>0</v>
      </c>
      <c r="AS371" s="1482">
        <f t="shared" si="566"/>
        <v>0</v>
      </c>
      <c r="AT371" s="1482">
        <f t="shared" si="566"/>
        <v>0</v>
      </c>
      <c r="AU371" s="1482">
        <f t="shared" si="566"/>
        <v>0</v>
      </c>
      <c r="AV371" s="1482">
        <f t="shared" si="566"/>
        <v>0</v>
      </c>
      <c r="AW371" s="1482">
        <f t="shared" si="566"/>
        <v>0</v>
      </c>
      <c r="AX371" s="1482">
        <f t="shared" si="566"/>
        <v>0</v>
      </c>
      <c r="AY371" s="1482">
        <f t="shared" si="566"/>
        <v>0</v>
      </c>
      <c r="AZ371" s="1482">
        <f t="shared" si="566"/>
        <v>0</v>
      </c>
      <c r="BA371" s="1482">
        <f t="shared" si="566"/>
        <v>0</v>
      </c>
      <c r="BB371" s="1482">
        <f t="shared" si="566"/>
        <v>0</v>
      </c>
      <c r="BC371" s="1430"/>
      <c r="BD371" s="1422"/>
      <c r="BE371" s="1571" t="s">
        <v>1219</v>
      </c>
      <c r="BF371" s="1436">
        <v>23</v>
      </c>
      <c r="BG371" s="1436">
        <v>18</v>
      </c>
      <c r="BH371" s="1436">
        <v>6</v>
      </c>
      <c r="BI371" s="1495" t="b">
        <f t="shared" si="505"/>
        <v>0</v>
      </c>
      <c r="BJ371" s="1450" t="b">
        <f t="shared" si="515"/>
        <v>1</v>
      </c>
      <c r="BK371" s="1572">
        <f t="shared" si="516"/>
        <v>7.3636363636363633</v>
      </c>
      <c r="BL371" s="1581">
        <f>IF(SUM(BL$354:BL370,BK371)&gt;$BU$4,0,BK371)</f>
        <v>7.3636363636363633</v>
      </c>
      <c r="BM371" s="1436">
        <f t="shared" si="490"/>
        <v>0</v>
      </c>
      <c r="BN371" s="1495">
        <f t="shared" si="491"/>
        <v>0</v>
      </c>
      <c r="BO371" s="1437">
        <f t="shared" si="510"/>
        <v>0</v>
      </c>
      <c r="BP371" s="1574">
        <f t="shared" si="517"/>
        <v>0</v>
      </c>
      <c r="BQ371" s="1577">
        <f t="shared" si="518"/>
        <v>0</v>
      </c>
      <c r="BR371" s="1576">
        <f t="shared" si="492"/>
        <v>0</v>
      </c>
      <c r="BS371" s="1574">
        <f t="shared" si="519"/>
        <v>0</v>
      </c>
      <c r="BT371" s="1577">
        <f t="shared" si="520"/>
        <v>0</v>
      </c>
      <c r="BU371" s="1576">
        <f t="shared" si="493"/>
        <v>0</v>
      </c>
      <c r="BV371" s="1574">
        <f t="shared" si="521"/>
        <v>0</v>
      </c>
      <c r="BW371" s="1577">
        <f t="shared" si="522"/>
        <v>0</v>
      </c>
      <c r="BX371" s="1576">
        <f t="shared" si="494"/>
        <v>0</v>
      </c>
      <c r="BY371" s="1574">
        <f t="shared" si="523"/>
        <v>0</v>
      </c>
      <c r="BZ371" s="1577">
        <f t="shared" si="524"/>
        <v>0</v>
      </c>
      <c r="CA371" s="1576">
        <f t="shared" si="495"/>
        <v>0</v>
      </c>
      <c r="CB371" s="1495">
        <f t="shared" si="525"/>
        <v>0</v>
      </c>
      <c r="CC371" s="1577">
        <f t="shared" si="526"/>
        <v>0</v>
      </c>
      <c r="CD371" s="1576">
        <f t="shared" si="496"/>
        <v>0</v>
      </c>
      <c r="CE371" s="1495">
        <f t="shared" si="527"/>
        <v>0</v>
      </c>
      <c r="CF371" s="1577">
        <f t="shared" si="528"/>
        <v>0</v>
      </c>
      <c r="CG371" s="1576">
        <f t="shared" si="497"/>
        <v>0</v>
      </c>
      <c r="CH371" s="1495">
        <f t="shared" si="529"/>
        <v>0</v>
      </c>
      <c r="CI371" s="1577">
        <f t="shared" si="530"/>
        <v>0</v>
      </c>
      <c r="CJ371" s="1576">
        <f t="shared" si="498"/>
        <v>0</v>
      </c>
      <c r="CK371" s="1495">
        <f t="shared" si="531"/>
        <v>0</v>
      </c>
      <c r="CL371" s="1577">
        <f t="shared" si="532"/>
        <v>0</v>
      </c>
      <c r="CM371" s="1576">
        <f t="shared" si="499"/>
        <v>0</v>
      </c>
      <c r="CN371" s="1495">
        <f t="shared" si="533"/>
        <v>0</v>
      </c>
      <c r="CO371" s="1577">
        <f t="shared" si="534"/>
        <v>0</v>
      </c>
      <c r="CP371" s="1576">
        <f t="shared" si="500"/>
        <v>0</v>
      </c>
      <c r="CQ371" s="1495">
        <f t="shared" si="535"/>
        <v>0</v>
      </c>
      <c r="CR371" s="1577">
        <f t="shared" si="536"/>
        <v>0</v>
      </c>
      <c r="CS371" s="1576">
        <f t="shared" si="501"/>
        <v>0</v>
      </c>
      <c r="CT371" s="1495">
        <f t="shared" si="537"/>
        <v>0</v>
      </c>
      <c r="CU371" s="1577">
        <f t="shared" si="538"/>
        <v>0</v>
      </c>
      <c r="CV371" s="1576">
        <f t="shared" si="502"/>
        <v>0</v>
      </c>
      <c r="CW371" s="1495">
        <f t="shared" si="539"/>
        <v>0</v>
      </c>
      <c r="CX371" s="1577">
        <f t="shared" si="540"/>
        <v>0</v>
      </c>
      <c r="CY371" s="1576">
        <f t="shared" si="503"/>
        <v>0</v>
      </c>
      <c r="CZ371" s="1574">
        <f t="shared" si="504"/>
        <v>0</v>
      </c>
      <c r="DA371" s="1578">
        <f t="shared" si="506"/>
        <v>0</v>
      </c>
      <c r="DB371" s="1579">
        <f t="shared" si="507"/>
        <v>0</v>
      </c>
      <c r="DC371" s="1578">
        <f t="shared" si="508"/>
        <v>0</v>
      </c>
      <c r="DD371" s="1578">
        <f t="shared" si="508"/>
        <v>0</v>
      </c>
      <c r="DE371" s="1578">
        <f t="shared" si="508"/>
        <v>0</v>
      </c>
      <c r="DF371" s="1578">
        <f t="shared" si="509"/>
        <v>0</v>
      </c>
      <c r="DG371" s="1420"/>
      <c r="DH371" s="1420"/>
      <c r="DI371" s="1422"/>
      <c r="DJ371" s="1428"/>
      <c r="DK371" s="1428"/>
      <c r="DL371" s="1428"/>
      <c r="DM371" s="1428"/>
      <c r="DN371" s="1428"/>
      <c r="DO371" s="1428"/>
      <c r="DP371" s="1428"/>
      <c r="DQ371" s="1422"/>
      <c r="DR371" s="1428"/>
      <c r="DS371" s="1428"/>
      <c r="DT371" s="1428"/>
      <c r="DU371" s="1428"/>
      <c r="DV371" s="1428"/>
      <c r="DW371" s="1428"/>
      <c r="DX371" s="1428"/>
      <c r="DY371" s="1428"/>
      <c r="DZ371" s="1428"/>
      <c r="EA371" s="1428"/>
      <c r="EB371" s="1428"/>
      <c r="EC371" s="1428"/>
      <c r="ED371" s="1428"/>
      <c r="EE371" s="1428"/>
      <c r="EF371" s="1428"/>
      <c r="EG371" s="1428"/>
      <c r="EH371" s="1428"/>
      <c r="EI371" s="1428"/>
      <c r="EJ371" s="1428"/>
      <c r="EK371" s="1428"/>
      <c r="EL371" s="1428"/>
      <c r="EM371" s="1428"/>
      <c r="EN371" s="1428"/>
      <c r="EO371" s="1428"/>
      <c r="EP371" s="1428"/>
      <c r="EQ371" s="1428"/>
      <c r="ER371" s="1428"/>
      <c r="ES371" s="1428"/>
      <c r="ET371" s="1428"/>
      <c r="EU371" s="1428"/>
    </row>
    <row r="372" spans="1:151" s="1440" customFormat="1" ht="15" customHeight="1">
      <c r="A372" s="1504"/>
      <c r="B372" s="2446" t="s">
        <v>1949</v>
      </c>
      <c r="C372" s="2446"/>
      <c r="D372" s="2446"/>
      <c r="E372" s="1890"/>
      <c r="F372" s="1890"/>
      <c r="G372" s="1891"/>
      <c r="H372" s="1891"/>
      <c r="I372" s="1891"/>
      <c r="J372" s="1891"/>
      <c r="K372" s="1891"/>
      <c r="L372" s="1891"/>
      <c r="M372" s="1891"/>
      <c r="N372" s="1430"/>
      <c r="O372" s="1430"/>
      <c r="P372" s="1640" t="s">
        <v>882</v>
      </c>
      <c r="Q372" s="1436">
        <f t="shared" si="541"/>
        <v>0</v>
      </c>
      <c r="R372" s="1436">
        <f t="shared" si="542"/>
        <v>0</v>
      </c>
      <c r="S372" s="1436">
        <f t="shared" si="543"/>
        <v>0</v>
      </c>
      <c r="T372" s="1436">
        <f t="shared" si="544"/>
        <v>0</v>
      </c>
      <c r="U372" s="1436">
        <f t="shared" si="545"/>
        <v>0</v>
      </c>
      <c r="V372" s="1495">
        <f t="shared" si="546"/>
        <v>0</v>
      </c>
      <c r="W372" s="1495">
        <f t="shared" si="547"/>
        <v>0</v>
      </c>
      <c r="X372" s="1495">
        <f t="shared" si="548"/>
        <v>0</v>
      </c>
      <c r="Y372" s="1495">
        <f t="shared" si="549"/>
        <v>0</v>
      </c>
      <c r="Z372" s="1495">
        <f t="shared" si="550"/>
        <v>0</v>
      </c>
      <c r="AA372" s="1495">
        <f t="shared" si="551"/>
        <v>0</v>
      </c>
      <c r="AB372" s="1885">
        <f t="shared" si="552"/>
        <v>0</v>
      </c>
      <c r="AC372" s="1482">
        <f t="shared" si="553"/>
        <v>0</v>
      </c>
      <c r="AD372" s="1482">
        <f t="shared" si="554"/>
        <v>0</v>
      </c>
      <c r="AE372" s="1482">
        <f t="shared" si="555"/>
        <v>0</v>
      </c>
      <c r="AF372" s="1482">
        <f t="shared" si="556"/>
        <v>0</v>
      </c>
      <c r="AG372" s="1482">
        <f t="shared" si="557"/>
        <v>0</v>
      </c>
      <c r="AH372" s="1482">
        <f t="shared" si="558"/>
        <v>0</v>
      </c>
      <c r="AI372" s="1482">
        <f t="shared" si="559"/>
        <v>0</v>
      </c>
      <c r="AJ372" s="1482">
        <f t="shared" si="560"/>
        <v>0</v>
      </c>
      <c r="AK372" s="1482">
        <f t="shared" si="561"/>
        <v>0</v>
      </c>
      <c r="AL372" s="1482">
        <f t="shared" si="562"/>
        <v>0</v>
      </c>
      <c r="AM372" s="1482">
        <f t="shared" si="563"/>
        <v>0</v>
      </c>
      <c r="AN372" s="1482">
        <f t="shared" si="564"/>
        <v>0</v>
      </c>
      <c r="AO372" s="1886">
        <f t="shared" si="567"/>
        <v>0</v>
      </c>
      <c r="AP372" s="1887">
        <f t="shared" si="565"/>
        <v>0</v>
      </c>
      <c r="AQ372" s="1482">
        <f t="shared" si="566"/>
        <v>0</v>
      </c>
      <c r="AR372" s="1482">
        <f t="shared" si="566"/>
        <v>0</v>
      </c>
      <c r="AS372" s="1482">
        <f t="shared" si="566"/>
        <v>0</v>
      </c>
      <c r="AT372" s="1482">
        <f t="shared" si="566"/>
        <v>0</v>
      </c>
      <c r="AU372" s="1482">
        <f t="shared" si="566"/>
        <v>0</v>
      </c>
      <c r="AV372" s="1482">
        <f t="shared" si="566"/>
        <v>0</v>
      </c>
      <c r="AW372" s="1482">
        <f t="shared" si="566"/>
        <v>0</v>
      </c>
      <c r="AX372" s="1482">
        <f t="shared" si="566"/>
        <v>0</v>
      </c>
      <c r="AY372" s="1482">
        <f t="shared" si="566"/>
        <v>0</v>
      </c>
      <c r="AZ372" s="1482">
        <f t="shared" si="566"/>
        <v>0</v>
      </c>
      <c r="BA372" s="1482">
        <f t="shared" si="566"/>
        <v>0</v>
      </c>
      <c r="BB372" s="1482">
        <f t="shared" si="566"/>
        <v>0</v>
      </c>
      <c r="BC372" s="1430"/>
      <c r="BD372" s="1422"/>
      <c r="BE372" s="1571" t="s">
        <v>1219</v>
      </c>
      <c r="BF372" s="1436">
        <v>23</v>
      </c>
      <c r="BG372" s="1436">
        <v>19</v>
      </c>
      <c r="BH372" s="1436">
        <v>7</v>
      </c>
      <c r="BI372" s="1495" t="b">
        <f t="shared" si="505"/>
        <v>0</v>
      </c>
      <c r="BJ372" s="1450" t="b">
        <f t="shared" si="515"/>
        <v>0</v>
      </c>
      <c r="BK372" s="1572">
        <f t="shared" si="516"/>
        <v>0</v>
      </c>
      <c r="BL372" s="1581">
        <f>IF(SUM(BL$354:BL371,BK372)&gt;$BU$4,0,BK372)</f>
        <v>0</v>
      </c>
      <c r="BM372" s="1436">
        <f t="shared" si="490"/>
        <v>0</v>
      </c>
      <c r="BN372" s="1495">
        <f t="shared" si="491"/>
        <v>0</v>
      </c>
      <c r="BO372" s="1437">
        <f t="shared" si="510"/>
        <v>0</v>
      </c>
      <c r="BP372" s="1574">
        <f t="shared" si="517"/>
        <v>0</v>
      </c>
      <c r="BQ372" s="1577">
        <f t="shared" si="518"/>
        <v>0</v>
      </c>
      <c r="BR372" s="1576">
        <f t="shared" si="492"/>
        <v>0</v>
      </c>
      <c r="BS372" s="1574">
        <f t="shared" si="519"/>
        <v>0</v>
      </c>
      <c r="BT372" s="1577">
        <f t="shared" si="520"/>
        <v>0</v>
      </c>
      <c r="BU372" s="1576">
        <f t="shared" si="493"/>
        <v>0</v>
      </c>
      <c r="BV372" s="1574">
        <f t="shared" si="521"/>
        <v>0</v>
      </c>
      <c r="BW372" s="1577">
        <f t="shared" si="522"/>
        <v>0</v>
      </c>
      <c r="BX372" s="1576">
        <f t="shared" si="494"/>
        <v>0</v>
      </c>
      <c r="BY372" s="1574">
        <f t="shared" si="523"/>
        <v>0</v>
      </c>
      <c r="BZ372" s="1577">
        <f t="shared" si="524"/>
        <v>0</v>
      </c>
      <c r="CA372" s="1576">
        <f t="shared" si="495"/>
        <v>0</v>
      </c>
      <c r="CB372" s="1495">
        <f t="shared" si="525"/>
        <v>0</v>
      </c>
      <c r="CC372" s="1577">
        <f t="shared" si="526"/>
        <v>0</v>
      </c>
      <c r="CD372" s="1576">
        <f t="shared" si="496"/>
        <v>0</v>
      </c>
      <c r="CE372" s="1495">
        <f t="shared" si="527"/>
        <v>0</v>
      </c>
      <c r="CF372" s="1577">
        <f t="shared" si="528"/>
        <v>0</v>
      </c>
      <c r="CG372" s="1576">
        <f t="shared" si="497"/>
        <v>0</v>
      </c>
      <c r="CH372" s="1495">
        <f t="shared" si="529"/>
        <v>0</v>
      </c>
      <c r="CI372" s="1577">
        <f t="shared" si="530"/>
        <v>0</v>
      </c>
      <c r="CJ372" s="1576">
        <f t="shared" si="498"/>
        <v>0</v>
      </c>
      <c r="CK372" s="1495">
        <f t="shared" si="531"/>
        <v>0</v>
      </c>
      <c r="CL372" s="1577">
        <f t="shared" si="532"/>
        <v>0</v>
      </c>
      <c r="CM372" s="1576">
        <f t="shared" si="499"/>
        <v>0</v>
      </c>
      <c r="CN372" s="1495">
        <f t="shared" si="533"/>
        <v>0</v>
      </c>
      <c r="CO372" s="1577">
        <f t="shared" si="534"/>
        <v>0</v>
      </c>
      <c r="CP372" s="1576">
        <f t="shared" si="500"/>
        <v>0</v>
      </c>
      <c r="CQ372" s="1495">
        <f t="shared" si="535"/>
        <v>0</v>
      </c>
      <c r="CR372" s="1577">
        <f t="shared" si="536"/>
        <v>0</v>
      </c>
      <c r="CS372" s="1576">
        <f t="shared" si="501"/>
        <v>0</v>
      </c>
      <c r="CT372" s="1495">
        <f t="shared" si="537"/>
        <v>0</v>
      </c>
      <c r="CU372" s="1577">
        <f t="shared" si="538"/>
        <v>0</v>
      </c>
      <c r="CV372" s="1576">
        <f t="shared" si="502"/>
        <v>0</v>
      </c>
      <c r="CW372" s="1495">
        <f t="shared" si="539"/>
        <v>0</v>
      </c>
      <c r="CX372" s="1577">
        <f t="shared" si="540"/>
        <v>0</v>
      </c>
      <c r="CY372" s="1576">
        <f t="shared" si="503"/>
        <v>0</v>
      </c>
      <c r="CZ372" s="1574">
        <f t="shared" si="504"/>
        <v>0</v>
      </c>
      <c r="DA372" s="1578">
        <f t="shared" si="506"/>
        <v>0</v>
      </c>
      <c r="DB372" s="1579">
        <f t="shared" si="507"/>
        <v>0</v>
      </c>
      <c r="DC372" s="1578">
        <f t="shared" si="508"/>
        <v>0</v>
      </c>
      <c r="DD372" s="1578">
        <f t="shared" si="508"/>
        <v>0</v>
      </c>
      <c r="DE372" s="1578">
        <f t="shared" si="508"/>
        <v>0</v>
      </c>
      <c r="DF372" s="1578">
        <f t="shared" si="509"/>
        <v>0</v>
      </c>
      <c r="DG372" s="1420"/>
      <c r="DH372" s="1420"/>
      <c r="DI372" s="1422"/>
      <c r="DJ372" s="1428"/>
      <c r="DK372" s="1428"/>
      <c r="DL372" s="1428"/>
      <c r="DM372" s="1428"/>
      <c r="DN372" s="1428"/>
      <c r="DO372" s="1428"/>
      <c r="DP372" s="1428"/>
      <c r="DQ372" s="1422"/>
      <c r="DR372" s="1428"/>
      <c r="DS372" s="1428"/>
      <c r="DT372" s="1428"/>
      <c r="DU372" s="1428"/>
      <c r="DV372" s="1428"/>
      <c r="DW372" s="1428"/>
      <c r="DX372" s="1428"/>
      <c r="DY372" s="1428"/>
      <c r="DZ372" s="1428"/>
      <c r="EA372" s="1428"/>
      <c r="EB372" s="1428"/>
      <c r="EC372" s="1428"/>
      <c r="ED372" s="1428"/>
      <c r="EE372" s="1428"/>
      <c r="EF372" s="1428"/>
      <c r="EG372" s="1428"/>
      <c r="EH372" s="1428"/>
      <c r="EI372" s="1428"/>
      <c r="EJ372" s="1428"/>
      <c r="EK372" s="1428"/>
      <c r="EL372" s="1428"/>
      <c r="EM372" s="1428"/>
      <c r="EN372" s="1428"/>
      <c r="EO372" s="1428"/>
      <c r="EP372" s="1428"/>
      <c r="EQ372" s="1428"/>
      <c r="ER372" s="1428"/>
      <c r="ES372" s="1428"/>
      <c r="ET372" s="1428"/>
      <c r="EU372" s="1428"/>
    </row>
    <row r="373" spans="1:151" s="1440" customFormat="1" ht="15" customHeight="1">
      <c r="A373" s="1883"/>
      <c r="B373" s="1596"/>
      <c r="C373" s="2449" t="s">
        <v>1866</v>
      </c>
      <c r="D373" s="2449" t="s">
        <v>1865</v>
      </c>
      <c r="E373" s="2449" t="s">
        <v>1945</v>
      </c>
      <c r="F373" s="2449" t="s">
        <v>1867</v>
      </c>
      <c r="G373" s="1475"/>
      <c r="H373" s="1475"/>
      <c r="I373" s="1475"/>
      <c r="J373" s="1475"/>
      <c r="K373" s="1475"/>
      <c r="L373" s="1475"/>
      <c r="M373" s="1475"/>
      <c r="N373" s="1430"/>
      <c r="O373" s="1430"/>
      <c r="P373" s="1640" t="s">
        <v>1212</v>
      </c>
      <c r="Q373" s="1436">
        <f t="shared" si="541"/>
        <v>0</v>
      </c>
      <c r="R373" s="1436">
        <f t="shared" si="542"/>
        <v>0</v>
      </c>
      <c r="S373" s="1436">
        <f t="shared" si="543"/>
        <v>0</v>
      </c>
      <c r="T373" s="1436">
        <f t="shared" si="544"/>
        <v>0</v>
      </c>
      <c r="U373" s="1436">
        <f t="shared" si="545"/>
        <v>0</v>
      </c>
      <c r="V373" s="1495">
        <f t="shared" si="546"/>
        <v>0</v>
      </c>
      <c r="W373" s="1495">
        <f t="shared" si="547"/>
        <v>0</v>
      </c>
      <c r="X373" s="1495">
        <f t="shared" si="548"/>
        <v>0</v>
      </c>
      <c r="Y373" s="1495">
        <f t="shared" si="549"/>
        <v>0</v>
      </c>
      <c r="Z373" s="1495">
        <f t="shared" si="550"/>
        <v>0</v>
      </c>
      <c r="AA373" s="1495">
        <f t="shared" si="551"/>
        <v>0</v>
      </c>
      <c r="AB373" s="1885">
        <f t="shared" si="552"/>
        <v>0</v>
      </c>
      <c r="AC373" s="1482">
        <f t="shared" si="553"/>
        <v>0</v>
      </c>
      <c r="AD373" s="1482">
        <f t="shared" si="554"/>
        <v>0</v>
      </c>
      <c r="AE373" s="1482">
        <f t="shared" si="555"/>
        <v>0</v>
      </c>
      <c r="AF373" s="1482">
        <f t="shared" si="556"/>
        <v>0</v>
      </c>
      <c r="AG373" s="1482">
        <f t="shared" si="557"/>
        <v>0</v>
      </c>
      <c r="AH373" s="1482">
        <f t="shared" si="558"/>
        <v>0</v>
      </c>
      <c r="AI373" s="1482">
        <f t="shared" si="559"/>
        <v>0</v>
      </c>
      <c r="AJ373" s="1482">
        <f t="shared" si="560"/>
        <v>0</v>
      </c>
      <c r="AK373" s="1482">
        <f t="shared" si="561"/>
        <v>0</v>
      </c>
      <c r="AL373" s="1482">
        <f t="shared" si="562"/>
        <v>0</v>
      </c>
      <c r="AM373" s="1482">
        <f t="shared" si="563"/>
        <v>0</v>
      </c>
      <c r="AN373" s="1482">
        <f t="shared" si="564"/>
        <v>0</v>
      </c>
      <c r="AO373" s="1886">
        <f t="shared" si="567"/>
        <v>0</v>
      </c>
      <c r="AP373" s="1887">
        <f t="shared" si="565"/>
        <v>0</v>
      </c>
      <c r="AQ373" s="1482">
        <f t="shared" si="566"/>
        <v>0</v>
      </c>
      <c r="AR373" s="1482">
        <f t="shared" si="566"/>
        <v>0</v>
      </c>
      <c r="AS373" s="1482">
        <f t="shared" si="566"/>
        <v>0</v>
      </c>
      <c r="AT373" s="1482">
        <f t="shared" si="566"/>
        <v>0</v>
      </c>
      <c r="AU373" s="1482">
        <f t="shared" si="566"/>
        <v>0</v>
      </c>
      <c r="AV373" s="1482">
        <f t="shared" si="566"/>
        <v>0</v>
      </c>
      <c r="AW373" s="1482">
        <f t="shared" si="566"/>
        <v>0</v>
      </c>
      <c r="AX373" s="1482">
        <f t="shared" si="566"/>
        <v>0</v>
      </c>
      <c r="AY373" s="1482">
        <f t="shared" si="566"/>
        <v>0</v>
      </c>
      <c r="AZ373" s="1482">
        <f t="shared" si="566"/>
        <v>0</v>
      </c>
      <c r="BA373" s="1482">
        <f t="shared" si="566"/>
        <v>0</v>
      </c>
      <c r="BB373" s="1482">
        <f t="shared" si="566"/>
        <v>0</v>
      </c>
      <c r="BC373" s="1430"/>
      <c r="BD373" s="1422"/>
      <c r="BE373" s="1571" t="s">
        <v>1219</v>
      </c>
      <c r="BF373" s="1436">
        <v>23</v>
      </c>
      <c r="BG373" s="1436">
        <v>20</v>
      </c>
      <c r="BH373" s="1436">
        <v>1</v>
      </c>
      <c r="BI373" s="1495" t="b">
        <f t="shared" si="505"/>
        <v>1</v>
      </c>
      <c r="BJ373" s="1450" t="b">
        <f t="shared" si="515"/>
        <v>0</v>
      </c>
      <c r="BK373" s="1572">
        <f t="shared" si="516"/>
        <v>0</v>
      </c>
      <c r="BL373" s="1581">
        <f>IF(SUM(BL$354:BL372,BK373)&gt;$BU$4,0,BK373)</f>
        <v>0</v>
      </c>
      <c r="BM373" s="1436">
        <f t="shared" si="490"/>
        <v>0</v>
      </c>
      <c r="BN373" s="1495">
        <f t="shared" si="491"/>
        <v>0</v>
      </c>
      <c r="BO373" s="1437">
        <f t="shared" si="510"/>
        <v>0</v>
      </c>
      <c r="BP373" s="1574">
        <f t="shared" si="517"/>
        <v>0</v>
      </c>
      <c r="BQ373" s="1577">
        <f t="shared" si="518"/>
        <v>0</v>
      </c>
      <c r="BR373" s="1576">
        <f t="shared" si="492"/>
        <v>0</v>
      </c>
      <c r="BS373" s="1574">
        <f t="shared" si="519"/>
        <v>0</v>
      </c>
      <c r="BT373" s="1577">
        <f t="shared" si="520"/>
        <v>0</v>
      </c>
      <c r="BU373" s="1576">
        <f t="shared" si="493"/>
        <v>0</v>
      </c>
      <c r="BV373" s="1574">
        <f t="shared" si="521"/>
        <v>0</v>
      </c>
      <c r="BW373" s="1577">
        <f t="shared" si="522"/>
        <v>0</v>
      </c>
      <c r="BX373" s="1576">
        <f t="shared" si="494"/>
        <v>0</v>
      </c>
      <c r="BY373" s="1574">
        <f t="shared" si="523"/>
        <v>0</v>
      </c>
      <c r="BZ373" s="1577">
        <f t="shared" si="524"/>
        <v>0</v>
      </c>
      <c r="CA373" s="1576">
        <f t="shared" si="495"/>
        <v>0</v>
      </c>
      <c r="CB373" s="1495">
        <f t="shared" si="525"/>
        <v>0</v>
      </c>
      <c r="CC373" s="1577">
        <f t="shared" si="526"/>
        <v>0</v>
      </c>
      <c r="CD373" s="1576">
        <f t="shared" si="496"/>
        <v>0</v>
      </c>
      <c r="CE373" s="1495">
        <f t="shared" si="527"/>
        <v>0</v>
      </c>
      <c r="CF373" s="1577">
        <f t="shared" si="528"/>
        <v>0</v>
      </c>
      <c r="CG373" s="1576">
        <f t="shared" si="497"/>
        <v>0</v>
      </c>
      <c r="CH373" s="1495">
        <f t="shared" si="529"/>
        <v>0</v>
      </c>
      <c r="CI373" s="1577">
        <f t="shared" si="530"/>
        <v>0</v>
      </c>
      <c r="CJ373" s="1576">
        <f t="shared" si="498"/>
        <v>0</v>
      </c>
      <c r="CK373" s="1495">
        <f t="shared" si="531"/>
        <v>0</v>
      </c>
      <c r="CL373" s="1577">
        <f t="shared" si="532"/>
        <v>0</v>
      </c>
      <c r="CM373" s="1576">
        <f t="shared" si="499"/>
        <v>0</v>
      </c>
      <c r="CN373" s="1495">
        <f t="shared" si="533"/>
        <v>0</v>
      </c>
      <c r="CO373" s="1577">
        <f t="shared" si="534"/>
        <v>0</v>
      </c>
      <c r="CP373" s="1576">
        <f t="shared" si="500"/>
        <v>0</v>
      </c>
      <c r="CQ373" s="1495">
        <f t="shared" si="535"/>
        <v>0</v>
      </c>
      <c r="CR373" s="1577">
        <f t="shared" si="536"/>
        <v>0</v>
      </c>
      <c r="CS373" s="1576">
        <f t="shared" si="501"/>
        <v>0</v>
      </c>
      <c r="CT373" s="1495">
        <f t="shared" si="537"/>
        <v>0</v>
      </c>
      <c r="CU373" s="1577">
        <f t="shared" si="538"/>
        <v>0</v>
      </c>
      <c r="CV373" s="1576">
        <f t="shared" si="502"/>
        <v>0</v>
      </c>
      <c r="CW373" s="1495">
        <f t="shared" si="539"/>
        <v>0</v>
      </c>
      <c r="CX373" s="1577">
        <f t="shared" si="540"/>
        <v>0</v>
      </c>
      <c r="CY373" s="1576">
        <f t="shared" si="503"/>
        <v>0</v>
      </c>
      <c r="CZ373" s="1574">
        <f t="shared" si="504"/>
        <v>0</v>
      </c>
      <c r="DA373" s="1578">
        <f t="shared" si="506"/>
        <v>0</v>
      </c>
      <c r="DB373" s="1579">
        <f t="shared" si="507"/>
        <v>0</v>
      </c>
      <c r="DC373" s="1578">
        <f t="shared" si="508"/>
        <v>0</v>
      </c>
      <c r="DD373" s="1578">
        <f t="shared" si="508"/>
        <v>0</v>
      </c>
      <c r="DE373" s="1578">
        <f t="shared" si="508"/>
        <v>0</v>
      </c>
      <c r="DF373" s="1578">
        <f t="shared" si="509"/>
        <v>0</v>
      </c>
      <c r="DG373" s="1420"/>
      <c r="DH373" s="1420"/>
      <c r="DI373" s="1422"/>
      <c r="DJ373" s="1428"/>
      <c r="DK373" s="1428"/>
      <c r="DL373" s="1428"/>
      <c r="DM373" s="1428"/>
      <c r="DN373" s="1428"/>
      <c r="DO373" s="1428"/>
      <c r="DP373" s="1428"/>
      <c r="DQ373" s="1422"/>
      <c r="DR373" s="1428"/>
      <c r="DS373" s="1428"/>
      <c r="DT373" s="1428"/>
      <c r="DU373" s="1428"/>
      <c r="DV373" s="1428"/>
      <c r="DW373" s="1428"/>
      <c r="DX373" s="1428"/>
      <c r="DY373" s="1428"/>
      <c r="DZ373" s="1428"/>
      <c r="EA373" s="1428"/>
      <c r="EB373" s="1428"/>
      <c r="EC373" s="1428"/>
      <c r="ED373" s="1428"/>
      <c r="EE373" s="1428"/>
      <c r="EF373" s="1428"/>
      <c r="EG373" s="1428"/>
      <c r="EH373" s="1428"/>
      <c r="EI373" s="1428"/>
      <c r="EJ373" s="1428"/>
      <c r="EK373" s="1428"/>
      <c r="EL373" s="1428"/>
      <c r="EM373" s="1428"/>
      <c r="EN373" s="1428"/>
      <c r="EO373" s="1428"/>
      <c r="EP373" s="1428"/>
      <c r="EQ373" s="1428"/>
      <c r="ER373" s="1428"/>
      <c r="ES373" s="1428"/>
      <c r="ET373" s="1428"/>
      <c r="EU373" s="1428"/>
    </row>
    <row r="374" spans="1:151" s="1440" customFormat="1" ht="15" customHeight="1">
      <c r="A374" s="1892"/>
      <c r="B374" s="1596"/>
      <c r="C374" s="2449"/>
      <c r="D374" s="2449"/>
      <c r="E374" s="2449"/>
      <c r="F374" s="2449"/>
      <c r="G374" s="1475"/>
      <c r="H374" s="1475"/>
      <c r="I374" s="1475"/>
      <c r="J374" s="1475"/>
      <c r="K374" s="1475"/>
      <c r="L374" s="1475"/>
      <c r="M374" s="1475"/>
      <c r="N374" s="1430"/>
      <c r="O374" s="1430"/>
      <c r="P374" s="1640" t="s">
        <v>883</v>
      </c>
      <c r="Q374" s="1436">
        <f t="shared" si="541"/>
        <v>0</v>
      </c>
      <c r="R374" s="1436">
        <f t="shared" si="542"/>
        <v>0</v>
      </c>
      <c r="S374" s="1436">
        <f t="shared" si="543"/>
        <v>0</v>
      </c>
      <c r="T374" s="1436">
        <f t="shared" si="544"/>
        <v>0</v>
      </c>
      <c r="U374" s="1436">
        <f t="shared" si="545"/>
        <v>0</v>
      </c>
      <c r="V374" s="1495">
        <f t="shared" si="546"/>
        <v>0</v>
      </c>
      <c r="W374" s="1495">
        <f t="shared" si="547"/>
        <v>0</v>
      </c>
      <c r="X374" s="1495">
        <f t="shared" si="548"/>
        <v>0</v>
      </c>
      <c r="Y374" s="1495">
        <f t="shared" si="549"/>
        <v>0</v>
      </c>
      <c r="Z374" s="1495">
        <f t="shared" si="550"/>
        <v>0</v>
      </c>
      <c r="AA374" s="1495">
        <f t="shared" si="551"/>
        <v>0</v>
      </c>
      <c r="AB374" s="1885">
        <f t="shared" si="552"/>
        <v>0</v>
      </c>
      <c r="AC374" s="1482">
        <f t="shared" si="553"/>
        <v>0</v>
      </c>
      <c r="AD374" s="1482">
        <f t="shared" si="554"/>
        <v>0</v>
      </c>
      <c r="AE374" s="1482">
        <f t="shared" si="555"/>
        <v>0</v>
      </c>
      <c r="AF374" s="1482">
        <f t="shared" si="556"/>
        <v>0</v>
      </c>
      <c r="AG374" s="1482">
        <f t="shared" si="557"/>
        <v>0</v>
      </c>
      <c r="AH374" s="1482">
        <f t="shared" si="558"/>
        <v>0</v>
      </c>
      <c r="AI374" s="1482">
        <f t="shared" si="559"/>
        <v>0</v>
      </c>
      <c r="AJ374" s="1482">
        <f t="shared" si="560"/>
        <v>0</v>
      </c>
      <c r="AK374" s="1482">
        <f t="shared" si="561"/>
        <v>0</v>
      </c>
      <c r="AL374" s="1482">
        <f t="shared" si="562"/>
        <v>0</v>
      </c>
      <c r="AM374" s="1482">
        <f t="shared" si="563"/>
        <v>0</v>
      </c>
      <c r="AN374" s="1482">
        <f t="shared" si="564"/>
        <v>0</v>
      </c>
      <c r="AO374" s="1886">
        <f t="shared" si="567"/>
        <v>0</v>
      </c>
      <c r="AP374" s="1887">
        <f t="shared" si="565"/>
        <v>0</v>
      </c>
      <c r="AQ374" s="1482">
        <f t="shared" si="566"/>
        <v>0</v>
      </c>
      <c r="AR374" s="1482">
        <f t="shared" si="566"/>
        <v>0</v>
      </c>
      <c r="AS374" s="1482">
        <f t="shared" si="566"/>
        <v>0</v>
      </c>
      <c r="AT374" s="1482">
        <f t="shared" si="566"/>
        <v>0</v>
      </c>
      <c r="AU374" s="1482">
        <f t="shared" si="566"/>
        <v>0</v>
      </c>
      <c r="AV374" s="1482">
        <f t="shared" si="566"/>
        <v>0</v>
      </c>
      <c r="AW374" s="1482">
        <f t="shared" si="566"/>
        <v>0</v>
      </c>
      <c r="AX374" s="1482">
        <f t="shared" si="566"/>
        <v>0</v>
      </c>
      <c r="AY374" s="1482">
        <f t="shared" si="566"/>
        <v>0</v>
      </c>
      <c r="AZ374" s="1482">
        <f t="shared" si="566"/>
        <v>0</v>
      </c>
      <c r="BA374" s="1482">
        <f t="shared" si="566"/>
        <v>0</v>
      </c>
      <c r="BB374" s="1482">
        <f t="shared" si="566"/>
        <v>0</v>
      </c>
      <c r="BC374" s="1430"/>
      <c r="BD374" s="1422"/>
      <c r="BE374" s="1571" t="s">
        <v>1219</v>
      </c>
      <c r="BF374" s="1436">
        <v>23</v>
      </c>
      <c r="BG374" s="1436">
        <v>21</v>
      </c>
      <c r="BH374" s="1436">
        <v>2</v>
      </c>
      <c r="BI374" s="1495" t="b">
        <f t="shared" si="505"/>
        <v>1</v>
      </c>
      <c r="BJ374" s="1450" t="b">
        <f t="shared" si="515"/>
        <v>1</v>
      </c>
      <c r="BK374" s="1572">
        <f t="shared" si="516"/>
        <v>7.3636363636363633</v>
      </c>
      <c r="BL374" s="1581">
        <f>IF(SUM(BL$354:BL373,BK374)&gt;$BU$4,0,BK374)</f>
        <v>7.3636363636363633</v>
      </c>
      <c r="BM374" s="1436">
        <f t="shared" si="490"/>
        <v>0</v>
      </c>
      <c r="BN374" s="1495">
        <f t="shared" si="491"/>
        <v>0</v>
      </c>
      <c r="BO374" s="1437">
        <f t="shared" si="510"/>
        <v>0</v>
      </c>
      <c r="BP374" s="1574">
        <f t="shared" si="517"/>
        <v>0</v>
      </c>
      <c r="BQ374" s="1577">
        <f t="shared" si="518"/>
        <v>0</v>
      </c>
      <c r="BR374" s="1576">
        <f t="shared" si="492"/>
        <v>0</v>
      </c>
      <c r="BS374" s="1574">
        <f t="shared" si="519"/>
        <v>0</v>
      </c>
      <c r="BT374" s="1577">
        <f t="shared" si="520"/>
        <v>0</v>
      </c>
      <c r="BU374" s="1576">
        <f t="shared" si="493"/>
        <v>0</v>
      </c>
      <c r="BV374" s="1574">
        <f t="shared" si="521"/>
        <v>0</v>
      </c>
      <c r="BW374" s="1577">
        <f t="shared" si="522"/>
        <v>0</v>
      </c>
      <c r="BX374" s="1576">
        <f t="shared" si="494"/>
        <v>0</v>
      </c>
      <c r="BY374" s="1574">
        <f t="shared" si="523"/>
        <v>0</v>
      </c>
      <c r="BZ374" s="1577">
        <f t="shared" si="524"/>
        <v>0</v>
      </c>
      <c r="CA374" s="1576">
        <f t="shared" si="495"/>
        <v>0</v>
      </c>
      <c r="CB374" s="1495">
        <f t="shared" si="525"/>
        <v>0</v>
      </c>
      <c r="CC374" s="1577">
        <f t="shared" si="526"/>
        <v>0</v>
      </c>
      <c r="CD374" s="1576">
        <f t="shared" si="496"/>
        <v>0</v>
      </c>
      <c r="CE374" s="1495">
        <f t="shared" si="527"/>
        <v>0</v>
      </c>
      <c r="CF374" s="1577">
        <f t="shared" si="528"/>
        <v>0</v>
      </c>
      <c r="CG374" s="1576">
        <f t="shared" si="497"/>
        <v>0</v>
      </c>
      <c r="CH374" s="1495">
        <f t="shared" si="529"/>
        <v>0</v>
      </c>
      <c r="CI374" s="1577">
        <f t="shared" si="530"/>
        <v>0</v>
      </c>
      <c r="CJ374" s="1576">
        <f t="shared" si="498"/>
        <v>0</v>
      </c>
      <c r="CK374" s="1495">
        <f t="shared" si="531"/>
        <v>0</v>
      </c>
      <c r="CL374" s="1577">
        <f t="shared" si="532"/>
        <v>0</v>
      </c>
      <c r="CM374" s="1576">
        <f t="shared" si="499"/>
        <v>0</v>
      </c>
      <c r="CN374" s="1495">
        <f t="shared" si="533"/>
        <v>0</v>
      </c>
      <c r="CO374" s="1577">
        <f t="shared" si="534"/>
        <v>0</v>
      </c>
      <c r="CP374" s="1576">
        <f t="shared" si="500"/>
        <v>0</v>
      </c>
      <c r="CQ374" s="1495">
        <f t="shared" si="535"/>
        <v>0</v>
      </c>
      <c r="CR374" s="1577">
        <f t="shared" si="536"/>
        <v>0</v>
      </c>
      <c r="CS374" s="1576">
        <f t="shared" si="501"/>
        <v>0</v>
      </c>
      <c r="CT374" s="1495">
        <f t="shared" si="537"/>
        <v>0</v>
      </c>
      <c r="CU374" s="1577">
        <f t="shared" si="538"/>
        <v>0</v>
      </c>
      <c r="CV374" s="1576">
        <f t="shared" si="502"/>
        <v>0</v>
      </c>
      <c r="CW374" s="1495">
        <f t="shared" si="539"/>
        <v>0</v>
      </c>
      <c r="CX374" s="1577">
        <f t="shared" si="540"/>
        <v>0</v>
      </c>
      <c r="CY374" s="1576">
        <f t="shared" si="503"/>
        <v>0</v>
      </c>
      <c r="CZ374" s="1574">
        <f t="shared" si="504"/>
        <v>0</v>
      </c>
      <c r="DA374" s="1578">
        <f t="shared" si="506"/>
        <v>0</v>
      </c>
      <c r="DB374" s="1579">
        <f t="shared" si="507"/>
        <v>0</v>
      </c>
      <c r="DC374" s="1578">
        <f t="shared" si="508"/>
        <v>0</v>
      </c>
      <c r="DD374" s="1578">
        <f t="shared" si="508"/>
        <v>0</v>
      </c>
      <c r="DE374" s="1578">
        <f t="shared" si="508"/>
        <v>0</v>
      </c>
      <c r="DF374" s="1578">
        <f>IF(DA374-(DE373+CZ374)&lt;0,0,DA374-(DE373+CZ374))</f>
        <v>0</v>
      </c>
      <c r="DG374" s="1420"/>
      <c r="DH374" s="1420"/>
      <c r="DI374" s="1422"/>
      <c r="DJ374" s="1428"/>
      <c r="DK374" s="1428"/>
      <c r="DL374" s="1428"/>
      <c r="DM374" s="1428"/>
      <c r="DN374" s="1428"/>
      <c r="DO374" s="1428"/>
      <c r="DP374" s="1428"/>
      <c r="DQ374" s="1422"/>
      <c r="DR374" s="1428"/>
      <c r="DS374" s="1428"/>
      <c r="DT374" s="1428"/>
      <c r="DU374" s="1428"/>
      <c r="DV374" s="1428"/>
      <c r="DW374" s="1428"/>
      <c r="DX374" s="1428"/>
      <c r="DY374" s="1428"/>
      <c r="DZ374" s="1428"/>
      <c r="EA374" s="1428"/>
      <c r="EB374" s="1428"/>
      <c r="EC374" s="1428"/>
      <c r="ED374" s="1428"/>
      <c r="EE374" s="1428"/>
      <c r="EF374" s="1428"/>
      <c r="EG374" s="1428"/>
      <c r="EH374" s="1428"/>
      <c r="EI374" s="1428"/>
      <c r="EJ374" s="1428"/>
      <c r="EK374" s="1428"/>
      <c r="EL374" s="1428"/>
      <c r="EM374" s="1428"/>
      <c r="EN374" s="1428"/>
      <c r="EO374" s="1428"/>
      <c r="EP374" s="1428"/>
      <c r="EQ374" s="1428"/>
      <c r="ER374" s="1428"/>
      <c r="ES374" s="1428"/>
      <c r="ET374" s="1428"/>
      <c r="EU374" s="1428"/>
    </row>
    <row r="375" spans="1:151" s="1440" customFormat="1" ht="18" customHeight="1">
      <c r="A375" s="1594"/>
      <c r="B375" s="1596" t="s">
        <v>1540</v>
      </c>
      <c r="C375" s="1893"/>
      <c r="D375" s="1758">
        <f>C337</f>
        <v>0</v>
      </c>
      <c r="E375" s="1662"/>
      <c r="F375" s="1758">
        <f>Q384</f>
        <v>0</v>
      </c>
      <c r="G375" s="1475"/>
      <c r="L375" s="1586"/>
      <c r="M375" s="1586"/>
      <c r="N375" s="1430"/>
      <c r="O375" s="1430"/>
      <c r="P375" s="1640" t="s">
        <v>884</v>
      </c>
      <c r="Q375" s="1436">
        <f t="shared" si="541"/>
        <v>0</v>
      </c>
      <c r="R375" s="1436">
        <f t="shared" si="542"/>
        <v>0</v>
      </c>
      <c r="S375" s="1436">
        <f t="shared" si="543"/>
        <v>0</v>
      </c>
      <c r="T375" s="1436">
        <f t="shared" si="544"/>
        <v>0</v>
      </c>
      <c r="U375" s="1436">
        <f t="shared" si="545"/>
        <v>0</v>
      </c>
      <c r="V375" s="1495">
        <f t="shared" si="546"/>
        <v>0</v>
      </c>
      <c r="W375" s="1495">
        <f t="shared" si="547"/>
        <v>0</v>
      </c>
      <c r="X375" s="1495">
        <f t="shared" si="548"/>
        <v>0</v>
      </c>
      <c r="Y375" s="1495">
        <f t="shared" si="549"/>
        <v>0</v>
      </c>
      <c r="Z375" s="1495">
        <f t="shared" si="550"/>
        <v>0</v>
      </c>
      <c r="AA375" s="1495">
        <f t="shared" si="551"/>
        <v>0</v>
      </c>
      <c r="AB375" s="1885">
        <f t="shared" si="552"/>
        <v>0</v>
      </c>
      <c r="AC375" s="1482">
        <f t="shared" si="553"/>
        <v>0</v>
      </c>
      <c r="AD375" s="1482">
        <f t="shared" si="554"/>
        <v>0</v>
      </c>
      <c r="AE375" s="1482">
        <f t="shared" si="555"/>
        <v>0</v>
      </c>
      <c r="AF375" s="1482">
        <f t="shared" si="556"/>
        <v>0</v>
      </c>
      <c r="AG375" s="1482">
        <f t="shared" si="557"/>
        <v>0</v>
      </c>
      <c r="AH375" s="1482">
        <f t="shared" si="558"/>
        <v>0</v>
      </c>
      <c r="AI375" s="1482">
        <f t="shared" si="559"/>
        <v>0</v>
      </c>
      <c r="AJ375" s="1482">
        <f t="shared" si="560"/>
        <v>0</v>
      </c>
      <c r="AK375" s="1482">
        <f t="shared" si="561"/>
        <v>0</v>
      </c>
      <c r="AL375" s="1482">
        <f t="shared" si="562"/>
        <v>0</v>
      </c>
      <c r="AM375" s="1482">
        <f t="shared" si="563"/>
        <v>0</v>
      </c>
      <c r="AN375" s="1482">
        <f t="shared" si="564"/>
        <v>0</v>
      </c>
      <c r="AO375" s="1886">
        <f t="shared" si="567"/>
        <v>0</v>
      </c>
      <c r="AP375" s="1887">
        <f t="shared" si="565"/>
        <v>0</v>
      </c>
      <c r="AQ375" s="1482">
        <f t="shared" si="566"/>
        <v>0</v>
      </c>
      <c r="AR375" s="1482">
        <f t="shared" si="566"/>
        <v>0</v>
      </c>
      <c r="AS375" s="1482">
        <f t="shared" si="566"/>
        <v>0</v>
      </c>
      <c r="AT375" s="1482">
        <f t="shared" si="566"/>
        <v>0</v>
      </c>
      <c r="AU375" s="1482">
        <f t="shared" si="566"/>
        <v>0</v>
      </c>
      <c r="AV375" s="1482">
        <f t="shared" si="566"/>
        <v>0</v>
      </c>
      <c r="AW375" s="1482">
        <f t="shared" si="566"/>
        <v>0</v>
      </c>
      <c r="AX375" s="1482">
        <f t="shared" si="566"/>
        <v>0</v>
      </c>
      <c r="AY375" s="1482">
        <f t="shared" si="566"/>
        <v>0</v>
      </c>
      <c r="AZ375" s="1482">
        <f t="shared" si="566"/>
        <v>0</v>
      </c>
      <c r="BA375" s="1482">
        <f t="shared" si="566"/>
        <v>0</v>
      </c>
      <c r="BB375" s="1482">
        <f t="shared" si="566"/>
        <v>0</v>
      </c>
      <c r="BC375" s="1430"/>
      <c r="BD375" s="1422"/>
      <c r="BE375" s="1571" t="s">
        <v>1219</v>
      </c>
      <c r="BF375" s="1436">
        <v>23</v>
      </c>
      <c r="BG375" s="1436">
        <v>22</v>
      </c>
      <c r="BH375" s="1436">
        <v>3</v>
      </c>
      <c r="BI375" s="1495" t="b">
        <f t="shared" si="505"/>
        <v>1</v>
      </c>
      <c r="BJ375" s="1450" t="b">
        <f t="shared" si="515"/>
        <v>0</v>
      </c>
      <c r="BK375" s="1572">
        <f t="shared" si="516"/>
        <v>0</v>
      </c>
      <c r="BL375" s="1581">
        <f>IF(SUM(BL$354:BL374,BK375)&gt;$BU$4,0,BK375)</f>
        <v>0</v>
      </c>
      <c r="BM375" s="1436">
        <f t="shared" si="490"/>
        <v>0</v>
      </c>
      <c r="BN375" s="1495">
        <f t="shared" si="491"/>
        <v>0</v>
      </c>
      <c r="BO375" s="1437">
        <f t="shared" si="510"/>
        <v>0</v>
      </c>
      <c r="BP375" s="1574">
        <f t="shared" si="517"/>
        <v>0</v>
      </c>
      <c r="BQ375" s="1577">
        <f t="shared" si="518"/>
        <v>0</v>
      </c>
      <c r="BR375" s="1576">
        <f t="shared" si="492"/>
        <v>0</v>
      </c>
      <c r="BS375" s="1574">
        <f t="shared" si="519"/>
        <v>0</v>
      </c>
      <c r="BT375" s="1577">
        <f t="shared" si="520"/>
        <v>0</v>
      </c>
      <c r="BU375" s="1576">
        <f t="shared" si="493"/>
        <v>0</v>
      </c>
      <c r="BV375" s="1574">
        <f t="shared" si="521"/>
        <v>0</v>
      </c>
      <c r="BW375" s="1577">
        <f t="shared" si="522"/>
        <v>0</v>
      </c>
      <c r="BX375" s="1576">
        <f t="shared" si="494"/>
        <v>0</v>
      </c>
      <c r="BY375" s="1574">
        <f t="shared" si="523"/>
        <v>0</v>
      </c>
      <c r="BZ375" s="1577">
        <f t="shared" si="524"/>
        <v>0</v>
      </c>
      <c r="CA375" s="1576">
        <f t="shared" si="495"/>
        <v>0</v>
      </c>
      <c r="CB375" s="1495">
        <f t="shared" si="525"/>
        <v>0</v>
      </c>
      <c r="CC375" s="1577">
        <f t="shared" si="526"/>
        <v>0</v>
      </c>
      <c r="CD375" s="1576">
        <f t="shared" si="496"/>
        <v>0</v>
      </c>
      <c r="CE375" s="1495">
        <f t="shared" si="527"/>
        <v>0</v>
      </c>
      <c r="CF375" s="1577">
        <f t="shared" si="528"/>
        <v>0</v>
      </c>
      <c r="CG375" s="1576">
        <f t="shared" si="497"/>
        <v>0</v>
      </c>
      <c r="CH375" s="1495">
        <f t="shared" si="529"/>
        <v>0</v>
      </c>
      <c r="CI375" s="1577">
        <f t="shared" si="530"/>
        <v>0</v>
      </c>
      <c r="CJ375" s="1576">
        <f t="shared" si="498"/>
        <v>0</v>
      </c>
      <c r="CK375" s="1495">
        <f t="shared" si="531"/>
        <v>0</v>
      </c>
      <c r="CL375" s="1577">
        <f t="shared" si="532"/>
        <v>0</v>
      </c>
      <c r="CM375" s="1576">
        <f t="shared" si="499"/>
        <v>0</v>
      </c>
      <c r="CN375" s="1495">
        <f t="shared" si="533"/>
        <v>0</v>
      </c>
      <c r="CO375" s="1577">
        <f t="shared" si="534"/>
        <v>0</v>
      </c>
      <c r="CP375" s="1576">
        <f t="shared" si="500"/>
        <v>0</v>
      </c>
      <c r="CQ375" s="1495">
        <f t="shared" si="535"/>
        <v>0</v>
      </c>
      <c r="CR375" s="1577">
        <f t="shared" si="536"/>
        <v>0</v>
      </c>
      <c r="CS375" s="1576">
        <f t="shared" si="501"/>
        <v>0</v>
      </c>
      <c r="CT375" s="1495">
        <f t="shared" si="537"/>
        <v>0</v>
      </c>
      <c r="CU375" s="1577">
        <f t="shared" si="538"/>
        <v>0</v>
      </c>
      <c r="CV375" s="1576">
        <f t="shared" si="502"/>
        <v>0</v>
      </c>
      <c r="CW375" s="1495">
        <f t="shared" si="539"/>
        <v>0</v>
      </c>
      <c r="CX375" s="1577">
        <f t="shared" si="540"/>
        <v>0</v>
      </c>
      <c r="CY375" s="1576">
        <f t="shared" si="503"/>
        <v>0</v>
      </c>
      <c r="CZ375" s="1574">
        <f t="shared" si="504"/>
        <v>0</v>
      </c>
      <c r="DA375" s="1578">
        <f t="shared" si="506"/>
        <v>0</v>
      </c>
      <c r="DB375" s="1579">
        <f t="shared" si="507"/>
        <v>0</v>
      </c>
      <c r="DC375" s="1578">
        <f t="shared" si="508"/>
        <v>0</v>
      </c>
      <c r="DD375" s="1578">
        <f t="shared" si="508"/>
        <v>0</v>
      </c>
      <c r="DE375" s="1578">
        <f t="shared" si="508"/>
        <v>0</v>
      </c>
      <c r="DF375" s="1578">
        <f t="shared" si="509"/>
        <v>0</v>
      </c>
      <c r="DG375" s="1420"/>
      <c r="DH375" s="1420"/>
      <c r="DI375" s="1422"/>
      <c r="DJ375" s="1428"/>
      <c r="DK375" s="1428"/>
      <c r="DL375" s="1428"/>
      <c r="DM375" s="1428"/>
      <c r="DN375" s="1428"/>
      <c r="DO375" s="1428"/>
      <c r="DP375" s="1428"/>
      <c r="DQ375" s="1422"/>
      <c r="DR375" s="1428"/>
      <c r="DS375" s="1428"/>
      <c r="DT375" s="1428"/>
      <c r="DU375" s="1428"/>
      <c r="DV375" s="1428"/>
      <c r="DW375" s="1428"/>
      <c r="DX375" s="1428"/>
      <c r="DY375" s="1428"/>
      <c r="DZ375" s="1428"/>
      <c r="EA375" s="1428"/>
      <c r="EB375" s="1428"/>
      <c r="EC375" s="1428"/>
      <c r="ED375" s="1428"/>
      <c r="EE375" s="1428"/>
      <c r="EF375" s="1428"/>
      <c r="EG375" s="1428"/>
      <c r="EH375" s="1428"/>
      <c r="EI375" s="1428"/>
      <c r="EJ375" s="1428"/>
      <c r="EK375" s="1428"/>
      <c r="EL375" s="1428"/>
      <c r="EM375" s="1428"/>
      <c r="EN375" s="1428"/>
      <c r="EO375" s="1428"/>
      <c r="EP375" s="1428"/>
      <c r="EQ375" s="1428"/>
      <c r="ER375" s="1428"/>
      <c r="ES375" s="1428"/>
      <c r="ET375" s="1428"/>
      <c r="EU375" s="1428"/>
    </row>
    <row r="376" spans="1:151" s="1440" customFormat="1" ht="18" customHeight="1">
      <c r="A376" s="1594"/>
      <c r="B376" s="1596" t="s">
        <v>457</v>
      </c>
      <c r="C376" s="1893"/>
      <c r="D376" s="1758">
        <f>C338</f>
        <v>0</v>
      </c>
      <c r="E376" s="1662"/>
      <c r="F376" s="1758">
        <f>R384</f>
        <v>0</v>
      </c>
      <c r="G376" s="1475"/>
      <c r="L376" s="1586"/>
      <c r="M376" s="1586"/>
      <c r="N376" s="1430"/>
      <c r="O376" s="1430"/>
      <c r="P376" s="1640" t="s">
        <v>885</v>
      </c>
      <c r="Q376" s="1436">
        <f t="shared" si="541"/>
        <v>0</v>
      </c>
      <c r="R376" s="1436">
        <f t="shared" si="542"/>
        <v>0</v>
      </c>
      <c r="S376" s="1436">
        <f t="shared" si="543"/>
        <v>0</v>
      </c>
      <c r="T376" s="1436">
        <f t="shared" si="544"/>
        <v>0</v>
      </c>
      <c r="U376" s="1436">
        <f t="shared" si="545"/>
        <v>0</v>
      </c>
      <c r="V376" s="1495">
        <f t="shared" si="546"/>
        <v>0</v>
      </c>
      <c r="W376" s="1495">
        <f t="shared" si="547"/>
        <v>0</v>
      </c>
      <c r="X376" s="1495">
        <f t="shared" si="548"/>
        <v>0</v>
      </c>
      <c r="Y376" s="1495">
        <f t="shared" si="549"/>
        <v>0</v>
      </c>
      <c r="Z376" s="1495">
        <f t="shared" si="550"/>
        <v>0</v>
      </c>
      <c r="AA376" s="1495">
        <f t="shared" si="551"/>
        <v>0</v>
      </c>
      <c r="AB376" s="1885">
        <f t="shared" si="552"/>
        <v>0</v>
      </c>
      <c r="AC376" s="1482">
        <f t="shared" si="553"/>
        <v>0</v>
      </c>
      <c r="AD376" s="1482">
        <f t="shared" si="554"/>
        <v>0</v>
      </c>
      <c r="AE376" s="1482">
        <f t="shared" si="555"/>
        <v>0</v>
      </c>
      <c r="AF376" s="1482">
        <f t="shared" si="556"/>
        <v>0</v>
      </c>
      <c r="AG376" s="1482">
        <f t="shared" si="557"/>
        <v>0</v>
      </c>
      <c r="AH376" s="1482">
        <f t="shared" si="558"/>
        <v>0</v>
      </c>
      <c r="AI376" s="1482">
        <f t="shared" si="559"/>
        <v>0</v>
      </c>
      <c r="AJ376" s="1482">
        <f t="shared" si="560"/>
        <v>0</v>
      </c>
      <c r="AK376" s="1482">
        <f t="shared" si="561"/>
        <v>0</v>
      </c>
      <c r="AL376" s="1482">
        <f t="shared" si="562"/>
        <v>0</v>
      </c>
      <c r="AM376" s="1482">
        <f t="shared" si="563"/>
        <v>0</v>
      </c>
      <c r="AN376" s="1482">
        <f t="shared" si="564"/>
        <v>0</v>
      </c>
      <c r="AO376" s="1886">
        <f t="shared" si="567"/>
        <v>0</v>
      </c>
      <c r="AP376" s="1887">
        <f t="shared" si="565"/>
        <v>0</v>
      </c>
      <c r="AQ376" s="1482">
        <f t="shared" si="566"/>
        <v>0</v>
      </c>
      <c r="AR376" s="1482">
        <f t="shared" si="566"/>
        <v>0</v>
      </c>
      <c r="AS376" s="1482">
        <f t="shared" si="566"/>
        <v>0</v>
      </c>
      <c r="AT376" s="1482">
        <f t="shared" si="566"/>
        <v>0</v>
      </c>
      <c r="AU376" s="1482">
        <f t="shared" si="566"/>
        <v>0</v>
      </c>
      <c r="AV376" s="1482">
        <f t="shared" si="566"/>
        <v>0</v>
      </c>
      <c r="AW376" s="1482">
        <f t="shared" si="566"/>
        <v>0</v>
      </c>
      <c r="AX376" s="1482">
        <f t="shared" si="566"/>
        <v>0</v>
      </c>
      <c r="AY376" s="1482">
        <f t="shared" si="566"/>
        <v>0</v>
      </c>
      <c r="AZ376" s="1482">
        <f t="shared" si="566"/>
        <v>0</v>
      </c>
      <c r="BA376" s="1482">
        <f t="shared" si="566"/>
        <v>0</v>
      </c>
      <c r="BB376" s="1482">
        <f t="shared" si="566"/>
        <v>0</v>
      </c>
      <c r="BC376" s="1430"/>
      <c r="BD376" s="1422"/>
      <c r="BE376" s="1571" t="s">
        <v>1219</v>
      </c>
      <c r="BF376" s="1436">
        <v>23</v>
      </c>
      <c r="BG376" s="1436">
        <v>23</v>
      </c>
      <c r="BH376" s="1436">
        <v>4</v>
      </c>
      <c r="BI376" s="1495" t="b">
        <f t="shared" si="505"/>
        <v>1</v>
      </c>
      <c r="BJ376" s="1450" t="b">
        <f t="shared" si="515"/>
        <v>0</v>
      </c>
      <c r="BK376" s="1572">
        <f t="shared" si="516"/>
        <v>0</v>
      </c>
      <c r="BL376" s="1581">
        <f>IF(SUM(BL$354:BL375,BK376)&gt;$BU$4,0,BK376)</f>
        <v>0</v>
      </c>
      <c r="BM376" s="1436">
        <f t="shared" si="490"/>
        <v>0</v>
      </c>
      <c r="BN376" s="1495">
        <f t="shared" si="491"/>
        <v>0</v>
      </c>
      <c r="BO376" s="1437">
        <f t="shared" si="510"/>
        <v>0</v>
      </c>
      <c r="BP376" s="1574">
        <f t="shared" si="517"/>
        <v>0</v>
      </c>
      <c r="BQ376" s="1577">
        <f t="shared" si="518"/>
        <v>0</v>
      </c>
      <c r="BR376" s="1576">
        <f t="shared" si="492"/>
        <v>0</v>
      </c>
      <c r="BS376" s="1574">
        <f t="shared" si="519"/>
        <v>0</v>
      </c>
      <c r="BT376" s="1577">
        <f t="shared" si="520"/>
        <v>0</v>
      </c>
      <c r="BU376" s="1576">
        <f t="shared" si="493"/>
        <v>0</v>
      </c>
      <c r="BV376" s="1574">
        <f t="shared" si="521"/>
        <v>0</v>
      </c>
      <c r="BW376" s="1577">
        <f t="shared" si="522"/>
        <v>0</v>
      </c>
      <c r="BX376" s="1576">
        <f t="shared" si="494"/>
        <v>0</v>
      </c>
      <c r="BY376" s="1574">
        <f t="shared" si="523"/>
        <v>0</v>
      </c>
      <c r="BZ376" s="1577">
        <f t="shared" si="524"/>
        <v>0</v>
      </c>
      <c r="CA376" s="1576">
        <f t="shared" si="495"/>
        <v>0</v>
      </c>
      <c r="CB376" s="1495">
        <f t="shared" si="525"/>
        <v>0</v>
      </c>
      <c r="CC376" s="1577">
        <f t="shared" si="526"/>
        <v>0</v>
      </c>
      <c r="CD376" s="1576">
        <f t="shared" si="496"/>
        <v>0</v>
      </c>
      <c r="CE376" s="1495">
        <f t="shared" si="527"/>
        <v>0</v>
      </c>
      <c r="CF376" s="1577">
        <f t="shared" si="528"/>
        <v>0</v>
      </c>
      <c r="CG376" s="1576">
        <f t="shared" si="497"/>
        <v>0</v>
      </c>
      <c r="CH376" s="1495">
        <f t="shared" si="529"/>
        <v>0</v>
      </c>
      <c r="CI376" s="1577">
        <f t="shared" si="530"/>
        <v>0</v>
      </c>
      <c r="CJ376" s="1576">
        <f t="shared" si="498"/>
        <v>0</v>
      </c>
      <c r="CK376" s="1495">
        <f t="shared" si="531"/>
        <v>0</v>
      </c>
      <c r="CL376" s="1577">
        <f t="shared" si="532"/>
        <v>0</v>
      </c>
      <c r="CM376" s="1576">
        <f t="shared" si="499"/>
        <v>0</v>
      </c>
      <c r="CN376" s="1495">
        <f t="shared" si="533"/>
        <v>0</v>
      </c>
      <c r="CO376" s="1577">
        <f t="shared" si="534"/>
        <v>0</v>
      </c>
      <c r="CP376" s="1576">
        <f t="shared" si="500"/>
        <v>0</v>
      </c>
      <c r="CQ376" s="1495">
        <f t="shared" si="535"/>
        <v>0</v>
      </c>
      <c r="CR376" s="1577">
        <f t="shared" si="536"/>
        <v>0</v>
      </c>
      <c r="CS376" s="1576">
        <f t="shared" si="501"/>
        <v>0</v>
      </c>
      <c r="CT376" s="1495">
        <f t="shared" si="537"/>
        <v>0</v>
      </c>
      <c r="CU376" s="1577">
        <f t="shared" si="538"/>
        <v>0</v>
      </c>
      <c r="CV376" s="1576">
        <f t="shared" si="502"/>
        <v>0</v>
      </c>
      <c r="CW376" s="1495">
        <f t="shared" si="539"/>
        <v>0</v>
      </c>
      <c r="CX376" s="1577">
        <f t="shared" si="540"/>
        <v>0</v>
      </c>
      <c r="CY376" s="1576">
        <f t="shared" si="503"/>
        <v>0</v>
      </c>
      <c r="CZ376" s="1574">
        <f t="shared" si="504"/>
        <v>0</v>
      </c>
      <c r="DA376" s="1578">
        <f t="shared" si="506"/>
        <v>0</v>
      </c>
      <c r="DB376" s="1579">
        <f t="shared" si="507"/>
        <v>0</v>
      </c>
      <c r="DC376" s="1578">
        <f t="shared" si="508"/>
        <v>0</v>
      </c>
      <c r="DD376" s="1578">
        <f t="shared" si="508"/>
        <v>0</v>
      </c>
      <c r="DE376" s="1578">
        <f t="shared" si="508"/>
        <v>0</v>
      </c>
      <c r="DF376" s="1578">
        <f t="shared" si="509"/>
        <v>0</v>
      </c>
      <c r="DG376" s="1420"/>
      <c r="DH376" s="1420"/>
      <c r="DI376" s="1422"/>
      <c r="DJ376" s="1428"/>
      <c r="DK376" s="1428"/>
      <c r="DL376" s="1428"/>
      <c r="DM376" s="1428"/>
      <c r="DN376" s="1428"/>
      <c r="DO376" s="1428"/>
      <c r="DP376" s="1428"/>
      <c r="DQ376" s="1422"/>
      <c r="DR376" s="1428"/>
      <c r="DS376" s="1428"/>
      <c r="DT376" s="1428"/>
      <c r="DU376" s="1428"/>
      <c r="DV376" s="1428"/>
      <c r="DW376" s="1428"/>
      <c r="DX376" s="1428"/>
      <c r="DY376" s="1428"/>
      <c r="DZ376" s="1428"/>
      <c r="EA376" s="1428"/>
      <c r="EB376" s="1428"/>
      <c r="EC376" s="1428"/>
      <c r="ED376" s="1428"/>
      <c r="EE376" s="1428"/>
      <c r="EF376" s="1428"/>
      <c r="EG376" s="1428"/>
      <c r="EH376" s="1428"/>
      <c r="EI376" s="1428"/>
      <c r="EJ376" s="1428"/>
      <c r="EK376" s="1428"/>
      <c r="EL376" s="1428"/>
      <c r="EM376" s="1428"/>
      <c r="EN376" s="1428"/>
      <c r="EO376" s="1428"/>
      <c r="EP376" s="1428"/>
      <c r="EQ376" s="1428"/>
      <c r="ER376" s="1428"/>
      <c r="ES376" s="1428"/>
      <c r="ET376" s="1428"/>
      <c r="EU376" s="1428"/>
    </row>
    <row r="377" spans="1:151" s="1440" customFormat="1" ht="18" customHeight="1">
      <c r="A377" s="1594"/>
      <c r="B377" s="1596" t="s">
        <v>1851</v>
      </c>
      <c r="C377" s="1893"/>
      <c r="D377" s="1758">
        <f>C339</f>
        <v>0</v>
      </c>
      <c r="E377" s="1662"/>
      <c r="F377" s="1758">
        <f>S384</f>
        <v>0</v>
      </c>
      <c r="G377" s="1475"/>
      <c r="L377" s="1586"/>
      <c r="M377" s="1586"/>
      <c r="N377" s="1430"/>
      <c r="O377" s="1894"/>
      <c r="P377" s="1640" t="s">
        <v>802</v>
      </c>
      <c r="Q377" s="1436">
        <f t="shared" si="541"/>
        <v>0</v>
      </c>
      <c r="R377" s="1436">
        <f t="shared" si="542"/>
        <v>0</v>
      </c>
      <c r="S377" s="1436">
        <f t="shared" si="543"/>
        <v>0</v>
      </c>
      <c r="T377" s="1436">
        <f t="shared" si="544"/>
        <v>0</v>
      </c>
      <c r="U377" s="1436">
        <f t="shared" si="545"/>
        <v>0</v>
      </c>
      <c r="V377" s="1495">
        <f t="shared" si="546"/>
        <v>0</v>
      </c>
      <c r="W377" s="1495">
        <f t="shared" si="547"/>
        <v>0</v>
      </c>
      <c r="X377" s="1495">
        <f t="shared" si="548"/>
        <v>0</v>
      </c>
      <c r="Y377" s="1495">
        <f t="shared" si="549"/>
        <v>0</v>
      </c>
      <c r="Z377" s="1495">
        <f t="shared" si="550"/>
        <v>0</v>
      </c>
      <c r="AA377" s="1495">
        <f t="shared" si="551"/>
        <v>0</v>
      </c>
      <c r="AB377" s="1885">
        <f t="shared" si="552"/>
        <v>0</v>
      </c>
      <c r="AC377" s="1482">
        <f t="shared" si="553"/>
        <v>0</v>
      </c>
      <c r="AD377" s="1482">
        <f t="shared" si="554"/>
        <v>0</v>
      </c>
      <c r="AE377" s="1482">
        <f t="shared" si="555"/>
        <v>0</v>
      </c>
      <c r="AF377" s="1482">
        <f t="shared" si="556"/>
        <v>0</v>
      </c>
      <c r="AG377" s="1482">
        <f t="shared" si="557"/>
        <v>0</v>
      </c>
      <c r="AH377" s="1482">
        <f t="shared" si="558"/>
        <v>0</v>
      </c>
      <c r="AI377" s="1482">
        <f t="shared" si="559"/>
        <v>0</v>
      </c>
      <c r="AJ377" s="1482">
        <f t="shared" si="560"/>
        <v>0</v>
      </c>
      <c r="AK377" s="1482">
        <f t="shared" si="561"/>
        <v>0</v>
      </c>
      <c r="AL377" s="1482">
        <f t="shared" si="562"/>
        <v>0</v>
      </c>
      <c r="AM377" s="1482">
        <f t="shared" si="563"/>
        <v>0</v>
      </c>
      <c r="AN377" s="1482">
        <f t="shared" si="564"/>
        <v>0</v>
      </c>
      <c r="AO377" s="1886">
        <f t="shared" si="567"/>
        <v>0</v>
      </c>
      <c r="AP377" s="1887">
        <f t="shared" si="565"/>
        <v>0</v>
      </c>
      <c r="AQ377" s="1482">
        <f t="shared" si="566"/>
        <v>0</v>
      </c>
      <c r="AR377" s="1482">
        <f t="shared" si="566"/>
        <v>0</v>
      </c>
      <c r="AS377" s="1482">
        <f t="shared" si="566"/>
        <v>0</v>
      </c>
      <c r="AT377" s="1482">
        <f t="shared" si="566"/>
        <v>0</v>
      </c>
      <c r="AU377" s="1482">
        <f t="shared" si="566"/>
        <v>0</v>
      </c>
      <c r="AV377" s="1482">
        <f t="shared" si="566"/>
        <v>0</v>
      </c>
      <c r="AW377" s="1482">
        <f t="shared" si="566"/>
        <v>0</v>
      </c>
      <c r="AX377" s="1482">
        <f t="shared" si="566"/>
        <v>0</v>
      </c>
      <c r="AY377" s="1482">
        <f t="shared" si="566"/>
        <v>0</v>
      </c>
      <c r="AZ377" s="1482">
        <f t="shared" si="566"/>
        <v>0</v>
      </c>
      <c r="BA377" s="1482">
        <f t="shared" si="566"/>
        <v>0</v>
      </c>
      <c r="BB377" s="1482">
        <f t="shared" si="566"/>
        <v>0</v>
      </c>
      <c r="BC377" s="1430"/>
      <c r="BD377" s="1422"/>
      <c r="BE377" s="1571" t="s">
        <v>1219</v>
      </c>
      <c r="BF377" s="1436">
        <v>23</v>
      </c>
      <c r="BG377" s="1436">
        <v>24</v>
      </c>
      <c r="BH377" s="1436">
        <v>5</v>
      </c>
      <c r="BI377" s="1495" t="b">
        <f t="shared" si="505"/>
        <v>1</v>
      </c>
      <c r="BJ377" s="1450" t="b">
        <f t="shared" si="515"/>
        <v>1</v>
      </c>
      <c r="BK377" s="1572">
        <f t="shared" si="516"/>
        <v>7.3636363636363633</v>
      </c>
      <c r="BL377" s="1581">
        <f>IF(SUM(BL$354:BL376,BK377)&gt;$BU$4,0,BK377)</f>
        <v>7.3636363636363633</v>
      </c>
      <c r="BM377" s="1436">
        <f t="shared" si="490"/>
        <v>0</v>
      </c>
      <c r="BN377" s="1495">
        <f t="shared" si="491"/>
        <v>0</v>
      </c>
      <c r="BO377" s="1437">
        <f t="shared" si="510"/>
        <v>0</v>
      </c>
      <c r="BP377" s="1574">
        <f t="shared" si="517"/>
        <v>0</v>
      </c>
      <c r="BQ377" s="1577">
        <f t="shared" si="518"/>
        <v>0</v>
      </c>
      <c r="BR377" s="1576">
        <f t="shared" si="492"/>
        <v>0</v>
      </c>
      <c r="BS377" s="1574">
        <f t="shared" si="519"/>
        <v>0</v>
      </c>
      <c r="BT377" s="1577">
        <f t="shared" si="520"/>
        <v>0</v>
      </c>
      <c r="BU377" s="1576">
        <f t="shared" si="493"/>
        <v>0</v>
      </c>
      <c r="BV377" s="1574">
        <f t="shared" si="521"/>
        <v>0</v>
      </c>
      <c r="BW377" s="1577">
        <f t="shared" si="522"/>
        <v>0</v>
      </c>
      <c r="BX377" s="1576">
        <f t="shared" si="494"/>
        <v>0</v>
      </c>
      <c r="BY377" s="1574">
        <f t="shared" si="523"/>
        <v>0</v>
      </c>
      <c r="BZ377" s="1577">
        <f t="shared" si="524"/>
        <v>0</v>
      </c>
      <c r="CA377" s="1576">
        <f t="shared" si="495"/>
        <v>0</v>
      </c>
      <c r="CB377" s="1495">
        <f t="shared" si="525"/>
        <v>0</v>
      </c>
      <c r="CC377" s="1577">
        <f t="shared" si="526"/>
        <v>0</v>
      </c>
      <c r="CD377" s="1576">
        <f t="shared" si="496"/>
        <v>0</v>
      </c>
      <c r="CE377" s="1495">
        <f t="shared" si="527"/>
        <v>0</v>
      </c>
      <c r="CF377" s="1577">
        <f t="shared" si="528"/>
        <v>0</v>
      </c>
      <c r="CG377" s="1576">
        <f t="shared" si="497"/>
        <v>0</v>
      </c>
      <c r="CH377" s="1495">
        <f t="shared" si="529"/>
        <v>0</v>
      </c>
      <c r="CI377" s="1577">
        <f t="shared" si="530"/>
        <v>0</v>
      </c>
      <c r="CJ377" s="1576">
        <f t="shared" si="498"/>
        <v>0</v>
      </c>
      <c r="CK377" s="1495">
        <f t="shared" si="531"/>
        <v>0</v>
      </c>
      <c r="CL377" s="1577">
        <f t="shared" si="532"/>
        <v>0</v>
      </c>
      <c r="CM377" s="1576">
        <f t="shared" si="499"/>
        <v>0</v>
      </c>
      <c r="CN377" s="1495">
        <f t="shared" si="533"/>
        <v>0</v>
      </c>
      <c r="CO377" s="1577">
        <f t="shared" si="534"/>
        <v>0</v>
      </c>
      <c r="CP377" s="1576">
        <f t="shared" si="500"/>
        <v>0</v>
      </c>
      <c r="CQ377" s="1495">
        <f t="shared" si="535"/>
        <v>0</v>
      </c>
      <c r="CR377" s="1577">
        <f t="shared" si="536"/>
        <v>0</v>
      </c>
      <c r="CS377" s="1576">
        <f t="shared" si="501"/>
        <v>0</v>
      </c>
      <c r="CT377" s="1495">
        <f t="shared" si="537"/>
        <v>0</v>
      </c>
      <c r="CU377" s="1577">
        <f t="shared" si="538"/>
        <v>0</v>
      </c>
      <c r="CV377" s="1576">
        <f t="shared" si="502"/>
        <v>0</v>
      </c>
      <c r="CW377" s="1495">
        <f t="shared" si="539"/>
        <v>0</v>
      </c>
      <c r="CX377" s="1577">
        <f t="shared" si="540"/>
        <v>0</v>
      </c>
      <c r="CY377" s="1576">
        <f t="shared" si="503"/>
        <v>0</v>
      </c>
      <c r="CZ377" s="1574">
        <f t="shared" si="504"/>
        <v>0</v>
      </c>
      <c r="DA377" s="1578">
        <f t="shared" si="506"/>
        <v>0</v>
      </c>
      <c r="DB377" s="1579">
        <f t="shared" si="507"/>
        <v>0</v>
      </c>
      <c r="DC377" s="1578">
        <f t="shared" si="508"/>
        <v>0</v>
      </c>
      <c r="DD377" s="1578">
        <f t="shared" si="508"/>
        <v>0</v>
      </c>
      <c r="DE377" s="1578">
        <f t="shared" si="508"/>
        <v>0</v>
      </c>
      <c r="DF377" s="1578">
        <f t="shared" si="509"/>
        <v>0</v>
      </c>
      <c r="DG377" s="1420"/>
      <c r="DH377" s="1420"/>
      <c r="DI377" s="1422"/>
      <c r="DJ377" s="1428"/>
      <c r="DK377" s="1428"/>
      <c r="DL377" s="1428"/>
      <c r="DM377" s="1428"/>
      <c r="DN377" s="1428"/>
      <c r="DO377" s="1428"/>
      <c r="DP377" s="1428"/>
      <c r="DQ377" s="1422"/>
      <c r="DR377" s="1428"/>
      <c r="DS377" s="1428"/>
      <c r="DT377" s="1428"/>
      <c r="DU377" s="1428"/>
      <c r="DV377" s="1428"/>
      <c r="DW377" s="1428"/>
      <c r="DX377" s="1428"/>
      <c r="DY377" s="1428"/>
      <c r="DZ377" s="1428"/>
      <c r="EA377" s="1428"/>
      <c r="EB377" s="1428"/>
      <c r="EC377" s="1428"/>
      <c r="ED377" s="1428"/>
      <c r="EE377" s="1428"/>
      <c r="EF377" s="1428"/>
      <c r="EG377" s="1428"/>
      <c r="EH377" s="1428"/>
      <c r="EI377" s="1428"/>
      <c r="EJ377" s="1428"/>
      <c r="EK377" s="1428"/>
      <c r="EL377" s="1428"/>
      <c r="EM377" s="1428"/>
      <c r="EN377" s="1428"/>
      <c r="EO377" s="1428"/>
      <c r="EP377" s="1428"/>
      <c r="EQ377" s="1428"/>
      <c r="ER377" s="1428"/>
      <c r="ES377" s="1428"/>
      <c r="ET377" s="1428"/>
      <c r="EU377" s="1428"/>
    </row>
    <row r="378" spans="1:151" s="1895" customFormat="1" ht="18" customHeight="1">
      <c r="A378" s="1594"/>
      <c r="B378" s="1596" t="s">
        <v>1542</v>
      </c>
      <c r="C378" s="1893"/>
      <c r="D378" s="1758">
        <f>C340</f>
        <v>0</v>
      </c>
      <c r="E378" s="1662"/>
      <c r="F378" s="1758">
        <f>T384</f>
        <v>0</v>
      </c>
      <c r="G378" s="1475"/>
      <c r="H378" s="1440"/>
      <c r="I378" s="1440"/>
      <c r="J378" s="1440"/>
      <c r="K378" s="1440"/>
      <c r="L378" s="1586"/>
      <c r="M378" s="1586"/>
      <c r="N378" s="1430"/>
      <c r="O378" s="1894"/>
      <c r="P378" s="1640" t="s">
        <v>803</v>
      </c>
      <c r="Q378" s="1436">
        <f t="shared" si="541"/>
        <v>0</v>
      </c>
      <c r="R378" s="1436">
        <f t="shared" si="542"/>
        <v>0</v>
      </c>
      <c r="S378" s="1436">
        <f t="shared" si="543"/>
        <v>0</v>
      </c>
      <c r="T378" s="1436">
        <f t="shared" si="544"/>
        <v>0</v>
      </c>
      <c r="U378" s="1436">
        <f t="shared" si="545"/>
        <v>0</v>
      </c>
      <c r="V378" s="1495">
        <f t="shared" si="546"/>
        <v>0</v>
      </c>
      <c r="W378" s="1495">
        <f t="shared" si="547"/>
        <v>0</v>
      </c>
      <c r="X378" s="1495">
        <f t="shared" si="548"/>
        <v>0</v>
      </c>
      <c r="Y378" s="1495">
        <f t="shared" si="549"/>
        <v>0</v>
      </c>
      <c r="Z378" s="1495">
        <f t="shared" si="550"/>
        <v>0</v>
      </c>
      <c r="AA378" s="1495">
        <f t="shared" si="551"/>
        <v>0</v>
      </c>
      <c r="AB378" s="1885">
        <f t="shared" si="552"/>
        <v>0</v>
      </c>
      <c r="AC378" s="1482">
        <f t="shared" si="553"/>
        <v>0</v>
      </c>
      <c r="AD378" s="1482">
        <f t="shared" si="554"/>
        <v>0</v>
      </c>
      <c r="AE378" s="1482">
        <f t="shared" si="555"/>
        <v>0</v>
      </c>
      <c r="AF378" s="1482">
        <f t="shared" si="556"/>
        <v>0</v>
      </c>
      <c r="AG378" s="1482">
        <f t="shared" si="557"/>
        <v>0</v>
      </c>
      <c r="AH378" s="1482">
        <f t="shared" si="558"/>
        <v>0</v>
      </c>
      <c r="AI378" s="1482">
        <f t="shared" si="559"/>
        <v>0</v>
      </c>
      <c r="AJ378" s="1482">
        <f t="shared" si="560"/>
        <v>0</v>
      </c>
      <c r="AK378" s="1482">
        <f t="shared" si="561"/>
        <v>0</v>
      </c>
      <c r="AL378" s="1482">
        <f t="shared" si="562"/>
        <v>0</v>
      </c>
      <c r="AM378" s="1482">
        <f t="shared" si="563"/>
        <v>0</v>
      </c>
      <c r="AN378" s="1482">
        <f t="shared" si="564"/>
        <v>0</v>
      </c>
      <c r="AO378" s="1886">
        <f t="shared" si="567"/>
        <v>0</v>
      </c>
      <c r="AP378" s="1887">
        <f t="shared" si="565"/>
        <v>0</v>
      </c>
      <c r="AQ378" s="1482">
        <f t="shared" si="566"/>
        <v>0</v>
      </c>
      <c r="AR378" s="1482">
        <f t="shared" si="566"/>
        <v>0</v>
      </c>
      <c r="AS378" s="1482">
        <f t="shared" si="566"/>
        <v>0</v>
      </c>
      <c r="AT378" s="1482">
        <f t="shared" si="566"/>
        <v>0</v>
      </c>
      <c r="AU378" s="1482">
        <f t="shared" si="566"/>
        <v>0</v>
      </c>
      <c r="AV378" s="1482">
        <f t="shared" si="566"/>
        <v>0</v>
      </c>
      <c r="AW378" s="1482">
        <f t="shared" si="566"/>
        <v>0</v>
      </c>
      <c r="AX378" s="1482">
        <f t="shared" si="566"/>
        <v>0</v>
      </c>
      <c r="AY378" s="1482">
        <f t="shared" si="566"/>
        <v>0</v>
      </c>
      <c r="AZ378" s="1482">
        <f t="shared" si="566"/>
        <v>0</v>
      </c>
      <c r="BA378" s="1482">
        <f t="shared" si="566"/>
        <v>0</v>
      </c>
      <c r="BB378" s="1482">
        <f t="shared" si="566"/>
        <v>0</v>
      </c>
      <c r="BC378" s="1430"/>
      <c r="BD378" s="1422"/>
      <c r="BE378" s="1571" t="s">
        <v>1219</v>
      </c>
      <c r="BF378" s="1436">
        <v>23</v>
      </c>
      <c r="BG378" s="1436">
        <v>25</v>
      </c>
      <c r="BH378" s="1436">
        <v>6</v>
      </c>
      <c r="BI378" s="1495" t="b">
        <f t="shared" si="505"/>
        <v>0</v>
      </c>
      <c r="BJ378" s="1450" t="b">
        <f t="shared" si="515"/>
        <v>0</v>
      </c>
      <c r="BK378" s="1572">
        <f t="shared" si="516"/>
        <v>0</v>
      </c>
      <c r="BL378" s="1581">
        <f>IF(SUM(BL$354:BL377,BK378)&gt;$BU$4,0,BK378)</f>
        <v>0</v>
      </c>
      <c r="BM378" s="1436">
        <f t="shared" si="490"/>
        <v>0</v>
      </c>
      <c r="BN378" s="1495">
        <f t="shared" si="491"/>
        <v>0</v>
      </c>
      <c r="BO378" s="1437">
        <f t="shared" si="510"/>
        <v>0</v>
      </c>
      <c r="BP378" s="1574">
        <f t="shared" si="517"/>
        <v>0</v>
      </c>
      <c r="BQ378" s="1577">
        <f t="shared" si="518"/>
        <v>0</v>
      </c>
      <c r="BR378" s="1576">
        <f t="shared" si="492"/>
        <v>0</v>
      </c>
      <c r="BS378" s="1574">
        <f t="shared" si="519"/>
        <v>0</v>
      </c>
      <c r="BT378" s="1577">
        <f t="shared" si="520"/>
        <v>0</v>
      </c>
      <c r="BU378" s="1576">
        <f t="shared" si="493"/>
        <v>0</v>
      </c>
      <c r="BV378" s="1574">
        <f t="shared" si="521"/>
        <v>0</v>
      </c>
      <c r="BW378" s="1577">
        <f t="shared" si="522"/>
        <v>0</v>
      </c>
      <c r="BX378" s="1576">
        <f t="shared" si="494"/>
        <v>0</v>
      </c>
      <c r="BY378" s="1574">
        <f t="shared" si="523"/>
        <v>0</v>
      </c>
      <c r="BZ378" s="1577">
        <f t="shared" si="524"/>
        <v>0</v>
      </c>
      <c r="CA378" s="1576">
        <f t="shared" si="495"/>
        <v>0</v>
      </c>
      <c r="CB378" s="1495">
        <f t="shared" si="525"/>
        <v>0</v>
      </c>
      <c r="CC378" s="1577">
        <f t="shared" si="526"/>
        <v>0</v>
      </c>
      <c r="CD378" s="1576">
        <f t="shared" si="496"/>
        <v>0</v>
      </c>
      <c r="CE378" s="1495">
        <f t="shared" si="527"/>
        <v>0</v>
      </c>
      <c r="CF378" s="1577">
        <f t="shared" si="528"/>
        <v>0</v>
      </c>
      <c r="CG378" s="1576">
        <f t="shared" si="497"/>
        <v>0</v>
      </c>
      <c r="CH378" s="1495">
        <f t="shared" si="529"/>
        <v>0</v>
      </c>
      <c r="CI378" s="1577">
        <f t="shared" si="530"/>
        <v>0</v>
      </c>
      <c r="CJ378" s="1576">
        <f t="shared" si="498"/>
        <v>0</v>
      </c>
      <c r="CK378" s="1495">
        <f t="shared" si="531"/>
        <v>0</v>
      </c>
      <c r="CL378" s="1577">
        <f t="shared" si="532"/>
        <v>0</v>
      </c>
      <c r="CM378" s="1576">
        <f t="shared" si="499"/>
        <v>0</v>
      </c>
      <c r="CN378" s="1495">
        <f t="shared" si="533"/>
        <v>0</v>
      </c>
      <c r="CO378" s="1577">
        <f t="shared" si="534"/>
        <v>0</v>
      </c>
      <c r="CP378" s="1576">
        <f t="shared" si="500"/>
        <v>0</v>
      </c>
      <c r="CQ378" s="1495">
        <f t="shared" si="535"/>
        <v>0</v>
      </c>
      <c r="CR378" s="1577">
        <f t="shared" si="536"/>
        <v>0</v>
      </c>
      <c r="CS378" s="1576">
        <f t="shared" si="501"/>
        <v>0</v>
      </c>
      <c r="CT378" s="1495">
        <f t="shared" si="537"/>
        <v>0</v>
      </c>
      <c r="CU378" s="1577">
        <f t="shared" si="538"/>
        <v>0</v>
      </c>
      <c r="CV378" s="1576">
        <f t="shared" si="502"/>
        <v>0</v>
      </c>
      <c r="CW378" s="1495">
        <f t="shared" si="539"/>
        <v>0</v>
      </c>
      <c r="CX378" s="1577">
        <f t="shared" si="540"/>
        <v>0</v>
      </c>
      <c r="CY378" s="1576">
        <f t="shared" si="503"/>
        <v>0</v>
      </c>
      <c r="CZ378" s="1574">
        <f t="shared" si="504"/>
        <v>0</v>
      </c>
      <c r="DA378" s="1578">
        <f t="shared" si="506"/>
        <v>0</v>
      </c>
      <c r="DB378" s="1579">
        <f t="shared" si="507"/>
        <v>0</v>
      </c>
      <c r="DC378" s="1578">
        <f t="shared" si="508"/>
        <v>0</v>
      </c>
      <c r="DD378" s="1578">
        <f t="shared" si="508"/>
        <v>0</v>
      </c>
      <c r="DE378" s="1578">
        <f t="shared" si="508"/>
        <v>0</v>
      </c>
      <c r="DF378" s="1578">
        <f t="shared" si="509"/>
        <v>0</v>
      </c>
      <c r="DG378" s="1420"/>
      <c r="DH378" s="1420"/>
      <c r="DI378" s="1422"/>
      <c r="DJ378" s="1428"/>
      <c r="DK378" s="1428"/>
      <c r="DL378" s="1428"/>
      <c r="DM378" s="1428"/>
      <c r="DN378" s="1428"/>
      <c r="DO378" s="1428"/>
      <c r="DP378" s="1428"/>
      <c r="DQ378" s="1422"/>
      <c r="DR378" s="1428"/>
      <c r="DS378" s="1428"/>
      <c r="DT378" s="1428"/>
      <c r="DU378" s="1428"/>
      <c r="DV378" s="1428"/>
      <c r="DW378" s="1428"/>
      <c r="DX378" s="1428"/>
      <c r="DY378" s="1428"/>
      <c r="DZ378" s="1428"/>
      <c r="EA378" s="1428"/>
      <c r="EB378" s="1428"/>
      <c r="EC378" s="1428"/>
      <c r="ED378" s="1428"/>
      <c r="EE378" s="1428"/>
      <c r="EF378" s="1428"/>
      <c r="EG378" s="1428"/>
      <c r="EH378" s="1428"/>
      <c r="EI378" s="1428"/>
      <c r="EJ378" s="1428"/>
      <c r="EK378" s="1428"/>
      <c r="EL378" s="1428"/>
      <c r="EM378" s="1428"/>
      <c r="EN378" s="1428"/>
      <c r="EO378" s="1428"/>
      <c r="EP378" s="1428"/>
      <c r="EQ378" s="1428"/>
      <c r="ER378" s="1428"/>
      <c r="ES378" s="1428"/>
      <c r="ET378" s="1427"/>
      <c r="EU378" s="1427"/>
    </row>
    <row r="379" spans="1:151" s="1440" customFormat="1" ht="18" customHeight="1">
      <c r="A379" s="1594"/>
      <c r="B379" s="1596" t="s">
        <v>1878</v>
      </c>
      <c r="C379" s="1893"/>
      <c r="D379" s="1758">
        <f>S156</f>
        <v>0</v>
      </c>
      <c r="E379" s="1662"/>
      <c r="F379" s="1758">
        <f>U384</f>
        <v>0</v>
      </c>
      <c r="G379" s="1475"/>
      <c r="L379" s="1586"/>
      <c r="M379" s="1586"/>
      <c r="N379" s="1430"/>
      <c r="O379" s="1894"/>
      <c r="P379" s="1640" t="s">
        <v>804</v>
      </c>
      <c r="Q379" s="1436">
        <f t="shared" si="541"/>
        <v>0</v>
      </c>
      <c r="R379" s="1436">
        <f t="shared" si="542"/>
        <v>0</v>
      </c>
      <c r="S379" s="1436">
        <f t="shared" si="543"/>
        <v>0</v>
      </c>
      <c r="T379" s="1436">
        <f t="shared" si="544"/>
        <v>0</v>
      </c>
      <c r="U379" s="1436">
        <f t="shared" si="545"/>
        <v>0</v>
      </c>
      <c r="V379" s="1495">
        <f t="shared" si="546"/>
        <v>0</v>
      </c>
      <c r="W379" s="1495">
        <f t="shared" si="547"/>
        <v>0</v>
      </c>
      <c r="X379" s="1495">
        <f t="shared" si="548"/>
        <v>0</v>
      </c>
      <c r="Y379" s="1495">
        <f t="shared" si="549"/>
        <v>0</v>
      </c>
      <c r="Z379" s="1495">
        <f t="shared" si="550"/>
        <v>0</v>
      </c>
      <c r="AA379" s="1495">
        <f t="shared" si="551"/>
        <v>0</v>
      </c>
      <c r="AB379" s="1885">
        <f t="shared" si="552"/>
        <v>0</v>
      </c>
      <c r="AC379" s="1482">
        <f t="shared" si="553"/>
        <v>0</v>
      </c>
      <c r="AD379" s="1482">
        <f t="shared" si="554"/>
        <v>0</v>
      </c>
      <c r="AE379" s="1482">
        <f t="shared" si="555"/>
        <v>0</v>
      </c>
      <c r="AF379" s="1482">
        <f t="shared" si="556"/>
        <v>0</v>
      </c>
      <c r="AG379" s="1482">
        <f t="shared" si="557"/>
        <v>0</v>
      </c>
      <c r="AH379" s="1482">
        <f t="shared" si="558"/>
        <v>0</v>
      </c>
      <c r="AI379" s="1482">
        <f t="shared" si="559"/>
        <v>0</v>
      </c>
      <c r="AJ379" s="1482">
        <f t="shared" si="560"/>
        <v>0</v>
      </c>
      <c r="AK379" s="1482">
        <f t="shared" si="561"/>
        <v>0</v>
      </c>
      <c r="AL379" s="1482">
        <f t="shared" si="562"/>
        <v>0</v>
      </c>
      <c r="AM379" s="1482">
        <f t="shared" si="563"/>
        <v>0</v>
      </c>
      <c r="AN379" s="1482">
        <f t="shared" si="564"/>
        <v>0</v>
      </c>
      <c r="AO379" s="1886">
        <f t="shared" si="567"/>
        <v>0</v>
      </c>
      <c r="AP379" s="1887">
        <f t="shared" si="565"/>
        <v>0</v>
      </c>
      <c r="AQ379" s="1482">
        <f t="shared" si="566"/>
        <v>0</v>
      </c>
      <c r="AR379" s="1482">
        <f t="shared" si="566"/>
        <v>0</v>
      </c>
      <c r="AS379" s="1482">
        <f t="shared" si="566"/>
        <v>0</v>
      </c>
      <c r="AT379" s="1482">
        <f t="shared" si="566"/>
        <v>0</v>
      </c>
      <c r="AU379" s="1482">
        <f t="shared" si="566"/>
        <v>0</v>
      </c>
      <c r="AV379" s="1482">
        <f t="shared" si="566"/>
        <v>0</v>
      </c>
      <c r="AW379" s="1482">
        <f t="shared" si="566"/>
        <v>0</v>
      </c>
      <c r="AX379" s="1482">
        <f t="shared" si="566"/>
        <v>0</v>
      </c>
      <c r="AY379" s="1482">
        <f t="shared" si="566"/>
        <v>0</v>
      </c>
      <c r="AZ379" s="1482">
        <f t="shared" si="566"/>
        <v>0</v>
      </c>
      <c r="BA379" s="1482">
        <f t="shared" si="566"/>
        <v>0</v>
      </c>
      <c r="BB379" s="1482">
        <f t="shared" si="566"/>
        <v>0</v>
      </c>
      <c r="BC379" s="1430"/>
      <c r="BD379" s="1422"/>
      <c r="BE379" s="1571" t="s">
        <v>1219</v>
      </c>
      <c r="BF379" s="1436">
        <v>23</v>
      </c>
      <c r="BG379" s="1436">
        <v>26</v>
      </c>
      <c r="BH379" s="1436">
        <v>7</v>
      </c>
      <c r="BI379" s="1495" t="b">
        <f t="shared" si="505"/>
        <v>0</v>
      </c>
      <c r="BJ379" s="1450" t="b">
        <f t="shared" si="515"/>
        <v>0</v>
      </c>
      <c r="BK379" s="1572">
        <f t="shared" si="516"/>
        <v>0</v>
      </c>
      <c r="BL379" s="1581">
        <f>IF(SUM(BL$354:BL378,BK379)&gt;$BU$4,0,BK379)</f>
        <v>0</v>
      </c>
      <c r="BM379" s="1436">
        <f t="shared" si="490"/>
        <v>0</v>
      </c>
      <c r="BN379" s="1495">
        <f t="shared" si="491"/>
        <v>0</v>
      </c>
      <c r="BO379" s="1437">
        <f t="shared" si="510"/>
        <v>0</v>
      </c>
      <c r="BP379" s="1574">
        <f t="shared" si="517"/>
        <v>0</v>
      </c>
      <c r="BQ379" s="1577">
        <f t="shared" si="518"/>
        <v>0</v>
      </c>
      <c r="BR379" s="1576">
        <f t="shared" si="492"/>
        <v>0</v>
      </c>
      <c r="BS379" s="1574">
        <f t="shared" si="519"/>
        <v>0</v>
      </c>
      <c r="BT379" s="1577">
        <f t="shared" si="520"/>
        <v>0</v>
      </c>
      <c r="BU379" s="1576">
        <f t="shared" si="493"/>
        <v>0</v>
      </c>
      <c r="BV379" s="1574">
        <f t="shared" si="521"/>
        <v>0</v>
      </c>
      <c r="BW379" s="1577">
        <f t="shared" si="522"/>
        <v>0</v>
      </c>
      <c r="BX379" s="1576">
        <f t="shared" si="494"/>
        <v>0</v>
      </c>
      <c r="BY379" s="1574">
        <f t="shared" si="523"/>
        <v>0</v>
      </c>
      <c r="BZ379" s="1577">
        <f t="shared" si="524"/>
        <v>0</v>
      </c>
      <c r="CA379" s="1576">
        <f t="shared" si="495"/>
        <v>0</v>
      </c>
      <c r="CB379" s="1495">
        <f t="shared" si="525"/>
        <v>0</v>
      </c>
      <c r="CC379" s="1577">
        <f t="shared" si="526"/>
        <v>0</v>
      </c>
      <c r="CD379" s="1576">
        <f t="shared" si="496"/>
        <v>0</v>
      </c>
      <c r="CE379" s="1495">
        <f t="shared" si="527"/>
        <v>0</v>
      </c>
      <c r="CF379" s="1577">
        <f t="shared" si="528"/>
        <v>0</v>
      </c>
      <c r="CG379" s="1576">
        <f t="shared" si="497"/>
        <v>0</v>
      </c>
      <c r="CH379" s="1495">
        <f t="shared" si="529"/>
        <v>0</v>
      </c>
      <c r="CI379" s="1577">
        <f t="shared" si="530"/>
        <v>0</v>
      </c>
      <c r="CJ379" s="1576">
        <f t="shared" si="498"/>
        <v>0</v>
      </c>
      <c r="CK379" s="1495">
        <f t="shared" si="531"/>
        <v>0</v>
      </c>
      <c r="CL379" s="1577">
        <f t="shared" si="532"/>
        <v>0</v>
      </c>
      <c r="CM379" s="1576">
        <f t="shared" si="499"/>
        <v>0</v>
      </c>
      <c r="CN379" s="1495">
        <f t="shared" si="533"/>
        <v>0</v>
      </c>
      <c r="CO379" s="1577">
        <f t="shared" si="534"/>
        <v>0</v>
      </c>
      <c r="CP379" s="1576">
        <f t="shared" si="500"/>
        <v>0</v>
      </c>
      <c r="CQ379" s="1495">
        <f t="shared" si="535"/>
        <v>0</v>
      </c>
      <c r="CR379" s="1577">
        <f t="shared" si="536"/>
        <v>0</v>
      </c>
      <c r="CS379" s="1576">
        <f t="shared" si="501"/>
        <v>0</v>
      </c>
      <c r="CT379" s="1495">
        <f t="shared" si="537"/>
        <v>0</v>
      </c>
      <c r="CU379" s="1577">
        <f t="shared" si="538"/>
        <v>0</v>
      </c>
      <c r="CV379" s="1576">
        <f t="shared" si="502"/>
        <v>0</v>
      </c>
      <c r="CW379" s="1495">
        <f t="shared" si="539"/>
        <v>0</v>
      </c>
      <c r="CX379" s="1577">
        <f t="shared" si="540"/>
        <v>0</v>
      </c>
      <c r="CY379" s="1576">
        <f t="shared" si="503"/>
        <v>0</v>
      </c>
      <c r="CZ379" s="1574">
        <f t="shared" si="504"/>
        <v>0</v>
      </c>
      <c r="DA379" s="1578">
        <f t="shared" si="506"/>
        <v>0</v>
      </c>
      <c r="DB379" s="1579">
        <f t="shared" si="507"/>
        <v>0</v>
      </c>
      <c r="DC379" s="1578">
        <f t="shared" si="508"/>
        <v>0</v>
      </c>
      <c r="DD379" s="1578">
        <f t="shared" si="508"/>
        <v>0</v>
      </c>
      <c r="DE379" s="1578">
        <f t="shared" si="508"/>
        <v>0</v>
      </c>
      <c r="DF379" s="1578">
        <f t="shared" si="509"/>
        <v>0</v>
      </c>
      <c r="DG379" s="1420"/>
      <c r="DH379" s="1420"/>
      <c r="DI379" s="1422"/>
      <c r="DJ379" s="1428"/>
      <c r="DK379" s="1428"/>
      <c r="DL379" s="1428"/>
      <c r="DM379" s="1428"/>
      <c r="DN379" s="1428"/>
      <c r="DO379" s="1428"/>
      <c r="DP379" s="1428"/>
      <c r="DQ379" s="1422"/>
      <c r="DR379" s="1428"/>
      <c r="DS379" s="1428"/>
      <c r="DT379" s="1428"/>
      <c r="DU379" s="1428"/>
      <c r="DV379" s="1428"/>
      <c r="DW379" s="1428"/>
      <c r="DX379" s="1428"/>
      <c r="DY379" s="1428"/>
      <c r="DZ379" s="1428"/>
      <c r="EA379" s="1428"/>
      <c r="EB379" s="1428"/>
      <c r="EC379" s="1428"/>
      <c r="ED379" s="1428"/>
      <c r="EE379" s="1428"/>
      <c r="EF379" s="1428"/>
      <c r="EG379" s="1428"/>
      <c r="EH379" s="1428"/>
      <c r="EI379" s="1428"/>
      <c r="EJ379" s="1428"/>
      <c r="EK379" s="1428"/>
      <c r="EL379" s="1428"/>
      <c r="EM379" s="1428"/>
      <c r="EN379" s="1428"/>
      <c r="EO379" s="1428"/>
      <c r="EP379" s="1428"/>
      <c r="EQ379" s="1428"/>
      <c r="ER379" s="1428"/>
      <c r="ES379" s="1428"/>
      <c r="ET379" s="1427"/>
      <c r="EU379" s="1427"/>
    </row>
    <row r="380" spans="1:151" s="1440" customFormat="1" ht="18" customHeight="1">
      <c r="A380" s="1594"/>
      <c r="B380" s="1596" t="s">
        <v>1882</v>
      </c>
      <c r="C380" s="1893"/>
      <c r="D380" s="1758">
        <f>D243</f>
        <v>0</v>
      </c>
      <c r="E380" s="1662"/>
      <c r="F380" s="1758">
        <f>V384</f>
        <v>0</v>
      </c>
      <c r="G380" s="1422"/>
      <c r="L380" s="1586"/>
      <c r="M380" s="1586"/>
      <c r="N380" s="1430"/>
      <c r="O380" s="1894"/>
      <c r="P380" s="1640" t="s">
        <v>1603</v>
      </c>
      <c r="Q380" s="1436">
        <f t="shared" si="541"/>
        <v>0</v>
      </c>
      <c r="R380" s="1436">
        <f t="shared" si="542"/>
        <v>0</v>
      </c>
      <c r="S380" s="1436">
        <f t="shared" si="543"/>
        <v>0</v>
      </c>
      <c r="T380" s="1436">
        <f t="shared" si="544"/>
        <v>0</v>
      </c>
      <c r="U380" s="1436">
        <f t="shared" si="545"/>
        <v>0</v>
      </c>
      <c r="V380" s="1495">
        <f t="shared" si="546"/>
        <v>0</v>
      </c>
      <c r="W380" s="1495">
        <f t="shared" si="547"/>
        <v>0</v>
      </c>
      <c r="X380" s="1495">
        <f t="shared" si="548"/>
        <v>0</v>
      </c>
      <c r="Y380" s="1495">
        <f t="shared" si="549"/>
        <v>0</v>
      </c>
      <c r="Z380" s="1495">
        <f t="shared" si="550"/>
        <v>0</v>
      </c>
      <c r="AA380" s="1495">
        <f t="shared" si="551"/>
        <v>0</v>
      </c>
      <c r="AB380" s="1885">
        <f t="shared" si="552"/>
        <v>0</v>
      </c>
      <c r="AC380" s="1482">
        <f t="shared" si="553"/>
        <v>0</v>
      </c>
      <c r="AD380" s="1482">
        <f t="shared" si="554"/>
        <v>0</v>
      </c>
      <c r="AE380" s="1482">
        <f t="shared" si="555"/>
        <v>0</v>
      </c>
      <c r="AF380" s="1482">
        <f t="shared" si="556"/>
        <v>0</v>
      </c>
      <c r="AG380" s="1482">
        <f t="shared" si="557"/>
        <v>0</v>
      </c>
      <c r="AH380" s="1482">
        <f t="shared" si="558"/>
        <v>0</v>
      </c>
      <c r="AI380" s="1482">
        <f t="shared" si="559"/>
        <v>0</v>
      </c>
      <c r="AJ380" s="1482">
        <f t="shared" si="560"/>
        <v>0</v>
      </c>
      <c r="AK380" s="1482">
        <f t="shared" si="561"/>
        <v>0</v>
      </c>
      <c r="AL380" s="1482">
        <f t="shared" si="562"/>
        <v>0</v>
      </c>
      <c r="AM380" s="1482">
        <f t="shared" si="563"/>
        <v>0</v>
      </c>
      <c r="AN380" s="1482">
        <f t="shared" si="564"/>
        <v>0</v>
      </c>
      <c r="AO380" s="1886">
        <f t="shared" si="567"/>
        <v>0</v>
      </c>
      <c r="AP380" s="1887">
        <f t="shared" si="565"/>
        <v>0</v>
      </c>
      <c r="AQ380" s="1482">
        <f t="shared" si="566"/>
        <v>0</v>
      </c>
      <c r="AR380" s="1482">
        <f t="shared" si="566"/>
        <v>0</v>
      </c>
      <c r="AS380" s="1482">
        <f t="shared" si="566"/>
        <v>0</v>
      </c>
      <c r="AT380" s="1482">
        <f t="shared" si="566"/>
        <v>0</v>
      </c>
      <c r="AU380" s="1482">
        <f t="shared" si="566"/>
        <v>0</v>
      </c>
      <c r="AV380" s="1482">
        <f t="shared" si="566"/>
        <v>0</v>
      </c>
      <c r="AW380" s="1482">
        <f t="shared" si="566"/>
        <v>0</v>
      </c>
      <c r="AX380" s="1482">
        <f t="shared" si="566"/>
        <v>0</v>
      </c>
      <c r="AY380" s="1482">
        <f t="shared" si="566"/>
        <v>0</v>
      </c>
      <c r="AZ380" s="1482">
        <f t="shared" si="566"/>
        <v>0</v>
      </c>
      <c r="BA380" s="1482">
        <f t="shared" si="566"/>
        <v>0</v>
      </c>
      <c r="BB380" s="1482">
        <f t="shared" si="566"/>
        <v>0</v>
      </c>
      <c r="BC380" s="1430"/>
      <c r="BD380" s="1422"/>
      <c r="BE380" s="1571" t="s">
        <v>1219</v>
      </c>
      <c r="BF380" s="1436">
        <v>23</v>
      </c>
      <c r="BG380" s="1436">
        <v>27</v>
      </c>
      <c r="BH380" s="1436">
        <v>1</v>
      </c>
      <c r="BI380" s="1495" t="b">
        <f t="shared" si="505"/>
        <v>1</v>
      </c>
      <c r="BJ380" s="1450" t="b">
        <f t="shared" si="515"/>
        <v>1</v>
      </c>
      <c r="BK380" s="1572">
        <f t="shared" si="516"/>
        <v>7.3636363636363633</v>
      </c>
      <c r="BL380" s="1581">
        <f>IF(SUM(BL$354:BL379,BK380)&gt;$BU$4,0,BK380)</f>
        <v>7.3636363636363633</v>
      </c>
      <c r="BM380" s="1436">
        <f t="shared" si="490"/>
        <v>0</v>
      </c>
      <c r="BN380" s="1495">
        <f t="shared" si="491"/>
        <v>0</v>
      </c>
      <c r="BO380" s="1437">
        <f t="shared" si="510"/>
        <v>0</v>
      </c>
      <c r="BP380" s="1574">
        <f t="shared" si="517"/>
        <v>0</v>
      </c>
      <c r="BQ380" s="1577">
        <f t="shared" si="518"/>
        <v>0</v>
      </c>
      <c r="BR380" s="1576">
        <f t="shared" si="492"/>
        <v>0</v>
      </c>
      <c r="BS380" s="1574">
        <f t="shared" si="519"/>
        <v>0</v>
      </c>
      <c r="BT380" s="1577">
        <f t="shared" si="520"/>
        <v>0</v>
      </c>
      <c r="BU380" s="1576">
        <f t="shared" si="493"/>
        <v>0</v>
      </c>
      <c r="BV380" s="1574">
        <f t="shared" si="521"/>
        <v>0</v>
      </c>
      <c r="BW380" s="1577">
        <f t="shared" si="522"/>
        <v>0</v>
      </c>
      <c r="BX380" s="1576">
        <f t="shared" si="494"/>
        <v>0</v>
      </c>
      <c r="BY380" s="1574">
        <f t="shared" si="523"/>
        <v>0</v>
      </c>
      <c r="BZ380" s="1577">
        <f t="shared" si="524"/>
        <v>0</v>
      </c>
      <c r="CA380" s="1576">
        <f t="shared" si="495"/>
        <v>0</v>
      </c>
      <c r="CB380" s="1495">
        <f t="shared" si="525"/>
        <v>0</v>
      </c>
      <c r="CC380" s="1577">
        <f t="shared" si="526"/>
        <v>0</v>
      </c>
      <c r="CD380" s="1576">
        <f t="shared" si="496"/>
        <v>0</v>
      </c>
      <c r="CE380" s="1495">
        <f t="shared" si="527"/>
        <v>0</v>
      </c>
      <c r="CF380" s="1577">
        <f t="shared" si="528"/>
        <v>0</v>
      </c>
      <c r="CG380" s="1576">
        <f t="shared" si="497"/>
        <v>0</v>
      </c>
      <c r="CH380" s="1495">
        <f t="shared" si="529"/>
        <v>0</v>
      </c>
      <c r="CI380" s="1577">
        <f t="shared" si="530"/>
        <v>0</v>
      </c>
      <c r="CJ380" s="1576">
        <f t="shared" si="498"/>
        <v>0</v>
      </c>
      <c r="CK380" s="1495">
        <f t="shared" si="531"/>
        <v>0</v>
      </c>
      <c r="CL380" s="1577">
        <f t="shared" si="532"/>
        <v>0</v>
      </c>
      <c r="CM380" s="1576">
        <f t="shared" si="499"/>
        <v>0</v>
      </c>
      <c r="CN380" s="1495">
        <f t="shared" si="533"/>
        <v>0</v>
      </c>
      <c r="CO380" s="1577">
        <f t="shared" si="534"/>
        <v>0</v>
      </c>
      <c r="CP380" s="1576">
        <f t="shared" si="500"/>
        <v>0</v>
      </c>
      <c r="CQ380" s="1495">
        <f t="shared" si="535"/>
        <v>0</v>
      </c>
      <c r="CR380" s="1577">
        <f t="shared" si="536"/>
        <v>0</v>
      </c>
      <c r="CS380" s="1576">
        <f t="shared" si="501"/>
        <v>0</v>
      </c>
      <c r="CT380" s="1495">
        <f t="shared" si="537"/>
        <v>0</v>
      </c>
      <c r="CU380" s="1577">
        <f t="shared" si="538"/>
        <v>0</v>
      </c>
      <c r="CV380" s="1576">
        <f t="shared" si="502"/>
        <v>0</v>
      </c>
      <c r="CW380" s="1495">
        <f t="shared" si="539"/>
        <v>0</v>
      </c>
      <c r="CX380" s="1577">
        <f t="shared" si="540"/>
        <v>0</v>
      </c>
      <c r="CY380" s="1576">
        <f t="shared" si="503"/>
        <v>0</v>
      </c>
      <c r="CZ380" s="1574">
        <f t="shared" si="504"/>
        <v>0</v>
      </c>
      <c r="DA380" s="1578">
        <f t="shared" si="506"/>
        <v>0</v>
      </c>
      <c r="DB380" s="1579">
        <f t="shared" si="507"/>
        <v>0</v>
      </c>
      <c r="DC380" s="1578">
        <f t="shared" si="508"/>
        <v>0</v>
      </c>
      <c r="DD380" s="1578">
        <f t="shared" si="508"/>
        <v>0</v>
      </c>
      <c r="DE380" s="1578">
        <f t="shared" si="508"/>
        <v>0</v>
      </c>
      <c r="DF380" s="1578">
        <f t="shared" si="509"/>
        <v>0</v>
      </c>
      <c r="DG380" s="1420"/>
      <c r="DH380" s="1420"/>
      <c r="DI380" s="1422"/>
      <c r="DJ380" s="1428"/>
      <c r="DK380" s="1428"/>
      <c r="DL380" s="1428"/>
      <c r="DM380" s="1428"/>
      <c r="DN380" s="1428"/>
      <c r="DO380" s="1428"/>
      <c r="DP380" s="1428"/>
      <c r="DQ380" s="1422"/>
      <c r="DR380" s="1428"/>
      <c r="DS380" s="1428"/>
      <c r="DT380" s="1428"/>
      <c r="DU380" s="1428"/>
      <c r="DV380" s="1428"/>
      <c r="DW380" s="1428"/>
      <c r="DX380" s="1428"/>
      <c r="DY380" s="1428"/>
      <c r="DZ380" s="1428"/>
      <c r="EA380" s="1428"/>
      <c r="EB380" s="1428"/>
      <c r="EC380" s="1428"/>
      <c r="ED380" s="1428"/>
      <c r="EE380" s="1428"/>
      <c r="EF380" s="1428"/>
      <c r="EG380" s="1428"/>
      <c r="EH380" s="1428"/>
      <c r="EI380" s="1428"/>
      <c r="EJ380" s="1428"/>
      <c r="EK380" s="1428"/>
      <c r="EL380" s="1428"/>
      <c r="EM380" s="1428"/>
      <c r="EN380" s="1428"/>
      <c r="EO380" s="1428"/>
      <c r="EP380" s="1428"/>
      <c r="EQ380" s="1428"/>
      <c r="ER380" s="1428"/>
      <c r="ES380" s="1428"/>
      <c r="ET380" s="1427"/>
      <c r="EU380" s="1427"/>
    </row>
    <row r="381" spans="1:151" s="1440" customFormat="1" ht="18" customHeight="1">
      <c r="A381" s="1594"/>
      <c r="B381" s="1596" t="s">
        <v>2299</v>
      </c>
      <c r="C381" s="1893"/>
      <c r="D381" s="1758">
        <f>C344</f>
        <v>0</v>
      </c>
      <c r="E381" s="1662"/>
      <c r="F381" s="1758">
        <f>W384</f>
        <v>0</v>
      </c>
      <c r="G381" s="1422"/>
      <c r="L381" s="1586"/>
      <c r="M381" s="1586"/>
      <c r="N381" s="1430"/>
      <c r="O381" s="1894"/>
      <c r="P381" s="1640"/>
      <c r="Q381" s="1896"/>
      <c r="R381" s="1896"/>
      <c r="S381" s="1896"/>
      <c r="T381" s="1896"/>
      <c r="U381" s="1896"/>
      <c r="V381" s="1897"/>
      <c r="W381" s="1897"/>
      <c r="X381" s="1897"/>
      <c r="Y381" s="1897"/>
      <c r="Z381" s="1897"/>
      <c r="AA381" s="1897"/>
      <c r="AB381" s="1898"/>
      <c r="AC381" s="1896"/>
      <c r="AD381" s="1896"/>
      <c r="AE381" s="1896"/>
      <c r="AF381" s="1896"/>
      <c r="AG381" s="1896"/>
      <c r="AH381" s="1896"/>
      <c r="AI381" s="1896"/>
      <c r="AJ381" s="1896"/>
      <c r="AK381" s="1896"/>
      <c r="AL381" s="1896"/>
      <c r="AM381" s="1896"/>
      <c r="AN381" s="1896"/>
      <c r="AO381" s="1899"/>
      <c r="AP381" s="1882"/>
      <c r="AQ381" s="1896"/>
      <c r="AR381" s="1896"/>
      <c r="AS381" s="1896"/>
      <c r="AT381" s="1896"/>
      <c r="AU381" s="1896"/>
      <c r="AV381" s="1896"/>
      <c r="AW381" s="1896"/>
      <c r="AX381" s="1896"/>
      <c r="AY381" s="1896"/>
      <c r="AZ381" s="1896"/>
      <c r="BA381" s="1896"/>
      <c r="BB381" s="1896"/>
      <c r="BC381" s="1430"/>
      <c r="BD381" s="1422"/>
      <c r="BE381" s="1571" t="s">
        <v>1219</v>
      </c>
      <c r="BF381" s="1436">
        <v>23</v>
      </c>
      <c r="BG381" s="1436">
        <v>28</v>
      </c>
      <c r="BH381" s="1436">
        <v>2</v>
      </c>
      <c r="BI381" s="1495" t="b">
        <f t="shared" si="505"/>
        <v>1</v>
      </c>
      <c r="BJ381" s="1450" t="b">
        <f t="shared" si="515"/>
        <v>0</v>
      </c>
      <c r="BK381" s="1572">
        <f t="shared" si="516"/>
        <v>0</v>
      </c>
      <c r="BL381" s="1581">
        <f>IF(SUM(BL$354:BL380,BK381)&gt;$BU$4,0,BK381)</f>
        <v>0</v>
      </c>
      <c r="BM381" s="1436">
        <f t="shared" si="490"/>
        <v>0</v>
      </c>
      <c r="BN381" s="1495">
        <f t="shared" si="491"/>
        <v>0</v>
      </c>
      <c r="BO381" s="1437">
        <f t="shared" si="510"/>
        <v>0</v>
      </c>
      <c r="BP381" s="1574">
        <f t="shared" si="517"/>
        <v>0</v>
      </c>
      <c r="BQ381" s="1577">
        <f t="shared" si="518"/>
        <v>0</v>
      </c>
      <c r="BR381" s="1576">
        <f t="shared" si="492"/>
        <v>0</v>
      </c>
      <c r="BS381" s="1574">
        <f t="shared" si="519"/>
        <v>0</v>
      </c>
      <c r="BT381" s="1577">
        <f t="shared" si="520"/>
        <v>0</v>
      </c>
      <c r="BU381" s="1576">
        <f t="shared" si="493"/>
        <v>0</v>
      </c>
      <c r="BV381" s="1574">
        <f t="shared" si="521"/>
        <v>0</v>
      </c>
      <c r="BW381" s="1577">
        <f t="shared" si="522"/>
        <v>0</v>
      </c>
      <c r="BX381" s="1576">
        <f t="shared" si="494"/>
        <v>0</v>
      </c>
      <c r="BY381" s="1574">
        <f t="shared" si="523"/>
        <v>0</v>
      </c>
      <c r="BZ381" s="1577">
        <f t="shared" si="524"/>
        <v>0</v>
      </c>
      <c r="CA381" s="1576">
        <f t="shared" si="495"/>
        <v>0</v>
      </c>
      <c r="CB381" s="1495">
        <f t="shared" si="525"/>
        <v>0</v>
      </c>
      <c r="CC381" s="1577">
        <f t="shared" si="526"/>
        <v>0</v>
      </c>
      <c r="CD381" s="1576">
        <f t="shared" si="496"/>
        <v>0</v>
      </c>
      <c r="CE381" s="1495">
        <f t="shared" si="527"/>
        <v>0</v>
      </c>
      <c r="CF381" s="1577">
        <f t="shared" si="528"/>
        <v>0</v>
      </c>
      <c r="CG381" s="1576">
        <f t="shared" si="497"/>
        <v>0</v>
      </c>
      <c r="CH381" s="1495">
        <f t="shared" si="529"/>
        <v>0</v>
      </c>
      <c r="CI381" s="1577">
        <f t="shared" si="530"/>
        <v>0</v>
      </c>
      <c r="CJ381" s="1576">
        <f t="shared" si="498"/>
        <v>0</v>
      </c>
      <c r="CK381" s="1495">
        <f t="shared" si="531"/>
        <v>0</v>
      </c>
      <c r="CL381" s="1577">
        <f t="shared" si="532"/>
        <v>0</v>
      </c>
      <c r="CM381" s="1576">
        <f t="shared" si="499"/>
        <v>0</v>
      </c>
      <c r="CN381" s="1495">
        <f t="shared" si="533"/>
        <v>0</v>
      </c>
      <c r="CO381" s="1577">
        <f t="shared" si="534"/>
        <v>0</v>
      </c>
      <c r="CP381" s="1576">
        <f t="shared" si="500"/>
        <v>0</v>
      </c>
      <c r="CQ381" s="1495">
        <f t="shared" si="535"/>
        <v>0</v>
      </c>
      <c r="CR381" s="1577">
        <f t="shared" si="536"/>
        <v>0</v>
      </c>
      <c r="CS381" s="1576">
        <f t="shared" si="501"/>
        <v>0</v>
      </c>
      <c r="CT381" s="1495">
        <f t="shared" si="537"/>
        <v>0</v>
      </c>
      <c r="CU381" s="1577">
        <f t="shared" si="538"/>
        <v>0</v>
      </c>
      <c r="CV381" s="1576">
        <f t="shared" si="502"/>
        <v>0</v>
      </c>
      <c r="CW381" s="1495">
        <f t="shared" si="539"/>
        <v>0</v>
      </c>
      <c r="CX381" s="1577">
        <f t="shared" si="540"/>
        <v>0</v>
      </c>
      <c r="CY381" s="1576">
        <f t="shared" si="503"/>
        <v>0</v>
      </c>
      <c r="CZ381" s="1574">
        <f t="shared" si="504"/>
        <v>0</v>
      </c>
      <c r="DA381" s="1578">
        <f t="shared" si="506"/>
        <v>0</v>
      </c>
      <c r="DB381" s="1579">
        <f t="shared" si="507"/>
        <v>0</v>
      </c>
      <c r="DC381" s="1578">
        <f t="shared" si="508"/>
        <v>0</v>
      </c>
      <c r="DD381" s="1578">
        <f t="shared" si="508"/>
        <v>0</v>
      </c>
      <c r="DE381" s="1578">
        <f t="shared" si="508"/>
        <v>0</v>
      </c>
      <c r="DF381" s="1578">
        <f t="shared" si="509"/>
        <v>0</v>
      </c>
      <c r="DG381" s="1420"/>
      <c r="DH381" s="1420"/>
      <c r="DI381" s="1422"/>
      <c r="DJ381" s="1428"/>
      <c r="DK381" s="1428"/>
      <c r="DL381" s="1428"/>
      <c r="DM381" s="1428"/>
      <c r="DN381" s="1428"/>
      <c r="DO381" s="1428"/>
      <c r="DP381" s="1428"/>
      <c r="DQ381" s="1422"/>
      <c r="DR381" s="1427"/>
      <c r="DS381" s="1428"/>
      <c r="DT381" s="1428"/>
      <c r="DU381" s="1428"/>
      <c r="DV381" s="1428"/>
      <c r="DW381" s="1428"/>
      <c r="DX381" s="1428"/>
      <c r="DY381" s="1428"/>
      <c r="DZ381" s="1428"/>
      <c r="EA381" s="1428"/>
      <c r="EB381" s="1428"/>
      <c r="EC381" s="1428"/>
      <c r="ED381" s="1428"/>
      <c r="EE381" s="1428"/>
      <c r="EF381" s="1428"/>
      <c r="EG381" s="1428"/>
      <c r="EH381" s="1428"/>
      <c r="EI381" s="1428"/>
      <c r="EJ381" s="1428"/>
      <c r="EK381" s="1428"/>
      <c r="EL381" s="1428"/>
      <c r="EM381" s="1428"/>
      <c r="EN381" s="1428"/>
      <c r="EO381" s="1428"/>
      <c r="EP381" s="1428"/>
      <c r="EQ381" s="1428"/>
      <c r="ER381" s="1428"/>
      <c r="ES381" s="1428"/>
      <c r="ET381" s="1427"/>
      <c r="EU381" s="1427"/>
    </row>
    <row r="382" spans="1:151" s="1440" customFormat="1" ht="18" customHeight="1">
      <c r="A382" s="1594"/>
      <c r="B382" s="1596" t="s">
        <v>2300</v>
      </c>
      <c r="C382" s="1893"/>
      <c r="D382" s="1758">
        <f>C345</f>
        <v>0</v>
      </c>
      <c r="E382" s="1662"/>
      <c r="F382" s="1758">
        <f>X384</f>
        <v>0</v>
      </c>
      <c r="G382" s="1422"/>
      <c r="L382" s="1586"/>
      <c r="M382" s="1586"/>
      <c r="N382" s="1430"/>
      <c r="O382" s="1894"/>
      <c r="P382" s="1640"/>
      <c r="Q382" s="1896"/>
      <c r="R382" s="1896"/>
      <c r="S382" s="1896"/>
      <c r="T382" s="1896"/>
      <c r="U382" s="1896"/>
      <c r="V382" s="1897"/>
      <c r="W382" s="1897"/>
      <c r="X382" s="1897"/>
      <c r="Y382" s="1897"/>
      <c r="Z382" s="1897"/>
      <c r="AA382" s="1897"/>
      <c r="AB382" s="1898"/>
      <c r="AC382" s="1896"/>
      <c r="AD382" s="1896"/>
      <c r="AE382" s="1896"/>
      <c r="AF382" s="1896"/>
      <c r="AG382" s="1896"/>
      <c r="AH382" s="1896"/>
      <c r="AI382" s="1896"/>
      <c r="AJ382" s="1896"/>
      <c r="AK382" s="1896"/>
      <c r="AL382" s="1896"/>
      <c r="AM382" s="1896"/>
      <c r="AN382" s="1896"/>
      <c r="AO382" s="1899"/>
      <c r="AP382" s="1882"/>
      <c r="AQ382" s="1896"/>
      <c r="AR382" s="1896"/>
      <c r="AS382" s="1896"/>
      <c r="AT382" s="1896"/>
      <c r="AU382" s="1896"/>
      <c r="AV382" s="1896"/>
      <c r="AW382" s="1896"/>
      <c r="AX382" s="1896"/>
      <c r="AY382" s="1896"/>
      <c r="AZ382" s="1896"/>
      <c r="BA382" s="1896"/>
      <c r="BB382" s="1896"/>
      <c r="BC382" s="1430"/>
      <c r="BD382" s="1422"/>
      <c r="BE382" s="1571" t="s">
        <v>1219</v>
      </c>
      <c r="BF382" s="1436">
        <v>23</v>
      </c>
      <c r="BG382" s="1436">
        <v>29</v>
      </c>
      <c r="BH382" s="1436">
        <v>3</v>
      </c>
      <c r="BI382" s="1495" t="b">
        <f t="shared" si="505"/>
        <v>1</v>
      </c>
      <c r="BJ382" s="1450" t="b">
        <f t="shared" si="515"/>
        <v>0</v>
      </c>
      <c r="BK382" s="1572">
        <f t="shared" si="516"/>
        <v>0</v>
      </c>
      <c r="BL382" s="1581">
        <f>IF(SUM(BL$354:BL381,BK382)&gt;$BU$4,0,BK382)</f>
        <v>0</v>
      </c>
      <c r="BM382" s="1436">
        <f t="shared" si="490"/>
        <v>0</v>
      </c>
      <c r="BN382" s="1495">
        <f t="shared" si="491"/>
        <v>0</v>
      </c>
      <c r="BO382" s="1437">
        <f t="shared" si="510"/>
        <v>0</v>
      </c>
      <c r="BP382" s="1574">
        <f t="shared" si="517"/>
        <v>0</v>
      </c>
      <c r="BQ382" s="1577">
        <f t="shared" si="518"/>
        <v>0</v>
      </c>
      <c r="BR382" s="1576">
        <f t="shared" si="492"/>
        <v>0</v>
      </c>
      <c r="BS382" s="1574">
        <f t="shared" si="519"/>
        <v>0</v>
      </c>
      <c r="BT382" s="1577">
        <f t="shared" si="520"/>
        <v>0</v>
      </c>
      <c r="BU382" s="1576">
        <f t="shared" si="493"/>
        <v>0</v>
      </c>
      <c r="BV382" s="1574">
        <f t="shared" si="521"/>
        <v>0</v>
      </c>
      <c r="BW382" s="1577">
        <f t="shared" si="522"/>
        <v>0</v>
      </c>
      <c r="BX382" s="1576">
        <f t="shared" si="494"/>
        <v>0</v>
      </c>
      <c r="BY382" s="1574">
        <f t="shared" si="523"/>
        <v>0</v>
      </c>
      <c r="BZ382" s="1577">
        <f t="shared" si="524"/>
        <v>0</v>
      </c>
      <c r="CA382" s="1576">
        <f t="shared" si="495"/>
        <v>0</v>
      </c>
      <c r="CB382" s="1495">
        <f t="shared" si="525"/>
        <v>0</v>
      </c>
      <c r="CC382" s="1577">
        <f t="shared" si="526"/>
        <v>0</v>
      </c>
      <c r="CD382" s="1576">
        <f t="shared" si="496"/>
        <v>0</v>
      </c>
      <c r="CE382" s="1495">
        <f t="shared" si="527"/>
        <v>0</v>
      </c>
      <c r="CF382" s="1577">
        <f t="shared" si="528"/>
        <v>0</v>
      </c>
      <c r="CG382" s="1576">
        <f t="shared" si="497"/>
        <v>0</v>
      </c>
      <c r="CH382" s="1495">
        <f t="shared" si="529"/>
        <v>0</v>
      </c>
      <c r="CI382" s="1577">
        <f t="shared" si="530"/>
        <v>0</v>
      </c>
      <c r="CJ382" s="1576">
        <f t="shared" si="498"/>
        <v>0</v>
      </c>
      <c r="CK382" s="1495">
        <f t="shared" si="531"/>
        <v>0</v>
      </c>
      <c r="CL382" s="1577">
        <f t="shared" si="532"/>
        <v>0</v>
      </c>
      <c r="CM382" s="1576">
        <f t="shared" si="499"/>
        <v>0</v>
      </c>
      <c r="CN382" s="1495">
        <f t="shared" si="533"/>
        <v>0</v>
      </c>
      <c r="CO382" s="1577">
        <f t="shared" si="534"/>
        <v>0</v>
      </c>
      <c r="CP382" s="1576">
        <f t="shared" si="500"/>
        <v>0</v>
      </c>
      <c r="CQ382" s="1495">
        <f t="shared" si="535"/>
        <v>0</v>
      </c>
      <c r="CR382" s="1577">
        <f t="shared" si="536"/>
        <v>0</v>
      </c>
      <c r="CS382" s="1576">
        <f t="shared" si="501"/>
        <v>0</v>
      </c>
      <c r="CT382" s="1495">
        <f t="shared" si="537"/>
        <v>0</v>
      </c>
      <c r="CU382" s="1577">
        <f t="shared" si="538"/>
        <v>0</v>
      </c>
      <c r="CV382" s="1576">
        <f t="shared" si="502"/>
        <v>0</v>
      </c>
      <c r="CW382" s="1495">
        <f t="shared" si="539"/>
        <v>0</v>
      </c>
      <c r="CX382" s="1577">
        <f t="shared" si="540"/>
        <v>0</v>
      </c>
      <c r="CY382" s="1576">
        <f t="shared" si="503"/>
        <v>0</v>
      </c>
      <c r="CZ382" s="1574">
        <f t="shared" si="504"/>
        <v>0</v>
      </c>
      <c r="DA382" s="1578">
        <f t="shared" si="506"/>
        <v>0</v>
      </c>
      <c r="DB382" s="1579">
        <f t="shared" si="507"/>
        <v>0</v>
      </c>
      <c r="DC382" s="1578">
        <f t="shared" si="508"/>
        <v>0</v>
      </c>
      <c r="DD382" s="1578">
        <f t="shared" si="508"/>
        <v>0</v>
      </c>
      <c r="DE382" s="1578">
        <f t="shared" si="508"/>
        <v>0</v>
      </c>
      <c r="DF382" s="1578">
        <f t="shared" si="509"/>
        <v>0</v>
      </c>
      <c r="DG382" s="1420"/>
      <c r="DH382" s="1420"/>
      <c r="DI382" s="1422"/>
      <c r="DJ382" s="1428"/>
      <c r="DK382" s="1428"/>
      <c r="DL382" s="1428"/>
      <c r="DM382" s="1428"/>
      <c r="DN382" s="1428"/>
      <c r="DO382" s="1428"/>
      <c r="DP382" s="1428"/>
      <c r="DQ382" s="1422"/>
      <c r="DR382" s="1427"/>
      <c r="DS382" s="1428"/>
      <c r="DT382" s="1428"/>
      <c r="DU382" s="1428"/>
      <c r="DV382" s="1428"/>
      <c r="DW382" s="1428"/>
      <c r="DX382" s="1428"/>
      <c r="DY382" s="1428"/>
      <c r="DZ382" s="1428"/>
      <c r="EA382" s="1428"/>
      <c r="EB382" s="1428"/>
      <c r="EC382" s="1428"/>
      <c r="ED382" s="1428"/>
      <c r="EE382" s="1428"/>
      <c r="EF382" s="1428"/>
      <c r="EG382" s="1428"/>
      <c r="EH382" s="1428"/>
      <c r="EI382" s="1428"/>
      <c r="EJ382" s="1428"/>
      <c r="EK382" s="1428"/>
      <c r="EL382" s="1428"/>
      <c r="EM382" s="1428"/>
      <c r="EN382" s="1428"/>
      <c r="EO382" s="1428"/>
      <c r="EP382" s="1428"/>
      <c r="EQ382" s="1428"/>
      <c r="ER382" s="1428"/>
      <c r="ES382" s="1428"/>
      <c r="ET382" s="1427"/>
      <c r="EU382" s="1427"/>
    </row>
    <row r="383" spans="1:151" s="1440" customFormat="1" ht="18" customHeight="1">
      <c r="A383" s="1594"/>
      <c r="B383" s="1596" t="str">
        <f>B346</f>
        <v>{Other Water Use 1}</v>
      </c>
      <c r="C383" s="1893"/>
      <c r="D383" s="1758">
        <f>C346</f>
        <v>0</v>
      </c>
      <c r="E383" s="1662"/>
      <c r="F383" s="1758">
        <f>Y384</f>
        <v>0</v>
      </c>
      <c r="G383" s="1422"/>
      <c r="L383" s="1586"/>
      <c r="M383" s="1586"/>
      <c r="N383" s="1894"/>
      <c r="O383" s="1894"/>
      <c r="P383" s="1430"/>
      <c r="Q383" s="1430"/>
      <c r="R383" s="1430"/>
      <c r="S383" s="1430"/>
      <c r="T383" s="1430"/>
      <c r="U383" s="1430"/>
      <c r="V383" s="1430"/>
      <c r="W383" s="1430"/>
      <c r="X383" s="1430"/>
      <c r="Y383" s="1430"/>
      <c r="Z383" s="1430"/>
      <c r="AA383" s="1430"/>
      <c r="AB383" s="1430"/>
      <c r="AC383" s="1430"/>
      <c r="AD383" s="1430"/>
      <c r="AE383" s="1430"/>
      <c r="AF383" s="1430"/>
      <c r="AG383" s="1430"/>
      <c r="AH383" s="1430"/>
      <c r="AI383" s="1430"/>
      <c r="AJ383" s="1430"/>
      <c r="AK383" s="1430"/>
      <c r="AL383" s="1430"/>
      <c r="AM383" s="1430"/>
      <c r="AN383" s="1430"/>
      <c r="AO383" s="1430"/>
      <c r="AP383" s="1430"/>
      <c r="AQ383" s="1430"/>
      <c r="AR383" s="1430"/>
      <c r="AS383" s="1430"/>
      <c r="AT383" s="1430"/>
      <c r="AU383" s="1430"/>
      <c r="AV383" s="1430"/>
      <c r="AW383" s="1430"/>
      <c r="AX383" s="1430"/>
      <c r="AY383" s="1430"/>
      <c r="AZ383" s="1430"/>
      <c r="BA383" s="1430"/>
      <c r="BB383" s="1430"/>
      <c r="BC383" s="1430"/>
      <c r="BD383" s="1422"/>
      <c r="BE383" s="1571" t="s">
        <v>1219</v>
      </c>
      <c r="BF383" s="1436">
        <v>23</v>
      </c>
      <c r="BG383" s="1436">
        <v>30</v>
      </c>
      <c r="BH383" s="1436">
        <v>4</v>
      </c>
      <c r="BI383" s="1495" t="b">
        <f t="shared" si="505"/>
        <v>1</v>
      </c>
      <c r="BJ383" s="1450" t="b">
        <f t="shared" si="515"/>
        <v>1</v>
      </c>
      <c r="BK383" s="1572">
        <f t="shared" si="516"/>
        <v>7.3636363636363633</v>
      </c>
      <c r="BL383" s="1581">
        <f>IF(SUM(BL$354:BL382,BK383)&gt;$BU$4,0,BK383)</f>
        <v>7.3636363636363633</v>
      </c>
      <c r="BM383" s="1436">
        <f t="shared" si="490"/>
        <v>0</v>
      </c>
      <c r="BN383" s="1495">
        <f t="shared" si="491"/>
        <v>0</v>
      </c>
      <c r="BO383" s="1437">
        <f t="shared" si="510"/>
        <v>0</v>
      </c>
      <c r="BP383" s="1574">
        <f t="shared" si="517"/>
        <v>0</v>
      </c>
      <c r="BQ383" s="1577">
        <f t="shared" si="518"/>
        <v>0</v>
      </c>
      <c r="BR383" s="1576">
        <f t="shared" si="492"/>
        <v>0</v>
      </c>
      <c r="BS383" s="1574">
        <f t="shared" si="519"/>
        <v>0</v>
      </c>
      <c r="BT383" s="1577">
        <f t="shared" si="520"/>
        <v>0</v>
      </c>
      <c r="BU383" s="1576">
        <f t="shared" si="493"/>
        <v>0</v>
      </c>
      <c r="BV383" s="1574">
        <f t="shared" si="521"/>
        <v>0</v>
      </c>
      <c r="BW383" s="1577">
        <f t="shared" si="522"/>
        <v>0</v>
      </c>
      <c r="BX383" s="1576">
        <f t="shared" si="494"/>
        <v>0</v>
      </c>
      <c r="BY383" s="1574">
        <f t="shared" si="523"/>
        <v>0</v>
      </c>
      <c r="BZ383" s="1577">
        <f t="shared" si="524"/>
        <v>0</v>
      </c>
      <c r="CA383" s="1576">
        <f t="shared" si="495"/>
        <v>0</v>
      </c>
      <c r="CB383" s="1495">
        <f t="shared" si="525"/>
        <v>0</v>
      </c>
      <c r="CC383" s="1577">
        <f t="shared" si="526"/>
        <v>0</v>
      </c>
      <c r="CD383" s="1576">
        <f t="shared" si="496"/>
        <v>0</v>
      </c>
      <c r="CE383" s="1495">
        <f t="shared" si="527"/>
        <v>0</v>
      </c>
      <c r="CF383" s="1577">
        <f t="shared" si="528"/>
        <v>0</v>
      </c>
      <c r="CG383" s="1576">
        <f t="shared" si="497"/>
        <v>0</v>
      </c>
      <c r="CH383" s="1495">
        <f t="shared" si="529"/>
        <v>0</v>
      </c>
      <c r="CI383" s="1577">
        <f t="shared" si="530"/>
        <v>0</v>
      </c>
      <c r="CJ383" s="1576">
        <f t="shared" si="498"/>
        <v>0</v>
      </c>
      <c r="CK383" s="1495">
        <f t="shared" si="531"/>
        <v>0</v>
      </c>
      <c r="CL383" s="1577">
        <f t="shared" si="532"/>
        <v>0</v>
      </c>
      <c r="CM383" s="1576">
        <f t="shared" si="499"/>
        <v>0</v>
      </c>
      <c r="CN383" s="1495">
        <f t="shared" si="533"/>
        <v>0</v>
      </c>
      <c r="CO383" s="1577">
        <f t="shared" si="534"/>
        <v>0</v>
      </c>
      <c r="CP383" s="1576">
        <f t="shared" si="500"/>
        <v>0</v>
      </c>
      <c r="CQ383" s="1495">
        <f t="shared" si="535"/>
        <v>0</v>
      </c>
      <c r="CR383" s="1577">
        <f t="shared" si="536"/>
        <v>0</v>
      </c>
      <c r="CS383" s="1576">
        <f t="shared" si="501"/>
        <v>0</v>
      </c>
      <c r="CT383" s="1495">
        <f t="shared" si="537"/>
        <v>0</v>
      </c>
      <c r="CU383" s="1577">
        <f t="shared" si="538"/>
        <v>0</v>
      </c>
      <c r="CV383" s="1576">
        <f t="shared" si="502"/>
        <v>0</v>
      </c>
      <c r="CW383" s="1495">
        <f t="shared" si="539"/>
        <v>0</v>
      </c>
      <c r="CX383" s="1577">
        <f t="shared" si="540"/>
        <v>0</v>
      </c>
      <c r="CY383" s="1576">
        <f t="shared" si="503"/>
        <v>0</v>
      </c>
      <c r="CZ383" s="1574">
        <f t="shared" si="504"/>
        <v>0</v>
      </c>
      <c r="DA383" s="1578">
        <f t="shared" si="506"/>
        <v>0</v>
      </c>
      <c r="DB383" s="1579">
        <f t="shared" si="507"/>
        <v>0</v>
      </c>
      <c r="DC383" s="1578">
        <f t="shared" si="508"/>
        <v>0</v>
      </c>
      <c r="DD383" s="1578">
        <f t="shared" si="508"/>
        <v>0</v>
      </c>
      <c r="DE383" s="1578">
        <f t="shared" si="508"/>
        <v>0</v>
      </c>
      <c r="DF383" s="1578">
        <f t="shared" si="509"/>
        <v>0</v>
      </c>
      <c r="DG383" s="1420"/>
      <c r="DH383" s="1420"/>
      <c r="DJ383" s="1428"/>
      <c r="DK383" s="1428"/>
      <c r="DL383" s="1428"/>
      <c r="DM383" s="1428"/>
      <c r="DN383" s="1428"/>
      <c r="DO383" s="1428"/>
      <c r="DP383" s="1427"/>
      <c r="DR383" s="1427"/>
      <c r="DS383" s="1427"/>
      <c r="DT383" s="1427"/>
      <c r="DU383" s="1427"/>
      <c r="DV383" s="1427"/>
      <c r="DW383" s="1427"/>
      <c r="DX383" s="1427"/>
      <c r="DY383" s="1427"/>
      <c r="DZ383" s="1427"/>
      <c r="EA383" s="1427"/>
      <c r="EB383" s="1427"/>
      <c r="EC383" s="1427"/>
      <c r="ED383" s="1427"/>
      <c r="EE383" s="1427"/>
      <c r="EF383" s="1427"/>
      <c r="EG383" s="1427"/>
      <c r="EH383" s="1427"/>
      <c r="EI383" s="1427"/>
      <c r="EJ383" s="1427"/>
      <c r="EK383" s="1427"/>
      <c r="EL383" s="1427"/>
      <c r="EM383" s="1427"/>
      <c r="EN383" s="1427"/>
      <c r="EO383" s="1427"/>
      <c r="EP383" s="1427"/>
      <c r="EQ383" s="1427"/>
      <c r="ER383" s="1427"/>
      <c r="ES383" s="1427"/>
      <c r="ET383" s="1427"/>
      <c r="EU383" s="1427"/>
    </row>
    <row r="384" spans="1:151" s="1440" customFormat="1" ht="18" customHeight="1" thickBot="1">
      <c r="A384" s="1594"/>
      <c r="B384" s="1596" t="str">
        <f>B347</f>
        <v>{Other Water Use 2}</v>
      </c>
      <c r="C384" s="1893"/>
      <c r="D384" s="1758">
        <f>C347</f>
        <v>0</v>
      </c>
      <c r="E384" s="1662"/>
      <c r="F384" s="1758">
        <f>Z384</f>
        <v>0</v>
      </c>
      <c r="G384" s="1422"/>
      <c r="L384" s="1586"/>
      <c r="M384" s="1586"/>
      <c r="N384" s="1430" t="s">
        <v>1850</v>
      </c>
      <c r="O384" s="1900"/>
      <c r="P384" s="1640" t="s">
        <v>32</v>
      </c>
      <c r="Q384" s="1482">
        <f>SUM(Q369:Q380)*Q368</f>
        <v>0</v>
      </c>
      <c r="R384" s="1482">
        <f>SUM(R369:R380)*R368</f>
        <v>0</v>
      </c>
      <c r="S384" s="1482">
        <f t="shared" ref="S384:AA384" si="568">SUM(S369:S380)*S368</f>
        <v>0</v>
      </c>
      <c r="T384" s="1482">
        <f t="shared" si="568"/>
        <v>0</v>
      </c>
      <c r="U384" s="1482">
        <f t="shared" si="568"/>
        <v>0</v>
      </c>
      <c r="V384" s="1482">
        <f t="shared" si="568"/>
        <v>0</v>
      </c>
      <c r="W384" s="1482">
        <f t="shared" si="568"/>
        <v>0</v>
      </c>
      <c r="X384" s="1482">
        <f t="shared" si="568"/>
        <v>0</v>
      </c>
      <c r="Y384" s="1482">
        <f t="shared" si="568"/>
        <v>0</v>
      </c>
      <c r="Z384" s="1482">
        <f t="shared" si="568"/>
        <v>0</v>
      </c>
      <c r="AA384" s="1482">
        <f t="shared" si="568"/>
        <v>0</v>
      </c>
      <c r="AB384" s="1885">
        <f>SUM(Q384:AA384)</f>
        <v>0</v>
      </c>
      <c r="AC384" s="1482">
        <f>SUM(AC369:AC380)</f>
        <v>0</v>
      </c>
      <c r="AD384" s="1482">
        <f t="shared" ref="AD384:BB384" si="569">SUM(AD369:AD380)</f>
        <v>0</v>
      </c>
      <c r="AE384" s="1482">
        <f t="shared" si="569"/>
        <v>0</v>
      </c>
      <c r="AF384" s="1482">
        <f t="shared" si="569"/>
        <v>0</v>
      </c>
      <c r="AG384" s="1482">
        <f t="shared" si="569"/>
        <v>0</v>
      </c>
      <c r="AH384" s="1482">
        <f t="shared" si="569"/>
        <v>0</v>
      </c>
      <c r="AI384" s="1482">
        <f t="shared" si="569"/>
        <v>0</v>
      </c>
      <c r="AJ384" s="1482">
        <f t="shared" si="569"/>
        <v>0</v>
      </c>
      <c r="AK384" s="1482">
        <f t="shared" si="569"/>
        <v>0</v>
      </c>
      <c r="AL384" s="1482">
        <f t="shared" si="569"/>
        <v>0</v>
      </c>
      <c r="AM384" s="1482">
        <f t="shared" si="569"/>
        <v>0</v>
      </c>
      <c r="AN384" s="1482">
        <f t="shared" si="569"/>
        <v>0</v>
      </c>
      <c r="AO384" s="1886">
        <f t="shared" si="569"/>
        <v>0</v>
      </c>
      <c r="AP384" s="1901">
        <f t="shared" si="569"/>
        <v>0</v>
      </c>
      <c r="AQ384" s="1482">
        <f t="shared" si="569"/>
        <v>0</v>
      </c>
      <c r="AR384" s="1482">
        <f t="shared" si="569"/>
        <v>0</v>
      </c>
      <c r="AS384" s="1482">
        <f t="shared" si="569"/>
        <v>0</v>
      </c>
      <c r="AT384" s="1482">
        <f t="shared" si="569"/>
        <v>0</v>
      </c>
      <c r="AU384" s="1482">
        <f t="shared" si="569"/>
        <v>0</v>
      </c>
      <c r="AV384" s="1482">
        <f t="shared" si="569"/>
        <v>0</v>
      </c>
      <c r="AW384" s="1482">
        <f t="shared" si="569"/>
        <v>0</v>
      </c>
      <c r="AX384" s="1482">
        <f t="shared" si="569"/>
        <v>0</v>
      </c>
      <c r="AY384" s="1482">
        <f t="shared" si="569"/>
        <v>0</v>
      </c>
      <c r="AZ384" s="1482">
        <f t="shared" si="569"/>
        <v>0</v>
      </c>
      <c r="BA384" s="1482">
        <f t="shared" si="569"/>
        <v>0</v>
      </c>
      <c r="BB384" s="1482">
        <f t="shared" si="569"/>
        <v>0</v>
      </c>
      <c r="BC384" s="1430"/>
      <c r="BD384" s="1422"/>
      <c r="BE384" s="1571" t="s">
        <v>1219</v>
      </c>
      <c r="BF384" s="1436">
        <v>23</v>
      </c>
      <c r="BG384" s="1436">
        <v>31</v>
      </c>
      <c r="BH384" s="1436">
        <v>5</v>
      </c>
      <c r="BI384" s="1495" t="b">
        <f t="shared" si="505"/>
        <v>1</v>
      </c>
      <c r="BJ384" s="1450" t="b">
        <f t="shared" si="515"/>
        <v>0</v>
      </c>
      <c r="BK384" s="1572">
        <f t="shared" si="516"/>
        <v>0</v>
      </c>
      <c r="BL384" s="1573">
        <f>$BU$4-SUM(BL354:BL383)</f>
        <v>7.3636363636363882</v>
      </c>
      <c r="BM384" s="1436">
        <f t="shared" si="490"/>
        <v>0</v>
      </c>
      <c r="BN384" s="1495">
        <f t="shared" si="491"/>
        <v>0</v>
      </c>
      <c r="BO384" s="1437">
        <f t="shared" si="510"/>
        <v>0</v>
      </c>
      <c r="BP384" s="1574">
        <f t="shared" si="517"/>
        <v>0</v>
      </c>
      <c r="BQ384" s="1577">
        <f t="shared" si="518"/>
        <v>0</v>
      </c>
      <c r="BR384" s="1576">
        <f>IF(BP384-BQ384&gt;0,BP384-BQ384,0)</f>
        <v>0</v>
      </c>
      <c r="BS384" s="1902">
        <f>R$346/$BJ$15*$C$416*$BI384</f>
        <v>0</v>
      </c>
      <c r="BT384" s="1577">
        <f t="shared" si="520"/>
        <v>0</v>
      </c>
      <c r="BU384" s="1903">
        <f>IF(BS384-(BU$17*BT384)&gt;0,BS384-(BU$17*BT384),0)</f>
        <v>0</v>
      </c>
      <c r="BV384" s="1902">
        <f>S$346/$BJ$15*$C$417*$BI384</f>
        <v>0</v>
      </c>
      <c r="BW384" s="1904">
        <f>AS$380/$BF384*BX$17*$BI384</f>
        <v>0</v>
      </c>
      <c r="BX384" s="1903">
        <f>IF(BV384-(BX$17*BW384)&gt;0,BV384-(BX$17*BW384),0)</f>
        <v>0</v>
      </c>
      <c r="BY384" s="1902">
        <f>T$346/$BJ$15*$C$418*$BI384</f>
        <v>0</v>
      </c>
      <c r="BZ384" s="1904">
        <f>AT$380/$BF384*CA$17*$BI384</f>
        <v>0</v>
      </c>
      <c r="CA384" s="1903">
        <f>IF(BY384-(CA$17*BZ384)&gt;0,BY384-(CA$17*BZ384),0)</f>
        <v>0</v>
      </c>
      <c r="CB384" s="1902">
        <f t="shared" si="525"/>
        <v>0</v>
      </c>
      <c r="CC384" s="1904">
        <f>AU$380/$BF384*CD$17*$BI384</f>
        <v>0</v>
      </c>
      <c r="CD384" s="1903">
        <f>IF(CB384-(CD$17*CC384)&gt;0,CB384-(CD$17*CC384),0)</f>
        <v>0</v>
      </c>
      <c r="CE384" s="1902">
        <f t="shared" si="527"/>
        <v>0</v>
      </c>
      <c r="CF384" s="1904">
        <f>AV$380/$BF384*CG$17*$BI384</f>
        <v>0</v>
      </c>
      <c r="CG384" s="1903">
        <f>IF(CE384-(CG$17*CF384)&gt;0,CE384-(CG$17*CF384),0)</f>
        <v>0</v>
      </c>
      <c r="CH384" s="1902">
        <f t="shared" si="529"/>
        <v>0</v>
      </c>
      <c r="CI384" s="1904">
        <f>AW$380/$BF384*CJ$17*$BI384</f>
        <v>0</v>
      </c>
      <c r="CJ384" s="1903">
        <f>IF(CH384-(CJ$17*CI384)&gt;0,CH384-(CJ$17*CI384),0)</f>
        <v>0</v>
      </c>
      <c r="CK384" s="1495">
        <f t="shared" si="531"/>
        <v>0</v>
      </c>
      <c r="CL384" s="1577">
        <f t="shared" si="532"/>
        <v>0</v>
      </c>
      <c r="CM384" s="1905">
        <f>IF(CK384-CL384&gt;0,CK384-CL384,0)</f>
        <v>0</v>
      </c>
      <c r="CN384" s="1495">
        <f t="shared" si="533"/>
        <v>0</v>
      </c>
      <c r="CO384" s="1577">
        <f t="shared" si="534"/>
        <v>0</v>
      </c>
      <c r="CP384" s="1905">
        <f>IF(CN384-CO384&gt;0,CN384-CO384,0)</f>
        <v>0</v>
      </c>
      <c r="CQ384" s="1495">
        <f t="shared" si="535"/>
        <v>0</v>
      </c>
      <c r="CR384" s="1577">
        <f t="shared" si="536"/>
        <v>0</v>
      </c>
      <c r="CS384" s="1576">
        <f t="shared" si="501"/>
        <v>0</v>
      </c>
      <c r="CT384" s="1495">
        <f t="shared" si="537"/>
        <v>0</v>
      </c>
      <c r="CU384" s="1577">
        <f t="shared" si="538"/>
        <v>0</v>
      </c>
      <c r="CV384" s="1905">
        <f>IF(CT384-CU384&gt;0,CT384-CU384,0)</f>
        <v>0</v>
      </c>
      <c r="CW384" s="1495">
        <f t="shared" si="539"/>
        <v>0</v>
      </c>
      <c r="CX384" s="1577">
        <f t="shared" si="540"/>
        <v>0</v>
      </c>
      <c r="CY384" s="1905">
        <f>IF(CW384-CX384&gt;0,CW384-CX384,0)</f>
        <v>0</v>
      </c>
      <c r="CZ384" s="1906">
        <f t="shared" si="504"/>
        <v>0</v>
      </c>
      <c r="DA384" s="1578">
        <f>BR384+BU384+BX384+CA384+CD384+CG384+CJ384+CM384+CP384+CS384+CV384+CY384</f>
        <v>0</v>
      </c>
      <c r="DB384" s="1907">
        <f t="shared" si="507"/>
        <v>0</v>
      </c>
      <c r="DC384" s="1578">
        <f t="shared" si="508"/>
        <v>0</v>
      </c>
      <c r="DD384" s="1578">
        <f t="shared" si="508"/>
        <v>0</v>
      </c>
      <c r="DE384" s="1578">
        <f t="shared" si="508"/>
        <v>0</v>
      </c>
      <c r="DF384" s="1578">
        <f t="shared" si="509"/>
        <v>0</v>
      </c>
      <c r="DG384" s="1420"/>
      <c r="DH384" s="1420"/>
      <c r="DJ384" s="1428"/>
      <c r="DK384" s="1428"/>
      <c r="DL384" s="1428"/>
      <c r="DM384" s="1427"/>
      <c r="DN384" s="1427"/>
      <c r="DO384" s="1427"/>
      <c r="DP384" s="1427"/>
      <c r="DR384" s="1427"/>
      <c r="DS384" s="1427"/>
      <c r="DT384" s="1427"/>
      <c r="DU384" s="1427"/>
      <c r="DV384" s="1427"/>
      <c r="DW384" s="1427"/>
      <c r="DX384" s="1427"/>
      <c r="DY384" s="1427"/>
      <c r="DZ384" s="1427"/>
      <c r="EA384" s="1427"/>
      <c r="EB384" s="1427"/>
      <c r="EC384" s="1427"/>
      <c r="ED384" s="1427"/>
      <c r="EE384" s="1427"/>
      <c r="EF384" s="1427"/>
      <c r="EG384" s="1427"/>
      <c r="EH384" s="1427"/>
      <c r="EI384" s="1427"/>
      <c r="EJ384" s="1427"/>
      <c r="EK384" s="1427"/>
      <c r="EL384" s="1427"/>
      <c r="EM384" s="1427"/>
      <c r="EN384" s="1427"/>
      <c r="EO384" s="1427"/>
      <c r="EP384" s="1427"/>
      <c r="EQ384" s="1427"/>
      <c r="ER384" s="1427"/>
      <c r="ES384" s="1427"/>
      <c r="ET384" s="1427"/>
      <c r="EU384" s="1427"/>
    </row>
    <row r="385" spans="1:151" s="1440" customFormat="1" ht="18" customHeight="1">
      <c r="A385" s="1594"/>
      <c r="B385" s="1596" t="str">
        <f>B348</f>
        <v>{Other Water Use 3}</v>
      </c>
      <c r="C385" s="1893"/>
      <c r="D385" s="1758">
        <f>C348</f>
        <v>0</v>
      </c>
      <c r="E385" s="1662"/>
      <c r="F385" s="1758">
        <f>AA384</f>
        <v>0</v>
      </c>
      <c r="G385" s="1422"/>
      <c r="L385" s="1586"/>
      <c r="M385" s="1586"/>
      <c r="N385" s="1908" t="b">
        <f>E369="Yes"</f>
        <v>1</v>
      </c>
      <c r="O385" s="1894"/>
      <c r="P385" s="1909"/>
      <c r="Q385" s="1910"/>
      <c r="R385" s="1894"/>
      <c r="S385" s="1430"/>
      <c r="T385" s="1430"/>
      <c r="U385" s="1430"/>
      <c r="V385" s="1430"/>
      <c r="W385" s="1430"/>
      <c r="X385" s="1430"/>
      <c r="Y385" s="1430"/>
      <c r="Z385" s="1430"/>
      <c r="AA385" s="1430"/>
      <c r="AB385" s="1430"/>
      <c r="AC385" s="1430"/>
      <c r="AD385" s="1430"/>
      <c r="AE385" s="1430"/>
      <c r="AF385" s="1430"/>
      <c r="AG385" s="1430"/>
      <c r="AH385" s="1430"/>
      <c r="AI385" s="1430"/>
      <c r="AJ385" s="1430"/>
      <c r="AK385" s="1430"/>
      <c r="AL385" s="1430"/>
      <c r="AM385" s="1430"/>
      <c r="AN385" s="1430"/>
      <c r="AO385" s="1430"/>
      <c r="AP385" s="1430"/>
      <c r="AQ385" s="1430"/>
      <c r="AR385" s="1430"/>
      <c r="AS385" s="1430"/>
      <c r="AT385" s="1430"/>
      <c r="AU385" s="1430"/>
      <c r="AV385" s="1430"/>
      <c r="AW385" s="1430"/>
      <c r="AX385" s="1430"/>
      <c r="AY385" s="1430"/>
      <c r="AZ385" s="1430"/>
      <c r="BA385" s="1430"/>
      <c r="BB385" s="1430"/>
      <c r="BC385" s="1430"/>
      <c r="BD385" s="1422"/>
      <c r="BE385" s="1439"/>
      <c r="BF385" s="1439"/>
      <c r="BG385" s="1439"/>
      <c r="BH385" s="1420"/>
      <c r="BI385" s="1421"/>
      <c r="BJ385" s="1421"/>
      <c r="BK385" s="1421"/>
      <c r="BL385" s="1421"/>
      <c r="BM385" s="1431"/>
      <c r="BN385" s="1431"/>
      <c r="BO385" s="1431"/>
      <c r="BP385" s="1431"/>
      <c r="BQ385" s="1431"/>
      <c r="BR385" s="1431"/>
      <c r="BS385" s="1431"/>
      <c r="BT385" s="1431"/>
      <c r="BU385" s="1431"/>
      <c r="BV385" s="1431"/>
      <c r="BW385" s="1431"/>
      <c r="BX385" s="1431"/>
      <c r="BY385" s="1431"/>
      <c r="BZ385" s="1431"/>
      <c r="CA385" s="1431"/>
      <c r="CB385" s="1431"/>
      <c r="CC385" s="1431"/>
      <c r="CD385" s="1431"/>
      <c r="CE385" s="1431"/>
      <c r="CF385" s="1431"/>
      <c r="CG385" s="1431"/>
      <c r="CH385" s="1431"/>
      <c r="CI385" s="1431"/>
      <c r="CJ385" s="1431"/>
      <c r="CK385" s="1431"/>
      <c r="CL385" s="1431"/>
      <c r="CM385" s="1431"/>
      <c r="CN385" s="1431"/>
      <c r="CO385" s="1431"/>
      <c r="CP385" s="1431"/>
      <c r="CQ385" s="1431"/>
      <c r="CR385" s="1431"/>
      <c r="CS385" s="1431"/>
      <c r="CT385" s="1431"/>
      <c r="CU385" s="1431"/>
      <c r="CV385" s="1431"/>
      <c r="CW385" s="1431"/>
      <c r="CX385" s="1431"/>
      <c r="CY385" s="1431"/>
      <c r="CZ385" s="1421"/>
      <c r="DA385" s="1421"/>
      <c r="DB385" s="1421"/>
      <c r="DC385" s="1421"/>
      <c r="DD385" s="1421"/>
      <c r="DE385" s="1421"/>
      <c r="DF385" s="1421"/>
      <c r="DG385" s="1420"/>
      <c r="DH385" s="1420"/>
      <c r="DJ385" s="1427"/>
      <c r="DK385" s="1427"/>
      <c r="DL385" s="1427"/>
      <c r="DM385" s="1427"/>
      <c r="DN385" s="1427"/>
      <c r="DO385" s="1427"/>
      <c r="DP385" s="1427"/>
      <c r="DR385" s="1427"/>
      <c r="DS385" s="1427"/>
      <c r="DT385" s="1427"/>
      <c r="DU385" s="1427"/>
      <c r="DV385" s="1427"/>
      <c r="DW385" s="1427"/>
      <c r="DX385" s="1427"/>
      <c r="DY385" s="1427"/>
      <c r="DZ385" s="1427"/>
      <c r="EA385" s="1427"/>
      <c r="EB385" s="1427"/>
      <c r="EC385" s="1427"/>
      <c r="ED385" s="1427"/>
      <c r="EE385" s="1427"/>
      <c r="EF385" s="1427"/>
      <c r="EG385" s="1427"/>
      <c r="EH385" s="1427"/>
      <c r="EI385" s="1427"/>
      <c r="EJ385" s="1427"/>
      <c r="EK385" s="1427"/>
      <c r="EL385" s="1427"/>
      <c r="EM385" s="1427"/>
      <c r="EN385" s="1427"/>
      <c r="EO385" s="1427"/>
      <c r="EP385" s="1427"/>
      <c r="EQ385" s="1427"/>
      <c r="ER385" s="1427"/>
      <c r="ES385" s="1427"/>
      <c r="ET385" s="1427"/>
      <c r="EU385" s="1427"/>
    </row>
    <row r="386" spans="1:151" s="1440" customFormat="1" ht="15.75" customHeight="1">
      <c r="A386" s="1594"/>
      <c r="B386" s="2459" t="s">
        <v>1946</v>
      </c>
      <c r="C386" s="2459"/>
      <c r="D386" s="2459"/>
      <c r="E386" s="2459"/>
      <c r="F386" s="1911">
        <f>SUM(F375:F385)</f>
        <v>0</v>
      </c>
      <c r="G386" s="1764"/>
      <c r="L386" s="1586"/>
      <c r="M386" s="1586"/>
      <c r="N386" s="1908" t="s">
        <v>1864</v>
      </c>
      <c r="O386" s="1894"/>
      <c r="P386" s="1909"/>
      <c r="Q386" s="1910"/>
      <c r="R386" s="1894"/>
      <c r="S386" s="1430"/>
      <c r="T386" s="1430"/>
      <c r="U386" s="1430"/>
      <c r="V386" s="1430"/>
      <c r="W386" s="1430"/>
      <c r="X386" s="1430"/>
      <c r="Y386" s="1430"/>
      <c r="Z386" s="1430"/>
      <c r="AA386" s="1430"/>
      <c r="AB386" s="1430"/>
      <c r="AC386" s="1430"/>
      <c r="AD386" s="1430"/>
      <c r="AE386" s="1430"/>
      <c r="AF386" s="1430"/>
      <c r="AG386" s="1430"/>
      <c r="AH386" s="1430"/>
      <c r="AI386" s="1430"/>
      <c r="AJ386" s="1430"/>
      <c r="AK386" s="1430"/>
      <c r="AL386" s="1430"/>
      <c r="AM386" s="1430"/>
      <c r="AN386" s="1430"/>
      <c r="AO386" s="1430"/>
      <c r="AP386" s="1430"/>
      <c r="AQ386" s="1430"/>
      <c r="AR386" s="1430"/>
      <c r="AS386" s="1430"/>
      <c r="AT386" s="1430"/>
      <c r="AU386" s="1430"/>
      <c r="AV386" s="1430"/>
      <c r="AW386" s="1430"/>
      <c r="AX386" s="1430"/>
      <c r="AY386" s="1430"/>
      <c r="AZ386" s="1430"/>
      <c r="BA386" s="1430"/>
      <c r="BB386" s="1430"/>
      <c r="BC386" s="1430"/>
      <c r="BD386" s="1422"/>
      <c r="BE386" s="1439"/>
      <c r="BF386" s="1439"/>
      <c r="BG386" s="1439"/>
      <c r="BH386" s="1420"/>
      <c r="BI386" s="1421"/>
      <c r="BJ386" s="1421"/>
      <c r="BK386" s="1421"/>
      <c r="BL386" s="1421"/>
      <c r="BM386" s="1421">
        <f t="shared" ref="BM386:DB386" si="570">SUM(BM20:BM384)</f>
        <v>0</v>
      </c>
      <c r="BN386" s="1421">
        <f t="shared" si="570"/>
        <v>0</v>
      </c>
      <c r="BO386" s="1421">
        <f t="shared" si="570"/>
        <v>0</v>
      </c>
      <c r="BP386" s="1912">
        <f t="shared" si="570"/>
        <v>0</v>
      </c>
      <c r="BQ386" s="1913">
        <f t="shared" si="570"/>
        <v>0</v>
      </c>
      <c r="BR386" s="1914">
        <f t="shared" si="570"/>
        <v>0</v>
      </c>
      <c r="BS386" s="1421">
        <f t="shared" si="570"/>
        <v>0</v>
      </c>
      <c r="BT386" s="1453">
        <f t="shared" si="570"/>
        <v>0</v>
      </c>
      <c r="BU386" s="1914">
        <f t="shared" si="570"/>
        <v>0</v>
      </c>
      <c r="BV386" s="1421">
        <f t="shared" si="570"/>
        <v>0</v>
      </c>
      <c r="BW386" s="1421">
        <f t="shared" si="570"/>
        <v>0</v>
      </c>
      <c r="BX386" s="1914">
        <f t="shared" si="570"/>
        <v>0</v>
      </c>
      <c r="BY386" s="1421">
        <f t="shared" si="570"/>
        <v>0</v>
      </c>
      <c r="BZ386" s="1421">
        <f t="shared" si="570"/>
        <v>0</v>
      </c>
      <c r="CA386" s="1914">
        <f t="shared" si="570"/>
        <v>0</v>
      </c>
      <c r="CB386" s="1543">
        <f t="shared" si="570"/>
        <v>0</v>
      </c>
      <c r="CC386" s="1543">
        <f t="shared" si="570"/>
        <v>0</v>
      </c>
      <c r="CD386" s="1914">
        <f t="shared" si="570"/>
        <v>0</v>
      </c>
      <c r="CE386" s="1543">
        <f t="shared" si="570"/>
        <v>0</v>
      </c>
      <c r="CF386" s="1543">
        <f t="shared" si="570"/>
        <v>0</v>
      </c>
      <c r="CG386" s="1914">
        <f t="shared" si="570"/>
        <v>0</v>
      </c>
      <c r="CH386" s="1543">
        <f t="shared" si="570"/>
        <v>0</v>
      </c>
      <c r="CI386" s="1915">
        <f t="shared" si="570"/>
        <v>0</v>
      </c>
      <c r="CJ386" s="1914">
        <f t="shared" si="570"/>
        <v>0</v>
      </c>
      <c r="CK386" s="1543">
        <f t="shared" si="570"/>
        <v>0</v>
      </c>
      <c r="CL386" s="1915">
        <f t="shared" si="570"/>
        <v>0</v>
      </c>
      <c r="CM386" s="1914">
        <f t="shared" si="570"/>
        <v>0</v>
      </c>
      <c r="CN386" s="1543">
        <f t="shared" si="570"/>
        <v>0</v>
      </c>
      <c r="CO386" s="1915">
        <f t="shared" si="570"/>
        <v>0</v>
      </c>
      <c r="CP386" s="1914">
        <f t="shared" si="570"/>
        <v>0</v>
      </c>
      <c r="CQ386" s="1543">
        <f t="shared" si="570"/>
        <v>0</v>
      </c>
      <c r="CR386" s="1915">
        <f t="shared" si="570"/>
        <v>0</v>
      </c>
      <c r="CS386" s="1914">
        <f t="shared" si="570"/>
        <v>0</v>
      </c>
      <c r="CT386" s="1543">
        <f t="shared" si="570"/>
        <v>0</v>
      </c>
      <c r="CU386" s="1915">
        <f t="shared" si="570"/>
        <v>0</v>
      </c>
      <c r="CV386" s="1914">
        <f t="shared" si="570"/>
        <v>0</v>
      </c>
      <c r="CW386" s="1543">
        <f t="shared" si="570"/>
        <v>0</v>
      </c>
      <c r="CX386" s="1915">
        <f t="shared" si="570"/>
        <v>0</v>
      </c>
      <c r="CY386" s="1914">
        <f t="shared" si="570"/>
        <v>0</v>
      </c>
      <c r="CZ386" s="1543">
        <f t="shared" si="570"/>
        <v>0</v>
      </c>
      <c r="DA386" s="1543">
        <f t="shared" si="570"/>
        <v>0</v>
      </c>
      <c r="DB386" s="1543">
        <f t="shared" si="570"/>
        <v>0</v>
      </c>
      <c r="DC386" s="1421"/>
      <c r="DD386" s="1421"/>
      <c r="DE386" s="1916" t="s">
        <v>1912</v>
      </c>
      <c r="DF386" s="1917">
        <f>SUM(DF20:DF384)</f>
        <v>0</v>
      </c>
      <c r="DG386" s="1420"/>
      <c r="DH386" s="1420"/>
      <c r="DJ386" s="1427"/>
      <c r="DK386" s="1427"/>
      <c r="DL386" s="1427"/>
      <c r="DM386" s="1427"/>
      <c r="DN386" s="1427"/>
      <c r="DO386" s="1427"/>
      <c r="DP386" s="1427"/>
      <c r="DR386" s="1427"/>
      <c r="DS386" s="1427"/>
      <c r="DT386" s="1427"/>
      <c r="DU386" s="1427"/>
      <c r="DV386" s="1427"/>
      <c r="DW386" s="1427"/>
      <c r="DX386" s="1427"/>
      <c r="DY386" s="1427"/>
      <c r="DZ386" s="1427"/>
      <c r="EA386" s="1427"/>
      <c r="EB386" s="1427"/>
      <c r="EC386" s="1427"/>
      <c r="ED386" s="1427"/>
      <c r="EE386" s="1427"/>
      <c r="EF386" s="1427"/>
      <c r="EG386" s="1427"/>
      <c r="EH386" s="1427"/>
      <c r="EI386" s="1427"/>
      <c r="EJ386" s="1427"/>
      <c r="EK386" s="1427"/>
      <c r="EL386" s="1427"/>
      <c r="EM386" s="1427"/>
      <c r="EN386" s="1427"/>
      <c r="EO386" s="1427"/>
      <c r="EP386" s="1427"/>
      <c r="EQ386" s="1427"/>
      <c r="ER386" s="1427"/>
      <c r="ES386" s="1427"/>
      <c r="ET386" s="1427"/>
      <c r="EU386" s="1427"/>
    </row>
    <row r="387" spans="1:151" s="1440" customFormat="1" ht="15.75" customHeight="1">
      <c r="A387" s="1594"/>
      <c r="B387" s="2446" t="s">
        <v>1950</v>
      </c>
      <c r="C387" s="2446"/>
      <c r="D387" s="2446"/>
      <c r="E387" s="2446"/>
      <c r="F387" s="2446"/>
      <c r="G387" s="1475"/>
      <c r="L387" s="1586"/>
      <c r="M387" s="1586"/>
      <c r="N387" s="1908" t="b">
        <f>AND(F371="yes",N385)</f>
        <v>1</v>
      </c>
      <c r="O387" s="1894"/>
      <c r="P387" s="1909"/>
      <c r="Q387" s="1910"/>
      <c r="R387" s="1894"/>
      <c r="S387" s="1430"/>
      <c r="T387" s="1430"/>
      <c r="U387" s="1430"/>
      <c r="V387" s="1430"/>
      <c r="W387" s="1430"/>
      <c r="X387" s="1430"/>
      <c r="Y387" s="1430"/>
      <c r="Z387" s="1430"/>
      <c r="AA387" s="1430"/>
      <c r="AB387" s="1430"/>
      <c r="AC387" s="1430"/>
      <c r="AD387" s="1430"/>
      <c r="AE387" s="1430"/>
      <c r="AF387" s="1430"/>
      <c r="AG387" s="1430"/>
      <c r="AH387" s="1430"/>
      <c r="AI387" s="1430"/>
      <c r="AJ387" s="1430"/>
      <c r="AK387" s="1430"/>
      <c r="AL387" s="1430"/>
      <c r="AM387" s="1430"/>
      <c r="AN387" s="1430"/>
      <c r="AO387" s="1430"/>
      <c r="AP387" s="1430"/>
      <c r="AQ387" s="1430"/>
      <c r="AR387" s="1430"/>
      <c r="AS387" s="1430"/>
      <c r="AT387" s="1430"/>
      <c r="AU387" s="1430"/>
      <c r="AV387" s="1430"/>
      <c r="AW387" s="1430"/>
      <c r="AX387" s="1430"/>
      <c r="AY387" s="1430"/>
      <c r="AZ387" s="1430"/>
      <c r="BA387" s="1430"/>
      <c r="BB387" s="1430"/>
      <c r="BC387" s="1430"/>
      <c r="BD387" s="1422"/>
      <c r="BE387" s="1439"/>
      <c r="BF387" s="1439"/>
      <c r="BG387" s="1439"/>
      <c r="BH387" s="1420"/>
      <c r="BI387" s="1421"/>
      <c r="BJ387" s="1421"/>
      <c r="BK387" s="1421"/>
      <c r="BL387" s="1421"/>
      <c r="BM387" s="1421"/>
      <c r="BN387" s="1421"/>
      <c r="BO387" s="1421"/>
      <c r="BP387" s="1421"/>
      <c r="BQ387" s="1421"/>
      <c r="BR387" s="1914"/>
      <c r="BS387" s="1421"/>
      <c r="BT387" s="1421"/>
      <c r="BU387" s="1914"/>
      <c r="BV387" s="1421"/>
      <c r="BW387" s="1421"/>
      <c r="BX387" s="1914"/>
      <c r="BY387" s="1421"/>
      <c r="BZ387" s="1421"/>
      <c r="CA387" s="1914"/>
      <c r="CB387" s="1543"/>
      <c r="CC387" s="1543"/>
      <c r="CD387" s="1914"/>
      <c r="CE387" s="1543"/>
      <c r="CF387" s="1543"/>
      <c r="CG387" s="1914"/>
      <c r="CH387" s="1543"/>
      <c r="CI387" s="1543"/>
      <c r="CJ387" s="1914"/>
      <c r="CK387" s="1543"/>
      <c r="CL387" s="1543"/>
      <c r="CM387" s="1914"/>
      <c r="CN387" s="1543"/>
      <c r="CO387" s="1543"/>
      <c r="CP387" s="1914"/>
      <c r="CQ387" s="1543"/>
      <c r="CR387" s="1543"/>
      <c r="CS387" s="1914"/>
      <c r="CT387" s="1543"/>
      <c r="CU387" s="1543"/>
      <c r="CV387" s="1914"/>
      <c r="CW387" s="1543"/>
      <c r="CX387" s="1543"/>
      <c r="CY387" s="1914"/>
      <c r="CZ387" s="1916" t="s">
        <v>1913</v>
      </c>
      <c r="DA387" s="1543">
        <f>DA386-DF386</f>
        <v>0</v>
      </c>
      <c r="DB387" s="1543"/>
      <c r="DC387" s="1421"/>
      <c r="DD387" s="1421"/>
      <c r="DE387" s="1916"/>
      <c r="DF387" s="1917"/>
      <c r="DG387" s="1420"/>
      <c r="DH387" s="1420"/>
      <c r="DJ387" s="1427"/>
      <c r="DK387" s="1427"/>
      <c r="DL387" s="1427"/>
      <c r="DM387" s="1427"/>
      <c r="DN387" s="1427"/>
      <c r="DO387" s="1427"/>
      <c r="DP387" s="1427"/>
      <c r="DR387" s="1427"/>
      <c r="DS387" s="1427"/>
      <c r="DT387" s="1427"/>
      <c r="DU387" s="1427"/>
      <c r="DV387" s="1427"/>
      <c r="DW387" s="1427"/>
      <c r="DX387" s="1427"/>
      <c r="DY387" s="1427"/>
      <c r="DZ387" s="1427"/>
      <c r="EA387" s="1427"/>
      <c r="EB387" s="1427"/>
      <c r="EC387" s="1427"/>
      <c r="ED387" s="1427"/>
      <c r="EE387" s="1427"/>
      <c r="EF387" s="1427"/>
      <c r="EG387" s="1427"/>
      <c r="EH387" s="1427"/>
      <c r="EI387" s="1427"/>
      <c r="EJ387" s="1427"/>
      <c r="EK387" s="1427"/>
      <c r="EL387" s="1427"/>
      <c r="EM387" s="1427"/>
      <c r="EN387" s="1427"/>
      <c r="EO387" s="1427"/>
      <c r="EP387" s="1427"/>
      <c r="EQ387" s="1427"/>
      <c r="ER387" s="1427"/>
      <c r="ES387" s="1427"/>
      <c r="ET387" s="1427"/>
      <c r="EU387" s="1427"/>
    </row>
    <row r="388" spans="1:151" s="1440" customFormat="1" ht="57.75" customHeight="1">
      <c r="A388" s="1594"/>
      <c r="B388" s="1596"/>
      <c r="C388" s="1596" t="s">
        <v>1948</v>
      </c>
      <c r="D388" s="1596" t="s">
        <v>1895</v>
      </c>
      <c r="G388" s="1475"/>
      <c r="L388" s="1586"/>
      <c r="M388" s="1586"/>
      <c r="N388" s="1908" t="s">
        <v>1880</v>
      </c>
      <c r="O388" s="1894"/>
      <c r="P388" s="1909"/>
      <c r="Q388" s="1910"/>
      <c r="R388" s="1894"/>
      <c r="S388" s="1430"/>
      <c r="T388" s="1430"/>
      <c r="U388" s="1430"/>
      <c r="V388" s="1430"/>
      <c r="W388" s="1430"/>
      <c r="X388" s="1430"/>
      <c r="Y388" s="1430"/>
      <c r="Z388" s="1430"/>
      <c r="AA388" s="1430"/>
      <c r="AB388" s="1430"/>
      <c r="AC388" s="1430"/>
      <c r="AD388" s="1430"/>
      <c r="AE388" s="1430"/>
      <c r="AF388" s="1430"/>
      <c r="AG388" s="1430"/>
      <c r="AH388" s="1430"/>
      <c r="AI388" s="1430"/>
      <c r="AJ388" s="1430"/>
      <c r="AK388" s="1430"/>
      <c r="AL388" s="1430"/>
      <c r="AM388" s="1430"/>
      <c r="AN388" s="1430"/>
      <c r="AO388" s="1430"/>
      <c r="AP388" s="1430"/>
      <c r="AQ388" s="1430"/>
      <c r="AR388" s="1430"/>
      <c r="AS388" s="1430"/>
      <c r="AT388" s="1430"/>
      <c r="AU388" s="1430"/>
      <c r="AV388" s="1430"/>
      <c r="AW388" s="1430"/>
      <c r="AX388" s="1430"/>
      <c r="AY388" s="1430"/>
      <c r="AZ388" s="1430"/>
      <c r="BA388" s="1430"/>
      <c r="BB388" s="1430"/>
      <c r="BC388" s="1430"/>
      <c r="BD388" s="1422"/>
      <c r="BE388" s="1439"/>
      <c r="BF388" s="1439"/>
      <c r="BG388" s="1439"/>
      <c r="BH388" s="1420"/>
      <c r="BI388" s="1421"/>
      <c r="BJ388" s="1421"/>
      <c r="BK388" s="1421"/>
      <c r="BL388" s="1421"/>
      <c r="BM388" s="1421"/>
      <c r="BN388" s="1421"/>
      <c r="BO388" s="1421"/>
      <c r="BP388" s="1421"/>
      <c r="BQ388" s="1421"/>
      <c r="BR388" s="1914"/>
      <c r="BS388" s="1421"/>
      <c r="BT388" s="1421"/>
      <c r="BU388" s="1914"/>
      <c r="BV388" s="1421"/>
      <c r="BW388" s="1421"/>
      <c r="BX388" s="1914"/>
      <c r="BY388" s="1421"/>
      <c r="BZ388" s="1421"/>
      <c r="CA388" s="1914"/>
      <c r="CB388" s="1543"/>
      <c r="CC388" s="1543"/>
      <c r="CD388" s="1914"/>
      <c r="CE388" s="1543"/>
      <c r="CF388" s="1543"/>
      <c r="CG388" s="1914"/>
      <c r="CH388" s="1543"/>
      <c r="CI388" s="1543"/>
      <c r="CJ388" s="1914"/>
      <c r="CK388" s="1543"/>
      <c r="CL388" s="1543"/>
      <c r="CM388" s="1914"/>
      <c r="CN388" s="1543"/>
      <c r="CO388" s="1543"/>
      <c r="CP388" s="1914"/>
      <c r="CQ388" s="1543"/>
      <c r="CR388" s="1543"/>
      <c r="CS388" s="1914"/>
      <c r="CT388" s="1543"/>
      <c r="CU388" s="1543"/>
      <c r="CV388" s="1914"/>
      <c r="CW388" s="1543"/>
      <c r="CX388" s="1543"/>
      <c r="CY388" s="1914"/>
      <c r="CZ388" s="1543"/>
      <c r="DA388" s="1543"/>
      <c r="DB388" s="1543"/>
      <c r="DC388" s="1421"/>
      <c r="DD388" s="1421"/>
      <c r="DE388" s="1916"/>
      <c r="DF388" s="1917"/>
      <c r="DG388" s="1420"/>
      <c r="DH388" s="1420"/>
      <c r="DJ388" s="1427"/>
      <c r="DK388" s="1427"/>
      <c r="DL388" s="1427"/>
      <c r="DM388" s="1427"/>
      <c r="DN388" s="1427"/>
      <c r="DO388" s="1427"/>
      <c r="DP388" s="1427"/>
      <c r="DR388" s="1427"/>
      <c r="DS388" s="1427"/>
      <c r="DT388" s="1427"/>
      <c r="DU388" s="1427"/>
      <c r="DV388" s="1427"/>
      <c r="DW388" s="1427"/>
      <c r="DX388" s="1427"/>
      <c r="DY388" s="1427"/>
      <c r="DZ388" s="1427"/>
      <c r="EA388" s="1427"/>
      <c r="EB388" s="1427"/>
      <c r="EC388" s="1427"/>
      <c r="ED388" s="1427"/>
      <c r="EE388" s="1427"/>
      <c r="EF388" s="1427"/>
      <c r="EG388" s="1427"/>
      <c r="EH388" s="1427"/>
      <c r="EI388" s="1427"/>
      <c r="EJ388" s="1427"/>
      <c r="EK388" s="1427"/>
      <c r="EL388" s="1427"/>
      <c r="EM388" s="1427"/>
      <c r="EN388" s="1427"/>
      <c r="EO388" s="1427"/>
      <c r="EP388" s="1427"/>
      <c r="EQ388" s="1427"/>
      <c r="ER388" s="1427"/>
      <c r="ES388" s="1427"/>
      <c r="ET388" s="1427"/>
      <c r="EU388" s="1427"/>
    </row>
    <row r="389" spans="1:151" s="1440" customFormat="1" ht="20.25" customHeight="1">
      <c r="A389" s="1594"/>
      <c r="B389" s="1596" t="s">
        <v>1540</v>
      </c>
      <c r="C389" s="1662"/>
      <c r="D389" s="1758">
        <f>$AQ$384</f>
        <v>0</v>
      </c>
      <c r="E389" s="1918"/>
      <c r="G389" s="1475"/>
      <c r="L389" s="1586"/>
      <c r="M389" s="1586"/>
      <c r="N389" s="1908" t="b">
        <f>AND(F404="yes",N385)</f>
        <v>0</v>
      </c>
      <c r="O389" s="1894"/>
      <c r="P389" s="1877" t="s">
        <v>1889</v>
      </c>
      <c r="Q389" s="1430"/>
      <c r="R389" s="1430"/>
      <c r="S389" s="1430"/>
      <c r="T389" s="1894"/>
      <c r="U389" s="1894"/>
      <c r="V389" s="1894"/>
      <c r="W389" s="1894"/>
      <c r="X389" s="1894"/>
      <c r="Y389" s="1430"/>
      <c r="Z389" s="1430"/>
      <c r="AA389" s="1430"/>
      <c r="AB389" s="1430"/>
      <c r="AC389" s="1430"/>
      <c r="AD389" s="1430"/>
      <c r="AE389" s="1430"/>
      <c r="AF389" s="1430"/>
      <c r="AG389" s="1430"/>
      <c r="AH389" s="1919" t="s">
        <v>1976</v>
      </c>
      <c r="AI389" s="1896"/>
      <c r="AJ389" s="1920"/>
      <c r="AK389" s="1430"/>
      <c r="AL389" s="1430"/>
      <c r="AM389" s="1430"/>
      <c r="AN389" s="1430"/>
      <c r="AO389" s="1430"/>
      <c r="AP389" s="1430"/>
      <c r="AQ389" s="1430"/>
      <c r="AR389" s="1430"/>
      <c r="AS389" s="1430"/>
      <c r="AT389" s="1430"/>
      <c r="AU389" s="1430"/>
      <c r="AV389" s="1430"/>
      <c r="AW389" s="1430"/>
      <c r="AX389" s="1430"/>
      <c r="AY389" s="1430"/>
      <c r="AZ389" s="1430"/>
      <c r="BA389" s="1430"/>
      <c r="BB389" s="1430"/>
      <c r="BC389" s="1430"/>
      <c r="BD389" s="1422"/>
      <c r="BE389" s="1439"/>
      <c r="BF389" s="1439"/>
      <c r="BG389" s="1439"/>
      <c r="BH389" s="1420"/>
      <c r="BI389" s="1421"/>
      <c r="BJ389" s="1421"/>
      <c r="BK389" s="1421"/>
      <c r="BL389" s="1421"/>
      <c r="BM389" s="1421"/>
      <c r="BN389" s="1421"/>
      <c r="BO389" s="1421"/>
      <c r="BP389" s="1421"/>
      <c r="BQ389" s="1421"/>
      <c r="BR389" s="1421"/>
      <c r="BS389" s="1421"/>
      <c r="BT389" s="1421"/>
      <c r="BU389" s="1421"/>
      <c r="BV389" s="1421"/>
      <c r="BW389" s="1421"/>
      <c r="BX389" s="1421"/>
      <c r="BY389" s="1421"/>
      <c r="BZ389" s="1421"/>
      <c r="CA389" s="1421"/>
      <c r="CB389" s="1421"/>
      <c r="CC389" s="1421"/>
      <c r="CD389" s="1421"/>
      <c r="CE389" s="1421"/>
      <c r="CF389" s="1421"/>
      <c r="CG389" s="1421"/>
      <c r="CH389" s="1543"/>
      <c r="CI389" s="1543"/>
      <c r="CJ389" s="1917"/>
      <c r="CK389" s="1916"/>
      <c r="CL389" s="1543"/>
      <c r="CM389" s="1917"/>
      <c r="CN389" s="1916"/>
      <c r="CO389" s="1543"/>
      <c r="CP389" s="1917"/>
      <c r="CQ389" s="1916"/>
      <c r="CR389" s="1543"/>
      <c r="CS389" s="1917"/>
      <c r="CT389" s="1916"/>
      <c r="CU389" s="1543"/>
      <c r="CV389" s="1917"/>
      <c r="CW389" s="1916"/>
      <c r="CX389" s="1543"/>
      <c r="CY389" s="1917"/>
      <c r="CZ389" s="1421"/>
      <c r="DA389" s="1421"/>
      <c r="DB389" s="1421"/>
      <c r="DC389" s="1421"/>
      <c r="DD389" s="1421"/>
      <c r="DE389" s="1421"/>
      <c r="DF389" s="1421"/>
      <c r="DG389" s="1420"/>
      <c r="DH389" s="1420"/>
      <c r="DJ389" s="1427"/>
      <c r="DK389" s="1427"/>
      <c r="DL389" s="1427"/>
      <c r="DM389" s="1427"/>
      <c r="DN389" s="1427"/>
      <c r="DO389" s="1427"/>
      <c r="DP389" s="1427"/>
      <c r="DR389" s="1427"/>
      <c r="DS389" s="1427"/>
      <c r="DT389" s="1427"/>
      <c r="DU389" s="1427"/>
      <c r="DV389" s="1427"/>
      <c r="DW389" s="1427"/>
      <c r="DX389" s="1427"/>
      <c r="DY389" s="1427"/>
      <c r="DZ389" s="1427"/>
      <c r="EA389" s="1427"/>
      <c r="EB389" s="1427"/>
      <c r="EC389" s="1427"/>
      <c r="ED389" s="1427"/>
      <c r="EE389" s="1427"/>
      <c r="EF389" s="1427"/>
      <c r="EG389" s="1427"/>
      <c r="EH389" s="1427"/>
      <c r="EI389" s="1427"/>
      <c r="EJ389" s="1427"/>
      <c r="EK389" s="1427"/>
      <c r="EL389" s="1427"/>
      <c r="EM389" s="1427"/>
      <c r="EN389" s="1427"/>
      <c r="EO389" s="1427"/>
      <c r="EP389" s="1427"/>
      <c r="EQ389" s="1427"/>
      <c r="ER389" s="1427"/>
      <c r="ES389" s="1427"/>
      <c r="ET389" s="1427"/>
      <c r="EU389" s="1427"/>
    </row>
    <row r="390" spans="1:151" s="1440" customFormat="1" ht="20.25" customHeight="1">
      <c r="A390" s="1594"/>
      <c r="B390" s="1596" t="s">
        <v>457</v>
      </c>
      <c r="C390" s="1662"/>
      <c r="D390" s="1758">
        <f>$AR$384</f>
        <v>0</v>
      </c>
      <c r="G390" s="1475"/>
      <c r="L390" s="1586"/>
      <c r="M390" s="1586"/>
      <c r="N390" s="1908" t="s">
        <v>1884</v>
      </c>
      <c r="O390" s="1894"/>
      <c r="P390" s="1430"/>
      <c r="Q390" s="1430"/>
      <c r="R390" s="1430"/>
      <c r="S390" s="1430"/>
      <c r="T390" s="1894"/>
      <c r="U390" s="1894"/>
      <c r="V390" s="1894"/>
      <c r="W390" s="1894"/>
      <c r="X390" s="1894"/>
      <c r="Y390" s="1430"/>
      <c r="Z390" s="1430"/>
      <c r="AA390" s="1430"/>
      <c r="AB390" s="1430"/>
      <c r="AC390" s="1430"/>
      <c r="AD390" s="1430"/>
      <c r="AE390" s="1430"/>
      <c r="AF390" s="1430"/>
      <c r="AG390" s="1430"/>
      <c r="AH390" s="1894" t="s">
        <v>1955</v>
      </c>
      <c r="AI390" s="1894" t="s">
        <v>1956</v>
      </c>
      <c r="AJ390" s="1920" t="s">
        <v>1975</v>
      </c>
      <c r="AK390" s="1920"/>
      <c r="AL390" s="1920"/>
      <c r="AM390" s="1920"/>
      <c r="AN390" s="1920"/>
      <c r="AO390" s="1430"/>
      <c r="AP390" s="1430"/>
      <c r="AQ390" s="1430"/>
      <c r="AR390" s="1430"/>
      <c r="AS390" s="1430"/>
      <c r="AT390" s="1430"/>
      <c r="AU390" s="1430"/>
      <c r="AV390" s="1430"/>
      <c r="AW390" s="1430"/>
      <c r="AX390" s="1430"/>
      <c r="AY390" s="1430"/>
      <c r="AZ390" s="1430"/>
      <c r="BA390" s="1430"/>
      <c r="BB390" s="1430"/>
      <c r="BC390" s="1430"/>
      <c r="BD390" s="1422"/>
      <c r="BE390" s="1439"/>
      <c r="BF390" s="1439"/>
      <c r="BG390" s="1439"/>
      <c r="BH390" s="1420"/>
      <c r="BI390" s="1421"/>
      <c r="BJ390" s="1421"/>
      <c r="BK390" s="1421"/>
      <c r="BL390" s="1421"/>
      <c r="BM390" s="1421"/>
      <c r="BN390" s="1421"/>
      <c r="BO390" s="1421"/>
      <c r="BP390" s="1421"/>
      <c r="BQ390" s="1421"/>
      <c r="BR390" s="1421"/>
      <c r="BS390" s="1421"/>
      <c r="BT390" s="1421"/>
      <c r="BU390" s="1421"/>
      <c r="BV390" s="1421"/>
      <c r="BW390" s="1421"/>
      <c r="BX390" s="1421"/>
      <c r="BY390" s="1421"/>
      <c r="BZ390" s="1421"/>
      <c r="CA390" s="1421"/>
      <c r="CB390" s="1421"/>
      <c r="CC390" s="1421"/>
      <c r="CD390" s="1421"/>
      <c r="CE390" s="1421"/>
      <c r="CF390" s="1421"/>
      <c r="CG390" s="1421"/>
      <c r="CH390" s="1421"/>
      <c r="CI390" s="1421"/>
      <c r="CJ390" s="1421"/>
      <c r="CK390" s="1421"/>
      <c r="CL390" s="1421"/>
      <c r="CM390" s="1421"/>
      <c r="CN390" s="1421"/>
      <c r="CO390" s="1421"/>
      <c r="CP390" s="1421"/>
      <c r="CQ390" s="1421"/>
      <c r="CR390" s="1421"/>
      <c r="CS390" s="1421"/>
      <c r="CT390" s="1421"/>
      <c r="CU390" s="1421"/>
      <c r="CV390" s="1421"/>
      <c r="CW390" s="1421"/>
      <c r="CX390" s="1421"/>
      <c r="CY390" s="1421"/>
      <c r="CZ390" s="1421"/>
      <c r="DA390" s="1421"/>
      <c r="DB390" s="1421"/>
      <c r="DC390" s="1421"/>
      <c r="DD390" s="1421"/>
      <c r="DE390" s="1421"/>
      <c r="DF390" s="1421"/>
      <c r="DG390" s="1420"/>
      <c r="DH390" s="1420"/>
      <c r="DJ390" s="1427"/>
      <c r="DK390" s="1427"/>
      <c r="DL390" s="1427"/>
      <c r="DM390" s="1427"/>
      <c r="DN390" s="1427"/>
      <c r="DO390" s="1427"/>
      <c r="DP390" s="1427"/>
      <c r="DR390" s="1427"/>
      <c r="DS390" s="1427"/>
      <c r="DT390" s="1427"/>
      <c r="DU390" s="1427"/>
      <c r="DV390" s="1427"/>
      <c r="DW390" s="1427"/>
      <c r="DX390" s="1427"/>
      <c r="DY390" s="1427"/>
      <c r="DZ390" s="1427"/>
      <c r="EA390" s="1427"/>
      <c r="EB390" s="1427"/>
      <c r="EC390" s="1427"/>
      <c r="ED390" s="1427"/>
      <c r="EE390" s="1427"/>
      <c r="EF390" s="1427"/>
      <c r="EG390" s="1427"/>
      <c r="EH390" s="1427"/>
      <c r="EI390" s="1427"/>
      <c r="EJ390" s="1427"/>
      <c r="EK390" s="1427"/>
      <c r="EL390" s="1427"/>
      <c r="EM390" s="1427"/>
      <c r="EN390" s="1427"/>
      <c r="EO390" s="1427"/>
      <c r="EP390" s="1427"/>
      <c r="EQ390" s="1427"/>
      <c r="ER390" s="1427"/>
      <c r="ES390" s="1427"/>
      <c r="ET390" s="1427"/>
      <c r="EU390" s="1427"/>
    </row>
    <row r="391" spans="1:151" s="1440" customFormat="1" ht="20.25" customHeight="1">
      <c r="A391" s="1594"/>
      <c r="B391" s="1596" t="s">
        <v>1851</v>
      </c>
      <c r="C391" s="1662"/>
      <c r="D391" s="1758">
        <f>$AS$384</f>
        <v>0</v>
      </c>
      <c r="G391" s="1475"/>
      <c r="L391" s="1586"/>
      <c r="M391" s="1586"/>
      <c r="N391" s="1908" t="b">
        <f>AND(F430="yes",N385)</f>
        <v>0</v>
      </c>
      <c r="O391" s="1430"/>
      <c r="P391" s="1430"/>
      <c r="Q391" s="1425" t="s">
        <v>1890</v>
      </c>
      <c r="R391" s="1430"/>
      <c r="S391" s="1430"/>
      <c r="T391" s="1430"/>
      <c r="U391" s="1430"/>
      <c r="V391" s="1430"/>
      <c r="W391" s="1430"/>
      <c r="X391" s="1430"/>
      <c r="Y391" s="1900"/>
      <c r="Z391" s="1900"/>
      <c r="AA391" s="1900"/>
      <c r="AB391" s="1900"/>
      <c r="AC391" s="1900"/>
      <c r="AD391" s="1900"/>
      <c r="AE391" s="1430"/>
      <c r="AF391" s="1430"/>
      <c r="AG391" s="1900"/>
      <c r="AH391" s="1900"/>
      <c r="AI391" s="1900" t="s">
        <v>2303</v>
      </c>
      <c r="AJ391" s="1900"/>
      <c r="AK391" s="1920"/>
      <c r="AL391" s="1920"/>
      <c r="AM391" s="1920"/>
      <c r="AN391" s="1920"/>
      <c r="AO391" s="1894"/>
      <c r="AP391" s="1921"/>
      <c r="AQ391" s="1894"/>
      <c r="AR391" s="1894"/>
      <c r="AS391" s="1894"/>
      <c r="AT391" s="1894"/>
      <c r="AU391" s="1894"/>
      <c r="AV391" s="1894"/>
      <c r="AW391" s="1430"/>
      <c r="AX391" s="1430"/>
      <c r="AY391" s="1430"/>
      <c r="AZ391" s="1430"/>
      <c r="BA391" s="1430"/>
      <c r="BB391" s="1430"/>
      <c r="BC391" s="1430"/>
      <c r="BD391" s="1422"/>
      <c r="BE391" s="1439"/>
      <c r="BF391" s="1439"/>
      <c r="BG391" s="1439"/>
      <c r="BH391" s="1420"/>
      <c r="BI391" s="1421"/>
      <c r="BJ391" s="1421"/>
      <c r="BK391" s="1421"/>
      <c r="BL391" s="1421"/>
      <c r="BM391" s="1421"/>
      <c r="BN391" s="1421"/>
      <c r="BO391" s="1421"/>
      <c r="BP391" s="1421"/>
      <c r="BQ391" s="1421"/>
      <c r="BR391" s="1421"/>
      <c r="BS391" s="1421"/>
      <c r="BT391" s="1421"/>
      <c r="BU391" s="1421"/>
      <c r="BV391" s="1421"/>
      <c r="BW391" s="1421"/>
      <c r="BX391" s="1421"/>
      <c r="BY391" s="1421"/>
      <c r="BZ391" s="1421"/>
      <c r="CA391" s="1421"/>
      <c r="CB391" s="1421"/>
      <c r="CC391" s="1421"/>
      <c r="CD391" s="1421"/>
      <c r="CE391" s="1421"/>
      <c r="CF391" s="1421"/>
      <c r="CG391" s="1421"/>
      <c r="CH391" s="1421"/>
      <c r="CI391" s="1421"/>
      <c r="CJ391" s="1421"/>
      <c r="CK391" s="1421"/>
      <c r="CL391" s="1421"/>
      <c r="CM391" s="1421"/>
      <c r="CN391" s="1421"/>
      <c r="CO391" s="1421"/>
      <c r="CP391" s="1421"/>
      <c r="CQ391" s="1421"/>
      <c r="CR391" s="1421"/>
      <c r="CS391" s="1421"/>
      <c r="CT391" s="1421"/>
      <c r="CU391" s="1421"/>
      <c r="CV391" s="1421"/>
      <c r="CW391" s="1421"/>
      <c r="CX391" s="1421"/>
      <c r="CY391" s="1421"/>
      <c r="CZ391" s="1421"/>
      <c r="DA391" s="1421"/>
      <c r="DB391" s="1421"/>
      <c r="DC391" s="1421"/>
      <c r="DD391" s="1421"/>
      <c r="DE391" s="1421"/>
      <c r="DF391" s="1421"/>
      <c r="DG391" s="1420"/>
      <c r="DH391" s="1420"/>
      <c r="DJ391" s="1427"/>
      <c r="DK391" s="1427"/>
      <c r="DL391" s="1427"/>
      <c r="DM391" s="1427"/>
      <c r="DN391" s="1427"/>
      <c r="DO391" s="1427"/>
      <c r="DP391" s="1427"/>
      <c r="DR391" s="1427"/>
      <c r="DS391" s="1427"/>
      <c r="DT391" s="1427"/>
      <c r="DU391" s="1427"/>
      <c r="DV391" s="1427"/>
      <c r="DW391" s="1427"/>
      <c r="DX391" s="1427"/>
      <c r="DY391" s="1427"/>
      <c r="DZ391" s="1427"/>
      <c r="EA391" s="1427"/>
      <c r="EB391" s="1427"/>
      <c r="EC391" s="1427"/>
      <c r="ED391" s="1427"/>
      <c r="EE391" s="1427"/>
      <c r="EF391" s="1427"/>
      <c r="EG391" s="1427"/>
      <c r="EH391" s="1427"/>
      <c r="EI391" s="1427"/>
      <c r="EJ391" s="1427"/>
      <c r="EK391" s="1427"/>
      <c r="EL391" s="1427"/>
      <c r="EM391" s="1427"/>
      <c r="EN391" s="1427"/>
      <c r="EO391" s="1427"/>
      <c r="EP391" s="1427"/>
      <c r="EQ391" s="1427"/>
      <c r="ER391" s="1427"/>
      <c r="ES391" s="1427"/>
      <c r="ET391" s="1427"/>
      <c r="EU391" s="1427"/>
    </row>
    <row r="392" spans="1:151" s="1440" customFormat="1" ht="20.25" customHeight="1">
      <c r="A392" s="1594"/>
      <c r="B392" s="1596" t="s">
        <v>1542</v>
      </c>
      <c r="C392" s="1662"/>
      <c r="D392" s="1758">
        <f>$AT$384</f>
        <v>0</v>
      </c>
      <c r="G392" s="1475"/>
      <c r="L392" s="1586"/>
      <c r="M392" s="1586"/>
      <c r="N392" s="1430"/>
      <c r="O392" s="1430"/>
      <c r="P392" s="1430"/>
      <c r="Q392" s="1425" t="s">
        <v>1408</v>
      </c>
      <c r="R392" s="1425" t="s">
        <v>1624</v>
      </c>
      <c r="S392" s="1425" t="s">
        <v>1541</v>
      </c>
      <c r="T392" s="1425" t="s">
        <v>1542</v>
      </c>
      <c r="U392" s="1425" t="s">
        <v>1473</v>
      </c>
      <c r="V392" s="1425" t="s">
        <v>459</v>
      </c>
      <c r="W392" s="1425" t="str">
        <f>B456</f>
        <v>Swimming pool make up</v>
      </c>
      <c r="X392" s="1425" t="str">
        <f>B457</f>
        <v>Laundry Facilities</v>
      </c>
      <c r="Y392" s="1425" t="str">
        <f>B458</f>
        <v>Large Kitchens</v>
      </c>
      <c r="Z392" s="1425" t="str">
        <f>B459</f>
        <v>{Other Water Use 1}</v>
      </c>
      <c r="AA392" s="1425" t="str">
        <f>B460</f>
        <v>{Other Water Use 2}</v>
      </c>
      <c r="AB392" s="1425" t="str">
        <f>B461</f>
        <v>{Other Water Use 3}</v>
      </c>
      <c r="AC392" s="1425" t="s">
        <v>261</v>
      </c>
      <c r="AD392" s="1425" t="s">
        <v>1892</v>
      </c>
      <c r="AE392" s="1430"/>
      <c r="AF392" s="1430"/>
      <c r="AG392" s="2455"/>
      <c r="AH392" s="1894"/>
      <c r="AI392" s="1922">
        <f>DA387</f>
        <v>0</v>
      </c>
      <c r="AJ392" s="1920"/>
      <c r="AK392" s="1920"/>
      <c r="AL392" s="1920"/>
      <c r="AM392" s="1920"/>
      <c r="AN392" s="1920"/>
      <c r="AO392" s="2454"/>
      <c r="AP392" s="2454"/>
      <c r="AQ392" s="2454"/>
      <c r="AR392" s="2454"/>
      <c r="AS392" s="1923"/>
      <c r="AT392" s="1923"/>
      <c r="AU392" s="1923"/>
      <c r="AV392" s="2455"/>
      <c r="AW392" s="1430"/>
      <c r="AX392" s="1430"/>
      <c r="AY392" s="1430"/>
      <c r="AZ392" s="1430"/>
      <c r="BA392" s="1430"/>
      <c r="BB392" s="1430"/>
      <c r="BC392" s="1430"/>
      <c r="BD392" s="1422"/>
      <c r="BE392" s="1439"/>
      <c r="BF392" s="1439"/>
      <c r="BG392" s="1439"/>
      <c r="BH392" s="1420"/>
      <c r="BI392" s="1421"/>
      <c r="BJ392" s="1421"/>
      <c r="BK392" s="1421"/>
      <c r="BL392" s="1421"/>
      <c r="BM392" s="1421"/>
      <c r="BN392" s="1421"/>
      <c r="BO392" s="1421"/>
      <c r="BP392" s="1421"/>
      <c r="BQ392" s="1421"/>
      <c r="BR392" s="1421"/>
      <c r="BS392" s="1421"/>
      <c r="BT392" s="1421"/>
      <c r="BU392" s="1421"/>
      <c r="BV392" s="1421"/>
      <c r="BW392" s="1421"/>
      <c r="BX392" s="1421"/>
      <c r="BY392" s="1421"/>
      <c r="BZ392" s="1421"/>
      <c r="CA392" s="1421"/>
      <c r="CB392" s="1421"/>
      <c r="CC392" s="1421"/>
      <c r="CD392" s="1421"/>
      <c r="CE392" s="1421"/>
      <c r="CF392" s="1421"/>
      <c r="CG392" s="1421"/>
      <c r="CH392" s="1421"/>
      <c r="CI392" s="1421"/>
      <c r="CJ392" s="1421"/>
      <c r="CK392" s="1421"/>
      <c r="CL392" s="1421"/>
      <c r="CM392" s="1421"/>
      <c r="CN392" s="1421"/>
      <c r="CO392" s="1421"/>
      <c r="CP392" s="1421"/>
      <c r="CQ392" s="1421"/>
      <c r="CR392" s="1421"/>
      <c r="CS392" s="1421"/>
      <c r="CT392" s="1421"/>
      <c r="CU392" s="1421"/>
      <c r="CV392" s="1421"/>
      <c r="CW392" s="1421"/>
      <c r="CX392" s="1421"/>
      <c r="CY392" s="1421"/>
      <c r="CZ392" s="1421"/>
      <c r="DA392" s="1421"/>
      <c r="DB392" s="1421"/>
      <c r="DC392" s="1421"/>
      <c r="DD392" s="1421"/>
      <c r="DE392" s="1421"/>
      <c r="DF392" s="1421"/>
      <c r="DG392" s="1420"/>
      <c r="DH392" s="1420"/>
      <c r="DJ392" s="1427"/>
      <c r="DK392" s="1427"/>
      <c r="DL392" s="1427"/>
      <c r="DM392" s="1427"/>
      <c r="DN392" s="1427"/>
      <c r="DO392" s="1427"/>
      <c r="DP392" s="1427"/>
      <c r="DR392" s="1924"/>
      <c r="DS392" s="1427"/>
      <c r="DT392" s="1427"/>
      <c r="DU392" s="1427"/>
      <c r="DV392" s="1427"/>
      <c r="DW392" s="1427"/>
      <c r="DX392" s="1427"/>
      <c r="DY392" s="1427"/>
      <c r="DZ392" s="1427"/>
      <c r="EA392" s="1427"/>
      <c r="EB392" s="1427"/>
      <c r="EC392" s="1427"/>
      <c r="ED392" s="1427"/>
      <c r="EE392" s="1427"/>
      <c r="EF392" s="1427"/>
      <c r="EG392" s="1427"/>
      <c r="EH392" s="1427"/>
      <c r="EI392" s="1427"/>
      <c r="EJ392" s="1427"/>
      <c r="EK392" s="1427"/>
      <c r="EL392" s="1427"/>
      <c r="EM392" s="1427"/>
      <c r="EN392" s="1427"/>
      <c r="EO392" s="1427"/>
      <c r="EP392" s="1427"/>
      <c r="EQ392" s="1427"/>
      <c r="ER392" s="1427"/>
      <c r="ES392" s="1427"/>
      <c r="ET392" s="1427"/>
      <c r="EU392" s="1427"/>
    </row>
    <row r="393" spans="1:151" s="1440" customFormat="1" ht="20.25" customHeight="1">
      <c r="A393" s="1594"/>
      <c r="B393" s="1596" t="s">
        <v>1473</v>
      </c>
      <c r="C393" s="1662"/>
      <c r="D393" s="1758">
        <f>$AU$384</f>
        <v>0</v>
      </c>
      <c r="G393" s="1475"/>
      <c r="L393" s="1586"/>
      <c r="M393" s="1586"/>
      <c r="N393" s="1430"/>
      <c r="O393" s="1430"/>
      <c r="P393" s="1430"/>
      <c r="Q393" s="1425"/>
      <c r="R393" s="1425"/>
      <c r="S393" s="1425"/>
      <c r="T393" s="1425"/>
      <c r="U393" s="1425"/>
      <c r="V393" s="1425"/>
      <c r="W393" s="1425"/>
      <c r="X393" s="1425"/>
      <c r="Y393" s="1425"/>
      <c r="Z393" s="1425"/>
      <c r="AA393" s="1425"/>
      <c r="AB393" s="1425"/>
      <c r="AC393" s="1425"/>
      <c r="AD393" s="1425"/>
      <c r="AE393" s="1430"/>
      <c r="AF393" s="1430"/>
      <c r="AG393" s="2455"/>
      <c r="AH393" s="1894"/>
      <c r="AI393" s="1925"/>
      <c r="AJ393" s="1920"/>
      <c r="AK393" s="1920"/>
      <c r="AL393" s="1920"/>
      <c r="AM393" s="1920"/>
      <c r="AN393" s="1920"/>
      <c r="AO393" s="2454"/>
      <c r="AP393" s="2454"/>
      <c r="AQ393" s="2454"/>
      <c r="AR393" s="2454"/>
      <c r="AS393" s="1923"/>
      <c r="AT393" s="1923"/>
      <c r="AU393" s="1923"/>
      <c r="AV393" s="2455"/>
      <c r="AW393" s="1430"/>
      <c r="AX393" s="1430"/>
      <c r="AY393" s="1430"/>
      <c r="AZ393" s="1430"/>
      <c r="BA393" s="1430"/>
      <c r="BB393" s="1430"/>
      <c r="BC393" s="1430"/>
      <c r="BD393" s="1422"/>
      <c r="BE393" s="1439"/>
      <c r="BF393" s="1439"/>
      <c r="BG393" s="1439"/>
      <c r="BH393" s="1420"/>
      <c r="BI393" s="1421"/>
      <c r="BJ393" s="1421"/>
      <c r="BK393" s="1421"/>
      <c r="BL393" s="1421"/>
      <c r="BM393" s="1421"/>
      <c r="BN393" s="1421"/>
      <c r="BO393" s="1421"/>
      <c r="BP393" s="1421"/>
      <c r="BQ393" s="1421"/>
      <c r="BR393" s="1421"/>
      <c r="BS393" s="1421"/>
      <c r="BT393" s="1421"/>
      <c r="BU393" s="1421"/>
      <c r="BV393" s="1421"/>
      <c r="BW393" s="1421"/>
      <c r="BX393" s="1421"/>
      <c r="BY393" s="1421"/>
      <c r="BZ393" s="1421"/>
      <c r="CA393" s="1421"/>
      <c r="CB393" s="1421"/>
      <c r="CC393" s="1421"/>
      <c r="CD393" s="1421"/>
      <c r="CE393" s="1421"/>
      <c r="CF393" s="1421"/>
      <c r="CG393" s="1421"/>
      <c r="CH393" s="1421"/>
      <c r="CI393" s="1421"/>
      <c r="CJ393" s="1421"/>
      <c r="CK393" s="1421"/>
      <c r="CL393" s="1421"/>
      <c r="CM393" s="1421"/>
      <c r="CN393" s="1421"/>
      <c r="CO393" s="1421"/>
      <c r="CP393" s="1421"/>
      <c r="CQ393" s="1421"/>
      <c r="CR393" s="1421"/>
      <c r="CS393" s="1421"/>
      <c r="CT393" s="1421"/>
      <c r="CU393" s="1421"/>
      <c r="CV393" s="1421"/>
      <c r="CW393" s="1421"/>
      <c r="CX393" s="1421"/>
      <c r="CY393" s="1421"/>
      <c r="CZ393" s="1421"/>
      <c r="DA393" s="1421"/>
      <c r="DB393" s="1421"/>
      <c r="DC393" s="1421"/>
      <c r="DD393" s="1421"/>
      <c r="DE393" s="1421"/>
      <c r="DF393" s="1421"/>
      <c r="DG393" s="1420"/>
      <c r="DH393" s="1420"/>
      <c r="DJ393" s="1427"/>
      <c r="DK393" s="1427"/>
      <c r="DL393" s="1427"/>
      <c r="DM393" s="1427"/>
      <c r="DN393" s="1427"/>
      <c r="DO393" s="1427"/>
      <c r="DP393" s="1427"/>
      <c r="DR393" s="1427"/>
      <c r="DS393" s="1427"/>
      <c r="DT393" s="1427"/>
      <c r="DU393" s="1427"/>
      <c r="DV393" s="1427"/>
      <c r="DW393" s="1427"/>
      <c r="DX393" s="1427"/>
      <c r="DY393" s="1427"/>
      <c r="DZ393" s="1427"/>
      <c r="EA393" s="1427"/>
      <c r="EB393" s="1427"/>
      <c r="EC393" s="1427"/>
      <c r="ED393" s="1427"/>
      <c r="EE393" s="1427"/>
      <c r="EF393" s="1427"/>
      <c r="EG393" s="1427"/>
      <c r="EH393" s="1427"/>
      <c r="EI393" s="1427"/>
      <c r="EJ393" s="1427"/>
      <c r="EK393" s="1427"/>
      <c r="EL393" s="1427"/>
      <c r="EM393" s="1427"/>
      <c r="EN393" s="1427"/>
      <c r="EO393" s="1427"/>
      <c r="EP393" s="1427"/>
      <c r="EQ393" s="1427"/>
      <c r="ER393" s="1427"/>
      <c r="ES393" s="1427"/>
      <c r="ET393" s="1427"/>
      <c r="EU393" s="1427"/>
    </row>
    <row r="394" spans="1:151" s="1440" customFormat="1" ht="20.25" customHeight="1">
      <c r="A394" s="1594"/>
      <c r="B394" s="1596" t="s">
        <v>459</v>
      </c>
      <c r="C394" s="1662"/>
      <c r="D394" s="1758">
        <f>$AV$384</f>
        <v>0</v>
      </c>
      <c r="G394" s="1475"/>
      <c r="L394" s="1586"/>
      <c r="M394" s="1586"/>
      <c r="N394" s="1430"/>
      <c r="O394" s="1430"/>
      <c r="P394" s="1640" t="s">
        <v>800</v>
      </c>
      <c r="Q394" s="1436">
        <f t="shared" ref="Q394:Q405" si="571">$C$450*Q334</f>
        <v>0</v>
      </c>
      <c r="R394" s="1436">
        <f t="shared" ref="R394:R405" si="572">$C$451*R334</f>
        <v>0</v>
      </c>
      <c r="S394" s="1436">
        <f t="shared" ref="S394:S405" si="573">$C$452*S334</f>
        <v>0</v>
      </c>
      <c r="T394" s="1436">
        <f t="shared" ref="T394:T405" si="574">$C$453*T334</f>
        <v>0</v>
      </c>
      <c r="U394" s="1436">
        <f t="shared" ref="U394:U405" si="575">$C$454*(U334+V334)</f>
        <v>0</v>
      </c>
      <c r="V394" s="1436">
        <f t="shared" ref="V394:V405" si="576">$C$455*X334</f>
        <v>0</v>
      </c>
      <c r="W394" s="1436">
        <f t="shared" ref="W394:W405" si="577">$C$456*Y334</f>
        <v>0</v>
      </c>
      <c r="X394" s="1436">
        <f t="shared" ref="X394:X405" si="578">$C$457*Z334</f>
        <v>0</v>
      </c>
      <c r="Y394" s="1436">
        <f t="shared" ref="Y394:Y405" si="579">$C$458*AA334</f>
        <v>0</v>
      </c>
      <c r="Z394" s="1436">
        <f t="shared" ref="Z394:Z405" si="580">$C$459*AB334</f>
        <v>0</v>
      </c>
      <c r="AA394" s="1436">
        <f t="shared" ref="AA394:AA405" si="581">$C$460*AC334</f>
        <v>0</v>
      </c>
      <c r="AB394" s="1436">
        <f t="shared" ref="AB394:AB405" si="582">$C$461*AD334</f>
        <v>0</v>
      </c>
      <c r="AC394" s="1436">
        <f>SUM(Q394:AB394)</f>
        <v>0</v>
      </c>
      <c r="AD394" s="1436">
        <f t="shared" ref="AD394:AD405" si="583">IF(AC394-F434&lt;0,AC394,F434)*$N$391</f>
        <v>0</v>
      </c>
      <c r="AE394" s="1430"/>
      <c r="AF394" s="1430"/>
      <c r="AG394" s="2455"/>
      <c r="AH394" s="1894"/>
      <c r="AI394" s="1925"/>
      <c r="AJ394" s="1920"/>
      <c r="AK394" s="1920"/>
      <c r="AL394" s="1920"/>
      <c r="AM394" s="1920"/>
      <c r="AN394" s="1920"/>
      <c r="AO394" s="2454"/>
      <c r="AP394" s="2454"/>
      <c r="AQ394" s="2454"/>
      <c r="AR394" s="2454"/>
      <c r="AS394" s="1923"/>
      <c r="AT394" s="1923"/>
      <c r="AU394" s="1923"/>
      <c r="AV394" s="2455"/>
      <c r="AW394" s="1430"/>
      <c r="AX394" s="1430"/>
      <c r="AY394" s="1430"/>
      <c r="AZ394" s="1430"/>
      <c r="BA394" s="1430"/>
      <c r="BB394" s="1430"/>
      <c r="BC394" s="1430"/>
      <c r="BD394" s="1422"/>
      <c r="BE394" s="1439"/>
      <c r="BF394" s="1439"/>
      <c r="BG394" s="1439"/>
      <c r="BH394" s="1420"/>
      <c r="BI394" s="1421"/>
      <c r="BJ394" s="1421"/>
      <c r="BK394" s="1421"/>
      <c r="BL394" s="1421"/>
      <c r="BM394" s="1421"/>
      <c r="BN394" s="1421"/>
      <c r="BO394" s="1421"/>
      <c r="BP394" s="1421"/>
      <c r="BQ394" s="1421"/>
      <c r="BR394" s="1421"/>
      <c r="BS394" s="1421"/>
      <c r="BT394" s="1421"/>
      <c r="BU394" s="1421"/>
      <c r="BV394" s="1421"/>
      <c r="BW394" s="1421"/>
      <c r="BX394" s="1421"/>
      <c r="BY394" s="1421"/>
      <c r="BZ394" s="1421"/>
      <c r="CA394" s="1421"/>
      <c r="CB394" s="1421"/>
      <c r="CC394" s="1421"/>
      <c r="CD394" s="1421"/>
      <c r="CE394" s="1421"/>
      <c r="CF394" s="1421"/>
      <c r="CG394" s="1421"/>
      <c r="CH394" s="1421"/>
      <c r="CI394" s="1421"/>
      <c r="CJ394" s="1421"/>
      <c r="CK394" s="1421"/>
      <c r="CL394" s="1421"/>
      <c r="CM394" s="1421"/>
      <c r="CN394" s="1421"/>
      <c r="CO394" s="1421"/>
      <c r="CP394" s="1421"/>
      <c r="CQ394" s="1421"/>
      <c r="CR394" s="1421"/>
      <c r="CS394" s="1421"/>
      <c r="CT394" s="1421"/>
      <c r="CU394" s="1421"/>
      <c r="CV394" s="1421"/>
      <c r="CW394" s="1421"/>
      <c r="CX394" s="1421"/>
      <c r="CY394" s="1421"/>
      <c r="CZ394" s="1421"/>
      <c r="DA394" s="1421"/>
      <c r="DB394" s="1421"/>
      <c r="DC394" s="1421"/>
      <c r="DD394" s="1421"/>
      <c r="DE394" s="1421"/>
      <c r="DF394" s="1421"/>
      <c r="DG394" s="1420"/>
      <c r="DH394" s="1420"/>
      <c r="DI394" s="1895"/>
      <c r="DJ394" s="1427"/>
      <c r="DK394" s="1427"/>
      <c r="DL394" s="1427"/>
      <c r="DM394" s="1427"/>
      <c r="DN394" s="1427"/>
      <c r="DO394" s="1427"/>
      <c r="DP394" s="1924"/>
      <c r="DQ394" s="1895"/>
      <c r="DR394" s="1427"/>
      <c r="DS394" s="1924"/>
      <c r="DT394" s="1924"/>
      <c r="DU394" s="1924"/>
      <c r="DV394" s="1924"/>
      <c r="DW394" s="1924"/>
      <c r="DX394" s="1924"/>
      <c r="DY394" s="1924"/>
      <c r="DZ394" s="1924"/>
      <c r="EA394" s="1924"/>
      <c r="EB394" s="1924"/>
      <c r="EC394" s="1924"/>
      <c r="ED394" s="1924"/>
      <c r="EE394" s="1924"/>
      <c r="EF394" s="1924"/>
      <c r="EG394" s="1924"/>
      <c r="EH394" s="1924"/>
      <c r="EI394" s="1924"/>
      <c r="EJ394" s="1924"/>
      <c r="EK394" s="1924"/>
      <c r="EL394" s="1924"/>
      <c r="EM394" s="1924"/>
      <c r="EN394" s="1924"/>
      <c r="EO394" s="1924"/>
      <c r="EP394" s="1924"/>
      <c r="EQ394" s="1924"/>
      <c r="ER394" s="1924"/>
      <c r="ES394" s="1924"/>
      <c r="ET394" s="1924"/>
      <c r="EU394" s="1924"/>
    </row>
    <row r="395" spans="1:151" s="1440" customFormat="1" ht="20.25" customHeight="1">
      <c r="A395" s="1594"/>
      <c r="B395" s="1596" t="s">
        <v>1854</v>
      </c>
      <c r="C395" s="1662"/>
      <c r="D395" s="1758">
        <f>$AW$384</f>
        <v>0</v>
      </c>
      <c r="G395" s="1475"/>
      <c r="L395" s="1586"/>
      <c r="M395" s="1586"/>
      <c r="N395" s="1430"/>
      <c r="O395" s="1430"/>
      <c r="P395" s="1640" t="s">
        <v>801</v>
      </c>
      <c r="Q395" s="1436">
        <f t="shared" si="571"/>
        <v>0</v>
      </c>
      <c r="R395" s="1436">
        <f t="shared" si="572"/>
        <v>0</v>
      </c>
      <c r="S395" s="1436">
        <f t="shared" si="573"/>
        <v>0</v>
      </c>
      <c r="T395" s="1436">
        <f t="shared" si="574"/>
        <v>0</v>
      </c>
      <c r="U395" s="1436">
        <f t="shared" si="575"/>
        <v>0</v>
      </c>
      <c r="V395" s="1436">
        <f t="shared" si="576"/>
        <v>0</v>
      </c>
      <c r="W395" s="1436">
        <f t="shared" si="577"/>
        <v>0</v>
      </c>
      <c r="X395" s="1436">
        <f t="shared" si="578"/>
        <v>0</v>
      </c>
      <c r="Y395" s="1436">
        <f t="shared" si="579"/>
        <v>0</v>
      </c>
      <c r="Z395" s="1436">
        <f t="shared" si="580"/>
        <v>0</v>
      </c>
      <c r="AA395" s="1436">
        <f t="shared" si="581"/>
        <v>0</v>
      </c>
      <c r="AB395" s="1436">
        <f t="shared" si="582"/>
        <v>0</v>
      </c>
      <c r="AC395" s="1436">
        <f t="shared" ref="AC395:AC405" si="584">SUM(Q395:AB395)</f>
        <v>0</v>
      </c>
      <c r="AD395" s="1436">
        <f t="shared" si="583"/>
        <v>0</v>
      </c>
      <c r="AE395" s="1430"/>
      <c r="AF395" s="1430"/>
      <c r="AG395" s="2455"/>
      <c r="AH395" s="1894"/>
      <c r="AI395" s="1925"/>
      <c r="AJ395" s="1920"/>
      <c r="AK395" s="1920"/>
      <c r="AL395" s="1920"/>
      <c r="AM395" s="1920"/>
      <c r="AN395" s="1920"/>
      <c r="AO395" s="2454"/>
      <c r="AP395" s="2454"/>
      <c r="AQ395" s="2454"/>
      <c r="AR395" s="2454"/>
      <c r="AS395" s="1923"/>
      <c r="AT395" s="1923"/>
      <c r="AU395" s="1923"/>
      <c r="AV395" s="2455"/>
      <c r="AW395" s="1430"/>
      <c r="AX395" s="1430"/>
      <c r="AY395" s="1430"/>
      <c r="AZ395" s="1430"/>
      <c r="BA395" s="1430"/>
      <c r="BB395" s="1430"/>
      <c r="BC395" s="1430"/>
      <c r="BD395" s="1422"/>
      <c r="BE395" s="1439"/>
      <c r="BF395" s="1439"/>
      <c r="BG395" s="1439"/>
      <c r="BH395" s="1420"/>
      <c r="BI395" s="1421"/>
      <c r="BJ395" s="1421"/>
      <c r="BK395" s="1421"/>
      <c r="BL395" s="1421"/>
      <c r="BM395" s="1421"/>
      <c r="BN395" s="1421"/>
      <c r="BO395" s="1421"/>
      <c r="BP395" s="1421"/>
      <c r="BQ395" s="1421"/>
      <c r="BR395" s="1421"/>
      <c r="BS395" s="1421"/>
      <c r="BT395" s="1421"/>
      <c r="BU395" s="1421"/>
      <c r="BV395" s="1421"/>
      <c r="BW395" s="1421"/>
      <c r="BX395" s="1421"/>
      <c r="BY395" s="1421"/>
      <c r="BZ395" s="1421"/>
      <c r="CA395" s="1421"/>
      <c r="CB395" s="1421"/>
      <c r="CC395" s="1421"/>
      <c r="CD395" s="1421"/>
      <c r="CE395" s="1421"/>
      <c r="CF395" s="1421"/>
      <c r="CG395" s="1421"/>
      <c r="CH395" s="1421"/>
      <c r="CI395" s="1421"/>
      <c r="CJ395" s="1421"/>
      <c r="CK395" s="1421"/>
      <c r="CL395" s="1421"/>
      <c r="CM395" s="1421"/>
      <c r="CN395" s="1421"/>
      <c r="CO395" s="1421"/>
      <c r="CP395" s="1421"/>
      <c r="CQ395" s="1421"/>
      <c r="CR395" s="1421"/>
      <c r="CS395" s="1421"/>
      <c r="CT395" s="1421"/>
      <c r="CU395" s="1421"/>
      <c r="CV395" s="1421"/>
      <c r="CW395" s="1421"/>
      <c r="CX395" s="1421"/>
      <c r="CY395" s="1421"/>
      <c r="CZ395" s="1421"/>
      <c r="DA395" s="1421"/>
      <c r="DB395" s="1421"/>
      <c r="DC395" s="1421"/>
      <c r="DD395" s="1421"/>
      <c r="DE395" s="1421"/>
      <c r="DF395" s="1421"/>
      <c r="DG395" s="1420"/>
      <c r="DH395" s="1420"/>
      <c r="DJ395" s="1427"/>
      <c r="DK395" s="1427"/>
      <c r="DL395" s="1427"/>
      <c r="DM395" s="1924"/>
      <c r="DN395" s="1924"/>
      <c r="DO395" s="1924"/>
      <c r="DP395" s="1427"/>
      <c r="DR395" s="1427"/>
      <c r="DS395" s="1427"/>
      <c r="DT395" s="1427"/>
      <c r="DU395" s="1427"/>
      <c r="DV395" s="1427"/>
      <c r="DW395" s="1427"/>
      <c r="DX395" s="1427"/>
      <c r="DY395" s="1427"/>
      <c r="DZ395" s="1427"/>
      <c r="EA395" s="1427"/>
      <c r="EB395" s="1427"/>
      <c r="EC395" s="1427"/>
      <c r="ED395" s="1427"/>
      <c r="EE395" s="1427"/>
      <c r="EF395" s="1427"/>
      <c r="EG395" s="1427"/>
      <c r="EH395" s="1427"/>
      <c r="EI395" s="1427"/>
      <c r="EJ395" s="1427"/>
      <c r="EK395" s="1427"/>
      <c r="EL395" s="1427"/>
      <c r="EM395" s="1427"/>
      <c r="EN395" s="1427"/>
      <c r="EO395" s="1427"/>
      <c r="EP395" s="1427"/>
      <c r="EQ395" s="1427"/>
      <c r="ER395" s="1427"/>
      <c r="ES395" s="1427"/>
      <c r="ET395" s="1427"/>
      <c r="EU395" s="1427"/>
    </row>
    <row r="396" spans="1:151" s="1440" customFormat="1" ht="20.25" customHeight="1">
      <c r="A396" s="1594"/>
      <c r="B396" s="1596" t="s">
        <v>2299</v>
      </c>
      <c r="C396" s="1662"/>
      <c r="D396" s="1758">
        <f>$AX$384</f>
        <v>0</v>
      </c>
      <c r="G396" s="1475"/>
      <c r="L396" s="1586"/>
      <c r="M396" s="1586"/>
      <c r="N396" s="1430"/>
      <c r="O396" s="1430"/>
      <c r="P396" s="1640" t="s">
        <v>881</v>
      </c>
      <c r="Q396" s="1436">
        <f t="shared" si="571"/>
        <v>0</v>
      </c>
      <c r="R396" s="1436">
        <f t="shared" si="572"/>
        <v>0</v>
      </c>
      <c r="S396" s="1436">
        <f t="shared" si="573"/>
        <v>0</v>
      </c>
      <c r="T396" s="1436">
        <f t="shared" si="574"/>
        <v>0</v>
      </c>
      <c r="U396" s="1436">
        <f t="shared" si="575"/>
        <v>0</v>
      </c>
      <c r="V396" s="1436">
        <f t="shared" si="576"/>
        <v>0</v>
      </c>
      <c r="W396" s="1436">
        <f t="shared" si="577"/>
        <v>0</v>
      </c>
      <c r="X396" s="1436">
        <f t="shared" si="578"/>
        <v>0</v>
      </c>
      <c r="Y396" s="1436">
        <f t="shared" si="579"/>
        <v>0</v>
      </c>
      <c r="Z396" s="1436">
        <f t="shared" si="580"/>
        <v>0</v>
      </c>
      <c r="AA396" s="1436">
        <f t="shared" si="581"/>
        <v>0</v>
      </c>
      <c r="AB396" s="1436">
        <f t="shared" si="582"/>
        <v>0</v>
      </c>
      <c r="AC396" s="1436">
        <f t="shared" si="584"/>
        <v>0</v>
      </c>
      <c r="AD396" s="1436">
        <f t="shared" si="583"/>
        <v>0</v>
      </c>
      <c r="AE396" s="1430"/>
      <c r="AF396" s="1430"/>
      <c r="AG396" s="2455"/>
      <c r="AH396" s="1894"/>
      <c r="AI396" s="1925"/>
      <c r="AJ396" s="1920"/>
      <c r="AK396" s="1920"/>
      <c r="AL396" s="1920"/>
      <c r="AM396" s="1920"/>
      <c r="AN396" s="1920"/>
      <c r="AO396" s="2454"/>
      <c r="AP396" s="2454"/>
      <c r="AQ396" s="2454"/>
      <c r="AR396" s="2454"/>
      <c r="AS396" s="1923"/>
      <c r="AT396" s="1923"/>
      <c r="AU396" s="1923"/>
      <c r="AV396" s="2455"/>
      <c r="AW396" s="1430"/>
      <c r="AX396" s="1430"/>
      <c r="AY396" s="1430"/>
      <c r="AZ396" s="1430"/>
      <c r="BA396" s="1430"/>
      <c r="BB396" s="1430"/>
      <c r="BC396" s="1430"/>
      <c r="BD396" s="1422"/>
      <c r="BE396" s="1439"/>
      <c r="BF396" s="1439"/>
      <c r="BG396" s="1439"/>
      <c r="BH396" s="1420"/>
      <c r="BI396" s="1421"/>
      <c r="BJ396" s="1421"/>
      <c r="BK396" s="1421"/>
      <c r="BL396" s="1421"/>
      <c r="BM396" s="1421"/>
      <c r="BN396" s="1421"/>
      <c r="BO396" s="1421"/>
      <c r="BP396" s="1421"/>
      <c r="BQ396" s="1421"/>
      <c r="BR396" s="1421"/>
      <c r="BS396" s="1421"/>
      <c r="BT396" s="1421"/>
      <c r="BU396" s="1421"/>
      <c r="BV396" s="1421"/>
      <c r="BW396" s="1421"/>
      <c r="BX396" s="1421"/>
      <c r="BY396" s="1421"/>
      <c r="BZ396" s="1421"/>
      <c r="CA396" s="1421"/>
      <c r="CB396" s="1421"/>
      <c r="CC396" s="1421"/>
      <c r="CD396" s="1421"/>
      <c r="CE396" s="1421"/>
      <c r="CF396" s="1421"/>
      <c r="CG396" s="1421"/>
      <c r="CH396" s="1421"/>
      <c r="CI396" s="1421"/>
      <c r="CJ396" s="1421"/>
      <c r="CK396" s="1421"/>
      <c r="CL396" s="1421"/>
      <c r="CM396" s="1421"/>
      <c r="CN396" s="1421"/>
      <c r="CO396" s="1421"/>
      <c r="CP396" s="1421"/>
      <c r="CQ396" s="1421"/>
      <c r="CR396" s="1421"/>
      <c r="CS396" s="1421"/>
      <c r="CT396" s="1421"/>
      <c r="CU396" s="1421"/>
      <c r="CV396" s="1421"/>
      <c r="CW396" s="1421"/>
      <c r="CX396" s="1421"/>
      <c r="CY396" s="1421"/>
      <c r="CZ396" s="1421"/>
      <c r="DA396" s="1421"/>
      <c r="DB396" s="1421"/>
      <c r="DC396" s="1421"/>
      <c r="DD396" s="1421"/>
      <c r="DE396" s="1421"/>
      <c r="DF396" s="1421"/>
      <c r="DG396" s="1420"/>
      <c r="DH396" s="1420"/>
      <c r="DJ396" s="1924"/>
      <c r="DK396" s="1924"/>
      <c r="DL396" s="1924"/>
      <c r="DM396" s="1427"/>
      <c r="DN396" s="1427"/>
      <c r="DO396" s="1427"/>
      <c r="DP396" s="1427"/>
      <c r="DR396" s="1427"/>
      <c r="DS396" s="1427"/>
      <c r="DT396" s="1427"/>
      <c r="DU396" s="1427"/>
      <c r="DV396" s="1427"/>
      <c r="DW396" s="1427"/>
      <c r="DX396" s="1427"/>
      <c r="DY396" s="1427"/>
      <c r="DZ396" s="1427"/>
      <c r="EA396" s="1427"/>
      <c r="EB396" s="1427"/>
      <c r="EC396" s="1427"/>
      <c r="ED396" s="1427"/>
      <c r="EE396" s="1427"/>
      <c r="EF396" s="1427"/>
      <c r="EG396" s="1427"/>
      <c r="EH396" s="1427"/>
      <c r="EI396" s="1427"/>
      <c r="EJ396" s="1427"/>
      <c r="EK396" s="1427"/>
      <c r="EL396" s="1427"/>
      <c r="EM396" s="1427"/>
      <c r="EN396" s="1427"/>
      <c r="EO396" s="1427"/>
      <c r="EP396" s="1427"/>
      <c r="EQ396" s="1427"/>
      <c r="ER396" s="1427"/>
      <c r="ES396" s="1427"/>
      <c r="ET396" s="1427"/>
      <c r="EU396" s="1427"/>
    </row>
    <row r="397" spans="1:151" s="1440" customFormat="1" ht="20.25" customHeight="1">
      <c r="A397" s="1594"/>
      <c r="B397" s="1596" t="s">
        <v>2300</v>
      </c>
      <c r="C397" s="1662"/>
      <c r="D397" s="1758">
        <f>$AY$384</f>
        <v>0</v>
      </c>
      <c r="G397" s="1475"/>
      <c r="L397" s="1586"/>
      <c r="M397" s="1586"/>
      <c r="N397" s="1430"/>
      <c r="O397" s="1430"/>
      <c r="P397" s="1640" t="s">
        <v>882</v>
      </c>
      <c r="Q397" s="1436">
        <f t="shared" si="571"/>
        <v>0</v>
      </c>
      <c r="R397" s="1436">
        <f t="shared" si="572"/>
        <v>0</v>
      </c>
      <c r="S397" s="1436">
        <f t="shared" si="573"/>
        <v>0</v>
      </c>
      <c r="T397" s="1436">
        <f t="shared" si="574"/>
        <v>0</v>
      </c>
      <c r="U397" s="1436">
        <f t="shared" si="575"/>
        <v>0</v>
      </c>
      <c r="V397" s="1436">
        <f t="shared" si="576"/>
        <v>0</v>
      </c>
      <c r="W397" s="1436">
        <f t="shared" si="577"/>
        <v>0</v>
      </c>
      <c r="X397" s="1436">
        <f t="shared" si="578"/>
        <v>0</v>
      </c>
      <c r="Y397" s="1436">
        <f t="shared" si="579"/>
        <v>0</v>
      </c>
      <c r="Z397" s="1436">
        <f t="shared" si="580"/>
        <v>0</v>
      </c>
      <c r="AA397" s="1436">
        <f t="shared" si="581"/>
        <v>0</v>
      </c>
      <c r="AB397" s="1436">
        <f t="shared" si="582"/>
        <v>0</v>
      </c>
      <c r="AC397" s="1436">
        <f t="shared" si="584"/>
        <v>0</v>
      </c>
      <c r="AD397" s="1436">
        <f t="shared" si="583"/>
        <v>0</v>
      </c>
      <c r="AE397" s="1430"/>
      <c r="AF397" s="1430"/>
      <c r="AG397" s="2455"/>
      <c r="AH397" s="1894"/>
      <c r="AI397" s="1925" t="s">
        <v>2304</v>
      </c>
      <c r="AJ397" s="1920" t="s">
        <v>2305</v>
      </c>
      <c r="AK397" s="1920"/>
      <c r="AL397" s="1920"/>
      <c r="AM397" s="1920"/>
      <c r="AN397" s="1920"/>
      <c r="AO397" s="2454"/>
      <c r="AP397" s="2454"/>
      <c r="AQ397" s="2454"/>
      <c r="AR397" s="2454"/>
      <c r="AS397" s="1923"/>
      <c r="AT397" s="1923"/>
      <c r="AU397" s="1923"/>
      <c r="AV397" s="2455"/>
      <c r="AW397" s="1430"/>
      <c r="AX397" s="1430"/>
      <c r="AY397" s="1430"/>
      <c r="AZ397" s="1430"/>
      <c r="BA397" s="1430"/>
      <c r="BB397" s="1430"/>
      <c r="BC397" s="1430"/>
      <c r="BD397" s="1422"/>
      <c r="BE397" s="1439"/>
      <c r="BF397" s="1439"/>
      <c r="BG397" s="1439"/>
      <c r="BH397" s="1420"/>
      <c r="BI397" s="1421"/>
      <c r="BJ397" s="1421"/>
      <c r="BK397" s="1421"/>
      <c r="BL397" s="1421"/>
      <c r="BM397" s="1421"/>
      <c r="BN397" s="1421"/>
      <c r="BO397" s="1421"/>
      <c r="BP397" s="1421"/>
      <c r="BQ397" s="1421"/>
      <c r="BR397" s="1421"/>
      <c r="BS397" s="1421"/>
      <c r="BT397" s="1421"/>
      <c r="BU397" s="1421"/>
      <c r="BV397" s="1421"/>
      <c r="BW397" s="1421"/>
      <c r="BX397" s="1421"/>
      <c r="BY397" s="1421"/>
      <c r="BZ397" s="1421"/>
      <c r="CA397" s="1421"/>
      <c r="CB397" s="1421"/>
      <c r="CC397" s="1421"/>
      <c r="CD397" s="1421"/>
      <c r="CE397" s="1421"/>
      <c r="CF397" s="1421"/>
      <c r="CG397" s="1421"/>
      <c r="CH397" s="1421"/>
      <c r="CI397" s="1421"/>
      <c r="CJ397" s="1421"/>
      <c r="CK397" s="1421"/>
      <c r="CL397" s="1421"/>
      <c r="CM397" s="1421"/>
      <c r="CN397" s="1421"/>
      <c r="CO397" s="1421"/>
      <c r="CP397" s="1421"/>
      <c r="CQ397" s="1421"/>
      <c r="CR397" s="1421"/>
      <c r="CS397" s="1421"/>
      <c r="CT397" s="1421"/>
      <c r="CU397" s="1421"/>
      <c r="CV397" s="1421"/>
      <c r="CW397" s="1421"/>
      <c r="CX397" s="1421"/>
      <c r="CY397" s="1421"/>
      <c r="CZ397" s="1421"/>
      <c r="DA397" s="1421"/>
      <c r="DB397" s="1421"/>
      <c r="DC397" s="1421"/>
      <c r="DD397" s="1421"/>
      <c r="DE397" s="1421"/>
      <c r="DF397" s="1421"/>
      <c r="DG397" s="1420"/>
      <c r="DH397" s="1926"/>
      <c r="DJ397" s="1427"/>
      <c r="DK397" s="1427"/>
      <c r="DL397" s="1427"/>
      <c r="DM397" s="1427"/>
      <c r="DN397" s="1427"/>
      <c r="DO397" s="1427"/>
      <c r="DP397" s="1427"/>
      <c r="DR397" s="1427"/>
      <c r="DS397" s="1427"/>
      <c r="DT397" s="1427"/>
      <c r="DU397" s="1427"/>
      <c r="DV397" s="1427"/>
      <c r="DW397" s="1427"/>
      <c r="DX397" s="1427"/>
      <c r="DY397" s="1427"/>
      <c r="DZ397" s="1427"/>
      <c r="EA397" s="1427"/>
      <c r="EB397" s="1427"/>
      <c r="EC397" s="1427"/>
      <c r="ED397" s="1427"/>
      <c r="EE397" s="1427"/>
      <c r="EF397" s="1427"/>
      <c r="EG397" s="1427"/>
      <c r="EH397" s="1427"/>
      <c r="EI397" s="1427"/>
      <c r="EJ397" s="1427"/>
      <c r="EK397" s="1427"/>
      <c r="EL397" s="1427"/>
      <c r="EM397" s="1427"/>
      <c r="EN397" s="1427"/>
      <c r="EO397" s="1427"/>
      <c r="EP397" s="1427"/>
      <c r="EQ397" s="1427"/>
      <c r="ER397" s="1427"/>
      <c r="ES397" s="1427"/>
      <c r="ET397" s="1427"/>
      <c r="EU397" s="1427"/>
    </row>
    <row r="398" spans="1:151" s="1440" customFormat="1" ht="20.25" customHeight="1">
      <c r="A398" s="1594"/>
      <c r="B398" s="1596" t="str">
        <f>B383</f>
        <v>{Other Water Use 1}</v>
      </c>
      <c r="C398" s="1662"/>
      <c r="D398" s="1758">
        <f>$AZ$384</f>
        <v>0</v>
      </c>
      <c r="G398" s="1475"/>
      <c r="L398" s="1586"/>
      <c r="M398" s="1586"/>
      <c r="N398" s="1430"/>
      <c r="O398" s="1430"/>
      <c r="P398" s="1640" t="s">
        <v>1212</v>
      </c>
      <c r="Q398" s="1436">
        <f t="shared" si="571"/>
        <v>0</v>
      </c>
      <c r="R398" s="1436">
        <f t="shared" si="572"/>
        <v>0</v>
      </c>
      <c r="S398" s="1436">
        <f t="shared" si="573"/>
        <v>0</v>
      </c>
      <c r="T398" s="1436">
        <f t="shared" si="574"/>
        <v>0</v>
      </c>
      <c r="U398" s="1436">
        <f t="shared" si="575"/>
        <v>0</v>
      </c>
      <c r="V398" s="1436">
        <f t="shared" si="576"/>
        <v>0</v>
      </c>
      <c r="W398" s="1436">
        <f t="shared" si="577"/>
        <v>0</v>
      </c>
      <c r="X398" s="1436">
        <f t="shared" si="578"/>
        <v>0</v>
      </c>
      <c r="Y398" s="1436">
        <f t="shared" si="579"/>
        <v>0</v>
      </c>
      <c r="Z398" s="1436">
        <f t="shared" si="580"/>
        <v>0</v>
      </c>
      <c r="AA398" s="1436">
        <f t="shared" si="581"/>
        <v>0</v>
      </c>
      <c r="AB398" s="1436">
        <f t="shared" si="582"/>
        <v>0</v>
      </c>
      <c r="AC398" s="1436">
        <f t="shared" si="584"/>
        <v>0</v>
      </c>
      <c r="AD398" s="1436">
        <f t="shared" si="583"/>
        <v>0</v>
      </c>
      <c r="AE398" s="1430"/>
      <c r="AF398" s="1430"/>
      <c r="AG398" s="2455"/>
      <c r="AH398" s="1596" t="s">
        <v>1893</v>
      </c>
      <c r="AI398" s="1596" t="s">
        <v>1896</v>
      </c>
      <c r="AJ398" s="1596" t="s">
        <v>1896</v>
      </c>
      <c r="AK398" s="1596" t="s">
        <v>1891</v>
      </c>
      <c r="AL398" s="1596"/>
      <c r="AM398" s="1596"/>
      <c r="AN398" s="1596"/>
      <c r="AO398" s="2454"/>
      <c r="AP398" s="2454"/>
      <c r="AQ398" s="2454"/>
      <c r="AR398" s="2454"/>
      <c r="AS398" s="1923"/>
      <c r="AT398" s="1923"/>
      <c r="AU398" s="1923"/>
      <c r="AV398" s="2455"/>
      <c r="AW398" s="1430"/>
      <c r="AX398" s="1430"/>
      <c r="AY398" s="1430"/>
      <c r="AZ398" s="1430"/>
      <c r="BA398" s="1430"/>
      <c r="BB398" s="1430"/>
      <c r="BC398" s="1430"/>
      <c r="BD398" s="1422"/>
      <c r="BE398" s="1439"/>
      <c r="BF398" s="1439"/>
      <c r="BG398" s="1439"/>
      <c r="BH398" s="1420"/>
      <c r="BI398" s="1421"/>
      <c r="BJ398" s="1421"/>
      <c r="BK398" s="1421"/>
      <c r="BL398" s="1421"/>
      <c r="BM398" s="1421"/>
      <c r="BN398" s="1421"/>
      <c r="BO398" s="1421"/>
      <c r="BP398" s="1421"/>
      <c r="BQ398" s="1421"/>
      <c r="BR398" s="1421"/>
      <c r="BS398" s="1421"/>
      <c r="BT398" s="1421"/>
      <c r="BU398" s="1421"/>
      <c r="BV398" s="1421"/>
      <c r="BW398" s="1421"/>
      <c r="BX398" s="1421"/>
      <c r="BY398" s="1421"/>
      <c r="BZ398" s="1421"/>
      <c r="CA398" s="1421"/>
      <c r="CB398" s="1421"/>
      <c r="CC398" s="1421"/>
      <c r="CD398" s="1421"/>
      <c r="CE398" s="1421"/>
      <c r="CF398" s="1421"/>
      <c r="CG398" s="1421"/>
      <c r="CH398" s="1421"/>
      <c r="CI398" s="1421"/>
      <c r="CJ398" s="1421"/>
      <c r="CK398" s="1421"/>
      <c r="CL398" s="1421"/>
      <c r="CM398" s="1421"/>
      <c r="CN398" s="1421"/>
      <c r="CO398" s="1421"/>
      <c r="CP398" s="1421"/>
      <c r="CQ398" s="1421"/>
      <c r="CR398" s="1421"/>
      <c r="CS398" s="1421"/>
      <c r="CT398" s="1421"/>
      <c r="CU398" s="1421"/>
      <c r="CV398" s="1421"/>
      <c r="CW398" s="1421"/>
      <c r="CX398" s="1421"/>
      <c r="CY398" s="1421"/>
      <c r="CZ398" s="1421"/>
      <c r="DA398" s="1421"/>
      <c r="DB398" s="1421"/>
      <c r="DC398" s="1421"/>
      <c r="DD398" s="1421"/>
      <c r="DE398" s="1421"/>
      <c r="DF398" s="1421"/>
      <c r="DG398" s="1420"/>
      <c r="DH398" s="1420"/>
      <c r="DJ398" s="1427"/>
      <c r="DK398" s="1427"/>
      <c r="DL398" s="1427"/>
      <c r="DM398" s="1427"/>
      <c r="DN398" s="1427"/>
      <c r="DO398" s="1427"/>
      <c r="DP398" s="1427"/>
      <c r="DR398" s="1427"/>
      <c r="DS398" s="1427"/>
      <c r="DT398" s="1427"/>
      <c r="DU398" s="1427"/>
      <c r="DV398" s="1427"/>
      <c r="DW398" s="1427"/>
      <c r="DX398" s="1427"/>
      <c r="DY398" s="1427"/>
      <c r="DZ398" s="1427"/>
      <c r="EA398" s="1427"/>
      <c r="EB398" s="1427"/>
      <c r="EC398" s="1427"/>
      <c r="ED398" s="1427"/>
      <c r="EE398" s="1427"/>
      <c r="EF398" s="1427"/>
      <c r="EG398" s="1427"/>
      <c r="EH398" s="1427"/>
      <c r="EI398" s="1427"/>
      <c r="EJ398" s="1427"/>
      <c r="EK398" s="1427"/>
      <c r="EL398" s="1427"/>
      <c r="EM398" s="1427"/>
      <c r="EN398" s="1427"/>
      <c r="EO398" s="1427"/>
      <c r="EP398" s="1427"/>
      <c r="EQ398" s="1427"/>
      <c r="ER398" s="1427"/>
      <c r="ES398" s="1427"/>
      <c r="ET398" s="1427"/>
      <c r="EU398" s="1427"/>
    </row>
    <row r="399" spans="1:151" s="1440" customFormat="1" ht="20.25" customHeight="1">
      <c r="A399" s="1594"/>
      <c r="B399" s="1596" t="str">
        <f>B384</f>
        <v>{Other Water Use 2}</v>
      </c>
      <c r="C399" s="1662"/>
      <c r="D399" s="1758">
        <f>$BA$384</f>
        <v>0</v>
      </c>
      <c r="G399" s="1475"/>
      <c r="L399" s="1586"/>
      <c r="M399" s="1586"/>
      <c r="N399" s="1430" t="s">
        <v>1879</v>
      </c>
      <c r="O399" s="1908"/>
      <c r="P399" s="1640" t="s">
        <v>883</v>
      </c>
      <c r="Q399" s="1436">
        <f t="shared" si="571"/>
        <v>0</v>
      </c>
      <c r="R399" s="1436">
        <f t="shared" si="572"/>
        <v>0</v>
      </c>
      <c r="S399" s="1436">
        <f t="shared" si="573"/>
        <v>0</v>
      </c>
      <c r="T399" s="1436">
        <f t="shared" si="574"/>
        <v>0</v>
      </c>
      <c r="U399" s="1436">
        <f t="shared" si="575"/>
        <v>0</v>
      </c>
      <c r="V399" s="1436">
        <f t="shared" si="576"/>
        <v>0</v>
      </c>
      <c r="W399" s="1436">
        <f t="shared" si="577"/>
        <v>0</v>
      </c>
      <c r="X399" s="1436">
        <f t="shared" si="578"/>
        <v>0</v>
      </c>
      <c r="Y399" s="1436">
        <f t="shared" si="579"/>
        <v>0</v>
      </c>
      <c r="Z399" s="1436">
        <f t="shared" si="580"/>
        <v>0</v>
      </c>
      <c r="AA399" s="1436">
        <f t="shared" si="581"/>
        <v>0</v>
      </c>
      <c r="AB399" s="1436">
        <f t="shared" si="582"/>
        <v>0</v>
      </c>
      <c r="AC399" s="1436">
        <f t="shared" si="584"/>
        <v>0</v>
      </c>
      <c r="AD399" s="1436">
        <f t="shared" si="583"/>
        <v>0</v>
      </c>
      <c r="AE399" s="1430"/>
      <c r="AF399" s="1430"/>
      <c r="AG399" s="1737" t="str">
        <f t="shared" ref="AG399:AH410" si="585">B337</f>
        <v>WC</v>
      </c>
      <c r="AH399" s="1737">
        <f t="shared" si="585"/>
        <v>0</v>
      </c>
      <c r="AI399" s="1737">
        <f>BR386</f>
        <v>0</v>
      </c>
      <c r="AJ399" s="1737">
        <f t="shared" ref="AJ399:AJ410" si="586">IF(C450*AH399-D389*E450-E415*D450&gt;0,C450*AH399-D389*E450-E415*D450,0)</f>
        <v>0</v>
      </c>
      <c r="AK399" s="1927">
        <f>AD408</f>
        <v>0</v>
      </c>
      <c r="AL399" s="1928"/>
      <c r="AM399" s="1928"/>
      <c r="AN399" s="1928"/>
      <c r="AO399" s="1920"/>
      <c r="AP399" s="1920"/>
      <c r="AQ399" s="1920"/>
      <c r="AR399" s="1920"/>
      <c r="AS399" s="1920"/>
      <c r="AT399" s="1920"/>
      <c r="AU399" s="1920"/>
      <c r="AV399" s="1920"/>
      <c r="AW399" s="1430"/>
      <c r="AX399" s="1430"/>
      <c r="AY399" s="1430"/>
      <c r="AZ399" s="1430"/>
      <c r="BA399" s="1430"/>
      <c r="BB399" s="1430"/>
      <c r="BC399" s="1430"/>
      <c r="BD399" s="1422"/>
      <c r="BE399" s="1439"/>
      <c r="BF399" s="1439"/>
      <c r="BG399" s="1439"/>
      <c r="BH399" s="1420"/>
      <c r="BI399" s="1421"/>
      <c r="BJ399" s="1421"/>
      <c r="BK399" s="1421"/>
      <c r="BL399" s="1421"/>
      <c r="BM399" s="1421"/>
      <c r="BN399" s="1421"/>
      <c r="BO399" s="1421"/>
      <c r="BP399" s="1421"/>
      <c r="BQ399" s="1421"/>
      <c r="BR399" s="1421"/>
      <c r="BS399" s="1421"/>
      <c r="BT399" s="1421"/>
      <c r="BU399" s="1421"/>
      <c r="BV399" s="1421"/>
      <c r="BW399" s="1421"/>
      <c r="BX399" s="1421"/>
      <c r="BY399" s="1421"/>
      <c r="BZ399" s="1421"/>
      <c r="CA399" s="1421"/>
      <c r="CB399" s="1421"/>
      <c r="CC399" s="1421"/>
      <c r="CD399" s="1421"/>
      <c r="CE399" s="1421"/>
      <c r="CF399" s="1421"/>
      <c r="CG399" s="1421"/>
      <c r="CH399" s="1421"/>
      <c r="CI399" s="1421"/>
      <c r="CJ399" s="1421"/>
      <c r="CK399" s="1421"/>
      <c r="CL399" s="1421"/>
      <c r="CM399" s="1421"/>
      <c r="CN399" s="1421"/>
      <c r="CO399" s="1421"/>
      <c r="CP399" s="1421"/>
      <c r="CQ399" s="1421"/>
      <c r="CR399" s="1421"/>
      <c r="CS399" s="1421"/>
      <c r="CT399" s="1421"/>
      <c r="CU399" s="1421"/>
      <c r="CV399" s="1421"/>
      <c r="CW399" s="1421"/>
      <c r="CX399" s="1421"/>
      <c r="CY399" s="1421"/>
      <c r="CZ399" s="1421"/>
      <c r="DA399" s="1421"/>
      <c r="DB399" s="1421"/>
      <c r="DC399" s="1421"/>
      <c r="DD399" s="1421"/>
      <c r="DE399" s="1421"/>
      <c r="DF399" s="1421"/>
      <c r="DG399" s="1420"/>
      <c r="DH399" s="1420"/>
      <c r="DJ399" s="1427"/>
      <c r="DK399" s="1427"/>
      <c r="DL399" s="1427"/>
      <c r="DM399" s="1427"/>
      <c r="DN399" s="1427"/>
      <c r="DO399" s="1427"/>
      <c r="DP399" s="1427"/>
      <c r="DR399" s="1427"/>
      <c r="DS399" s="1427"/>
      <c r="DT399" s="1427"/>
      <c r="DU399" s="1427"/>
      <c r="DV399" s="1427"/>
      <c r="DW399" s="1427"/>
      <c r="DX399" s="1427"/>
      <c r="DY399" s="1427"/>
      <c r="DZ399" s="1427"/>
      <c r="EA399" s="1427"/>
      <c r="EB399" s="1427"/>
      <c r="EC399" s="1427"/>
      <c r="ED399" s="1427"/>
      <c r="EE399" s="1427"/>
      <c r="EF399" s="1427"/>
      <c r="EG399" s="1427"/>
      <c r="EH399" s="1427"/>
      <c r="EI399" s="1427"/>
      <c r="EJ399" s="1427"/>
      <c r="EK399" s="1427"/>
      <c r="EL399" s="1427"/>
      <c r="EM399" s="1427"/>
      <c r="EN399" s="1427"/>
      <c r="EO399" s="1427"/>
      <c r="EP399" s="1427"/>
      <c r="EQ399" s="1427"/>
      <c r="ER399" s="1427"/>
      <c r="ES399" s="1427"/>
      <c r="ET399" s="1427"/>
      <c r="EU399" s="1427"/>
    </row>
    <row r="400" spans="1:151" s="1440" customFormat="1" ht="20.25" customHeight="1">
      <c r="A400" s="1594"/>
      <c r="B400" s="1596" t="str">
        <f>B385</f>
        <v>{Other Water Use 3}</v>
      </c>
      <c r="C400" s="1662"/>
      <c r="D400" s="1758">
        <f>$BB$384</f>
        <v>0</v>
      </c>
      <c r="G400" s="1475"/>
      <c r="L400" s="1586"/>
      <c r="M400" s="1586"/>
      <c r="N400" s="1430">
        <f>IFERROR((F407*E407+F408*E408+F409*E409+F410*E410)/N402,0)</f>
        <v>0</v>
      </c>
      <c r="O400" s="1430"/>
      <c r="P400" s="1640" t="s">
        <v>884</v>
      </c>
      <c r="Q400" s="1436">
        <f t="shared" si="571"/>
        <v>0</v>
      </c>
      <c r="R400" s="1436">
        <f t="shared" si="572"/>
        <v>0</v>
      </c>
      <c r="S400" s="1436">
        <f t="shared" si="573"/>
        <v>0</v>
      </c>
      <c r="T400" s="1436">
        <f t="shared" si="574"/>
        <v>0</v>
      </c>
      <c r="U400" s="1436">
        <f t="shared" si="575"/>
        <v>0</v>
      </c>
      <c r="V400" s="1436">
        <f t="shared" si="576"/>
        <v>0</v>
      </c>
      <c r="W400" s="1436">
        <f t="shared" si="577"/>
        <v>0</v>
      </c>
      <c r="X400" s="1436">
        <f t="shared" si="578"/>
        <v>0</v>
      </c>
      <c r="Y400" s="1436">
        <f t="shared" si="579"/>
        <v>0</v>
      </c>
      <c r="Z400" s="1436">
        <f t="shared" si="580"/>
        <v>0</v>
      </c>
      <c r="AA400" s="1436">
        <f t="shared" si="581"/>
        <v>0</v>
      </c>
      <c r="AB400" s="1436">
        <f t="shared" si="582"/>
        <v>0</v>
      </c>
      <c r="AC400" s="1436">
        <f t="shared" si="584"/>
        <v>0</v>
      </c>
      <c r="AD400" s="1436">
        <f t="shared" si="583"/>
        <v>0</v>
      </c>
      <c r="AE400" s="1430"/>
      <c r="AF400" s="1430"/>
      <c r="AG400" s="1737" t="str">
        <f t="shared" si="585"/>
        <v>Urinals</v>
      </c>
      <c r="AH400" s="1737">
        <f t="shared" si="585"/>
        <v>0</v>
      </c>
      <c r="AI400" s="1737">
        <f>BU386</f>
        <v>0</v>
      </c>
      <c r="AJ400" s="1737">
        <f t="shared" si="586"/>
        <v>0</v>
      </c>
      <c r="AK400" s="1920"/>
      <c r="AL400" s="1920"/>
      <c r="AM400" s="1920"/>
      <c r="AN400" s="1920"/>
      <c r="AO400" s="1920"/>
      <c r="AP400" s="1920"/>
      <c r="AQ400" s="1920"/>
      <c r="AR400" s="1920"/>
      <c r="AS400" s="1920"/>
      <c r="AT400" s="1920"/>
      <c r="AU400" s="1920"/>
      <c r="AV400" s="1920"/>
      <c r="AW400" s="1430"/>
      <c r="AX400" s="1430"/>
      <c r="AY400" s="1430"/>
      <c r="AZ400" s="1430"/>
      <c r="BA400" s="1430"/>
      <c r="BB400" s="1430"/>
      <c r="BC400" s="1430"/>
      <c r="BD400" s="1422"/>
      <c r="BE400" s="1929"/>
      <c r="BF400" s="1929"/>
      <c r="BG400" s="1929"/>
      <c r="BH400" s="1530"/>
      <c r="BI400" s="1930"/>
      <c r="BJ400" s="1930"/>
      <c r="BK400" s="1930"/>
      <c r="BL400" s="1930"/>
      <c r="BM400" s="1930"/>
      <c r="BN400" s="1930"/>
      <c r="BO400" s="1930"/>
      <c r="BP400" s="1930"/>
      <c r="BQ400" s="1930"/>
      <c r="BR400" s="1930"/>
      <c r="BS400" s="1930"/>
      <c r="BT400" s="1930"/>
      <c r="BU400" s="1930"/>
      <c r="BV400" s="1930"/>
      <c r="BW400" s="1930"/>
      <c r="BX400" s="1930"/>
      <c r="BY400" s="1930"/>
      <c r="BZ400" s="1930"/>
      <c r="CA400" s="1930"/>
      <c r="CB400" s="1930"/>
      <c r="CC400" s="1930"/>
      <c r="CD400" s="1930"/>
      <c r="CE400" s="1930"/>
      <c r="CF400" s="1930"/>
      <c r="CG400" s="1930"/>
      <c r="CH400" s="1930"/>
      <c r="CI400" s="1930"/>
      <c r="CJ400" s="1930"/>
      <c r="CK400" s="1930"/>
      <c r="CL400" s="1930"/>
      <c r="CM400" s="1930"/>
      <c r="CN400" s="1930"/>
      <c r="CO400" s="1930"/>
      <c r="CP400" s="1930"/>
      <c r="CQ400" s="1930"/>
      <c r="CR400" s="1930"/>
      <c r="CS400" s="1930"/>
      <c r="CT400" s="1930"/>
      <c r="CU400" s="1930"/>
      <c r="CV400" s="1930"/>
      <c r="CW400" s="1930"/>
      <c r="CX400" s="1930"/>
      <c r="CY400" s="1930"/>
      <c r="CZ400" s="1930"/>
      <c r="DA400" s="1930"/>
      <c r="DB400" s="1930"/>
      <c r="DC400" s="1930"/>
      <c r="DD400" s="1930"/>
      <c r="DE400" s="1930"/>
      <c r="DF400" s="1930"/>
      <c r="DG400" s="1530"/>
      <c r="DH400" s="1530"/>
      <c r="DJ400" s="1427"/>
      <c r="DK400" s="1427"/>
      <c r="DL400" s="1427"/>
      <c r="DM400" s="1427"/>
      <c r="DN400" s="1427"/>
      <c r="DO400" s="1427"/>
      <c r="DP400" s="1427"/>
      <c r="DR400" s="1427"/>
      <c r="DS400" s="1427"/>
      <c r="DT400" s="1427"/>
      <c r="DU400" s="1427"/>
      <c r="DV400" s="1427"/>
      <c r="DW400" s="1427"/>
      <c r="DX400" s="1427"/>
      <c r="DY400" s="1427"/>
      <c r="DZ400" s="1427"/>
      <c r="EA400" s="1427"/>
      <c r="EB400" s="1427"/>
      <c r="EC400" s="1427"/>
      <c r="ED400" s="1427"/>
      <c r="EE400" s="1427"/>
      <c r="EF400" s="1427"/>
      <c r="EG400" s="1427"/>
      <c r="EH400" s="1427"/>
      <c r="EI400" s="1427"/>
      <c r="EJ400" s="1427"/>
      <c r="EK400" s="1427"/>
      <c r="EL400" s="1427"/>
      <c r="EM400" s="1427"/>
      <c r="EN400" s="1427"/>
      <c r="EO400" s="1427"/>
      <c r="EP400" s="1427"/>
      <c r="EQ400" s="1427"/>
      <c r="ER400" s="1427"/>
      <c r="ES400" s="1427"/>
      <c r="ET400" s="1427"/>
      <c r="EU400" s="1427"/>
    </row>
    <row r="401" spans="1:151" s="1440" customFormat="1" ht="21.75" customHeight="1">
      <c r="A401" s="1594"/>
      <c r="B401" s="2456" t="s">
        <v>1954</v>
      </c>
      <c r="C401" s="2456"/>
      <c r="D401" s="1931">
        <f>SUM(D389:D400)</f>
        <v>0</v>
      </c>
      <c r="G401" s="1475"/>
      <c r="L401" s="1586"/>
      <c r="M401" s="1586"/>
      <c r="N401" s="1430" t="s">
        <v>1977</v>
      </c>
      <c r="O401" s="1430"/>
      <c r="P401" s="1640" t="s">
        <v>885</v>
      </c>
      <c r="Q401" s="1436">
        <f t="shared" si="571"/>
        <v>0</v>
      </c>
      <c r="R401" s="1436">
        <f t="shared" si="572"/>
        <v>0</v>
      </c>
      <c r="S401" s="1436">
        <f t="shared" si="573"/>
        <v>0</v>
      </c>
      <c r="T401" s="1436">
        <f t="shared" si="574"/>
        <v>0</v>
      </c>
      <c r="U401" s="1436">
        <f t="shared" si="575"/>
        <v>0</v>
      </c>
      <c r="V401" s="1436">
        <f t="shared" si="576"/>
        <v>0</v>
      </c>
      <c r="W401" s="1436">
        <f t="shared" si="577"/>
        <v>0</v>
      </c>
      <c r="X401" s="1436">
        <f t="shared" si="578"/>
        <v>0</v>
      </c>
      <c r="Y401" s="1436">
        <f t="shared" si="579"/>
        <v>0</v>
      </c>
      <c r="Z401" s="1436">
        <f t="shared" si="580"/>
        <v>0</v>
      </c>
      <c r="AA401" s="1436">
        <f t="shared" si="581"/>
        <v>0</v>
      </c>
      <c r="AB401" s="1436">
        <f t="shared" si="582"/>
        <v>0</v>
      </c>
      <c r="AC401" s="1436">
        <f t="shared" si="584"/>
        <v>0</v>
      </c>
      <c r="AD401" s="1436">
        <f t="shared" si="583"/>
        <v>0</v>
      </c>
      <c r="AE401" s="1430"/>
      <c r="AF401" s="1430"/>
      <c r="AG401" s="1737" t="str">
        <f t="shared" si="585"/>
        <v>Indoor taps</v>
      </c>
      <c r="AH401" s="1737">
        <f t="shared" si="585"/>
        <v>0</v>
      </c>
      <c r="AI401" s="1737">
        <f>BX386</f>
        <v>0</v>
      </c>
      <c r="AJ401" s="1737">
        <f t="shared" si="586"/>
        <v>0</v>
      </c>
      <c r="AK401" s="1920"/>
      <c r="AL401" s="1920"/>
      <c r="AM401" s="1920"/>
      <c r="AN401" s="1920"/>
      <c r="AO401" s="1920"/>
      <c r="AP401" s="1920"/>
      <c r="AQ401" s="1920"/>
      <c r="AR401" s="1920"/>
      <c r="AS401" s="1920"/>
      <c r="AT401" s="1920"/>
      <c r="AU401" s="1920"/>
      <c r="AV401" s="1920"/>
      <c r="AW401" s="1430"/>
      <c r="AX401" s="1430"/>
      <c r="AY401" s="1430"/>
      <c r="AZ401" s="1430"/>
      <c r="BA401" s="1430"/>
      <c r="BB401" s="1430"/>
      <c r="BC401" s="1430"/>
      <c r="BD401" s="1422"/>
      <c r="BE401" s="1929"/>
      <c r="BF401" s="1929"/>
      <c r="BG401" s="1929"/>
      <c r="BH401" s="1530"/>
      <c r="BI401" s="1930"/>
      <c r="BJ401" s="1930"/>
      <c r="BK401" s="1930"/>
      <c r="BL401" s="1930"/>
      <c r="BM401" s="1930"/>
      <c r="BN401" s="1930"/>
      <c r="BO401" s="1930"/>
      <c r="BP401" s="1930"/>
      <c r="BQ401" s="1930"/>
      <c r="BR401" s="1930"/>
      <c r="BS401" s="1930"/>
      <c r="BT401" s="1930"/>
      <c r="BU401" s="1930"/>
      <c r="BV401" s="1930"/>
      <c r="BW401" s="1930"/>
      <c r="BX401" s="1930"/>
      <c r="BY401" s="1930"/>
      <c r="BZ401" s="1930"/>
      <c r="CA401" s="1930"/>
      <c r="CB401" s="1930"/>
      <c r="CC401" s="1930"/>
      <c r="CD401" s="1930"/>
      <c r="CE401" s="1930"/>
      <c r="CF401" s="1930"/>
      <c r="CG401" s="1930"/>
      <c r="CH401" s="1930"/>
      <c r="CI401" s="1930"/>
      <c r="CJ401" s="1930"/>
      <c r="CK401" s="1930"/>
      <c r="CL401" s="1930"/>
      <c r="CM401" s="1930"/>
      <c r="CN401" s="1930"/>
      <c r="CO401" s="1930"/>
      <c r="CP401" s="1930"/>
      <c r="CQ401" s="1930"/>
      <c r="CR401" s="1930"/>
      <c r="CS401" s="1930"/>
      <c r="CT401" s="1930"/>
      <c r="CU401" s="1930"/>
      <c r="CV401" s="1930"/>
      <c r="CW401" s="1930"/>
      <c r="CX401" s="1930"/>
      <c r="CY401" s="1930"/>
      <c r="CZ401" s="1930"/>
      <c r="DA401" s="1930"/>
      <c r="DB401" s="1930"/>
      <c r="DC401" s="1930"/>
      <c r="DD401" s="1930"/>
      <c r="DE401" s="1930"/>
      <c r="DF401" s="1930"/>
      <c r="DG401" s="1530"/>
      <c r="DH401" s="1530"/>
      <c r="DJ401" s="1427"/>
      <c r="DK401" s="1427"/>
      <c r="DL401" s="1427"/>
      <c r="DM401" s="1427"/>
      <c r="DN401" s="1427"/>
      <c r="DO401" s="1427"/>
      <c r="DP401" s="1427"/>
      <c r="DR401" s="1427"/>
      <c r="DS401" s="1427"/>
      <c r="DT401" s="1427"/>
      <c r="DU401" s="1427"/>
      <c r="DV401" s="1427"/>
      <c r="DW401" s="1427"/>
      <c r="DX401" s="1427"/>
      <c r="DY401" s="1427"/>
      <c r="DZ401" s="1427"/>
      <c r="EA401" s="1427"/>
      <c r="EB401" s="1427"/>
      <c r="EC401" s="1427"/>
      <c r="ED401" s="1427"/>
      <c r="EE401" s="1427"/>
      <c r="EF401" s="1427"/>
      <c r="EG401" s="1427"/>
      <c r="EH401" s="1427"/>
      <c r="EI401" s="1427"/>
      <c r="EJ401" s="1427"/>
      <c r="EK401" s="1427"/>
      <c r="EL401" s="1427"/>
      <c r="EM401" s="1427"/>
      <c r="EN401" s="1427"/>
      <c r="EO401" s="1427"/>
      <c r="EP401" s="1427"/>
      <c r="EQ401" s="1427"/>
      <c r="ER401" s="1427"/>
      <c r="ES401" s="1427"/>
      <c r="ET401" s="1427"/>
      <c r="EU401" s="1427"/>
    </row>
    <row r="402" spans="1:151" s="1440" customFormat="1" ht="27.75" customHeight="1">
      <c r="A402" s="1594"/>
      <c r="B402" s="1586"/>
      <c r="C402" s="1586"/>
      <c r="D402" s="1586"/>
      <c r="G402" s="1475"/>
      <c r="L402" s="1586"/>
      <c r="M402" s="1586"/>
      <c r="N402" s="1430">
        <f>SUM(F407:F410)</f>
        <v>0</v>
      </c>
      <c r="O402" s="1430"/>
      <c r="P402" s="1640" t="s">
        <v>802</v>
      </c>
      <c r="Q402" s="1436">
        <f t="shared" si="571"/>
        <v>0</v>
      </c>
      <c r="R402" s="1436">
        <f t="shared" si="572"/>
        <v>0</v>
      </c>
      <c r="S402" s="1436">
        <f t="shared" si="573"/>
        <v>0</v>
      </c>
      <c r="T402" s="1436">
        <f t="shared" si="574"/>
        <v>0</v>
      </c>
      <c r="U402" s="1436">
        <f t="shared" si="575"/>
        <v>0</v>
      </c>
      <c r="V402" s="1436">
        <f t="shared" si="576"/>
        <v>0</v>
      </c>
      <c r="W402" s="1436">
        <f t="shared" si="577"/>
        <v>0</v>
      </c>
      <c r="X402" s="1436">
        <f t="shared" si="578"/>
        <v>0</v>
      </c>
      <c r="Y402" s="1436">
        <f t="shared" si="579"/>
        <v>0</v>
      </c>
      <c r="Z402" s="1436">
        <f t="shared" si="580"/>
        <v>0</v>
      </c>
      <c r="AA402" s="1436">
        <f t="shared" si="581"/>
        <v>0</v>
      </c>
      <c r="AB402" s="1436">
        <f t="shared" si="582"/>
        <v>0</v>
      </c>
      <c r="AC402" s="1436">
        <f t="shared" si="584"/>
        <v>0</v>
      </c>
      <c r="AD402" s="1436">
        <f t="shared" si="583"/>
        <v>0</v>
      </c>
      <c r="AE402" s="1430"/>
      <c r="AF402" s="1430"/>
      <c r="AG402" s="1737" t="str">
        <f t="shared" si="585"/>
        <v>Showers</v>
      </c>
      <c r="AH402" s="1737">
        <f t="shared" si="585"/>
        <v>0</v>
      </c>
      <c r="AI402" s="1737">
        <f>CA386</f>
        <v>0</v>
      </c>
      <c r="AJ402" s="1737">
        <f t="shared" si="586"/>
        <v>0</v>
      </c>
      <c r="AK402" s="1920"/>
      <c r="AL402" s="1920"/>
      <c r="AM402" s="1920"/>
      <c r="AN402" s="1920"/>
      <c r="AO402" s="1920"/>
      <c r="AP402" s="1920"/>
      <c r="AQ402" s="1920"/>
      <c r="AR402" s="1920"/>
      <c r="AS402" s="1920"/>
      <c r="AT402" s="1920"/>
      <c r="AU402" s="1920"/>
      <c r="AV402" s="1920"/>
      <c r="AW402" s="1430"/>
      <c r="AX402" s="1430"/>
      <c r="AY402" s="1430"/>
      <c r="AZ402" s="1430"/>
      <c r="BA402" s="1430"/>
      <c r="BB402" s="1430"/>
      <c r="BC402" s="1430"/>
      <c r="BD402" s="1422"/>
      <c r="BE402" s="1929"/>
      <c r="BF402" s="1929"/>
      <c r="BG402" s="1929"/>
      <c r="BH402" s="1530"/>
      <c r="BI402" s="1930"/>
      <c r="BJ402" s="1930"/>
      <c r="BK402" s="1930"/>
      <c r="BL402" s="1930"/>
      <c r="BM402" s="1930"/>
      <c r="BN402" s="1930"/>
      <c r="BO402" s="1930"/>
      <c r="BP402" s="1930"/>
      <c r="BQ402" s="1930"/>
      <c r="BR402" s="1930"/>
      <c r="BS402" s="1930"/>
      <c r="BT402" s="1930"/>
      <c r="BU402" s="1930"/>
      <c r="BV402" s="1930"/>
      <c r="BW402" s="1930"/>
      <c r="BX402" s="1930"/>
      <c r="BY402" s="1930"/>
      <c r="BZ402" s="1930"/>
      <c r="CA402" s="1930"/>
      <c r="CB402" s="1930"/>
      <c r="CC402" s="1930"/>
      <c r="CD402" s="1930"/>
      <c r="CE402" s="1930"/>
      <c r="CF402" s="1930"/>
      <c r="CG402" s="1930"/>
      <c r="CH402" s="1930"/>
      <c r="CI402" s="1930"/>
      <c r="CJ402" s="1930"/>
      <c r="CK402" s="1930"/>
      <c r="CL402" s="1930"/>
      <c r="CM402" s="1930"/>
      <c r="CN402" s="1930"/>
      <c r="CO402" s="1930"/>
      <c r="CP402" s="1930"/>
      <c r="CQ402" s="1930"/>
      <c r="CR402" s="1930"/>
      <c r="CS402" s="1930"/>
      <c r="CT402" s="1930"/>
      <c r="CU402" s="1930"/>
      <c r="CV402" s="1930"/>
      <c r="CW402" s="1930"/>
      <c r="CX402" s="1930"/>
      <c r="CY402" s="1930"/>
      <c r="CZ402" s="1930"/>
      <c r="DA402" s="1930"/>
      <c r="DB402" s="1930"/>
      <c r="DC402" s="1930"/>
      <c r="DD402" s="1930"/>
      <c r="DE402" s="1930"/>
      <c r="DF402" s="1930"/>
      <c r="DG402" s="1530"/>
      <c r="DH402" s="1530"/>
      <c r="DJ402" s="1427"/>
      <c r="DK402" s="1427"/>
      <c r="DL402" s="1427"/>
      <c r="DM402" s="1427"/>
      <c r="DN402" s="1427"/>
      <c r="DO402" s="1427"/>
      <c r="DP402" s="1427"/>
      <c r="DR402" s="1427"/>
      <c r="DS402" s="1427"/>
      <c r="DT402" s="1427"/>
      <c r="DU402" s="1427"/>
      <c r="DV402" s="1427"/>
      <c r="DW402" s="1427"/>
      <c r="DX402" s="1427"/>
      <c r="DY402" s="1427"/>
      <c r="DZ402" s="1427"/>
      <c r="EA402" s="1427"/>
      <c r="EB402" s="1427"/>
      <c r="EC402" s="1427"/>
      <c r="ED402" s="1427"/>
      <c r="EE402" s="1427"/>
      <c r="EF402" s="1427"/>
      <c r="EG402" s="1427"/>
      <c r="EH402" s="1427"/>
      <c r="EI402" s="1427"/>
      <c r="EJ402" s="1427"/>
      <c r="EK402" s="1427"/>
      <c r="EL402" s="1427"/>
      <c r="EM402" s="1427"/>
      <c r="EN402" s="1427"/>
      <c r="EO402" s="1427"/>
      <c r="EP402" s="1427"/>
      <c r="EQ402" s="1427"/>
      <c r="ER402" s="1427"/>
      <c r="ES402" s="1427"/>
      <c r="ET402" s="1427"/>
      <c r="EU402" s="1427"/>
    </row>
    <row r="403" spans="1:151" s="1440" customFormat="1">
      <c r="A403" s="1594"/>
      <c r="G403" s="1475"/>
      <c r="L403" s="1586"/>
      <c r="M403" s="1586"/>
      <c r="N403" s="1430"/>
      <c r="O403" s="1430"/>
      <c r="P403" s="1640" t="s">
        <v>803</v>
      </c>
      <c r="Q403" s="1436">
        <f t="shared" si="571"/>
        <v>0</v>
      </c>
      <c r="R403" s="1436">
        <f t="shared" si="572"/>
        <v>0</v>
      </c>
      <c r="S403" s="1436">
        <f t="shared" si="573"/>
        <v>0</v>
      </c>
      <c r="T403" s="1436">
        <f t="shared" si="574"/>
        <v>0</v>
      </c>
      <c r="U403" s="1436">
        <f t="shared" si="575"/>
        <v>0</v>
      </c>
      <c r="V403" s="1436">
        <f t="shared" si="576"/>
        <v>0</v>
      </c>
      <c r="W403" s="1436">
        <f t="shared" si="577"/>
        <v>0</v>
      </c>
      <c r="X403" s="1436">
        <f t="shared" si="578"/>
        <v>0</v>
      </c>
      <c r="Y403" s="1436">
        <f t="shared" si="579"/>
        <v>0</v>
      </c>
      <c r="Z403" s="1436">
        <f t="shared" si="580"/>
        <v>0</v>
      </c>
      <c r="AA403" s="1436">
        <f t="shared" si="581"/>
        <v>0</v>
      </c>
      <c r="AB403" s="1436">
        <f t="shared" si="582"/>
        <v>0</v>
      </c>
      <c r="AC403" s="1436">
        <f t="shared" si="584"/>
        <v>0</v>
      </c>
      <c r="AD403" s="1436">
        <f t="shared" si="583"/>
        <v>0</v>
      </c>
      <c r="AE403" s="1430"/>
      <c r="AF403" s="1430"/>
      <c r="AG403" s="1737" t="str">
        <f t="shared" si="585"/>
        <v>Heat Rejection</v>
      </c>
      <c r="AH403" s="1737">
        <f t="shared" si="585"/>
        <v>0</v>
      </c>
      <c r="AI403" s="1737">
        <f>CD386</f>
        <v>0</v>
      </c>
      <c r="AJ403" s="1737">
        <f t="shared" si="586"/>
        <v>0</v>
      </c>
      <c r="AK403" s="1920"/>
      <c r="AL403" s="1920"/>
      <c r="AM403" s="1920"/>
      <c r="AN403" s="1920"/>
      <c r="AO403" s="1932"/>
      <c r="AP403" s="1932"/>
      <c r="AQ403" s="1932"/>
      <c r="AR403" s="1932"/>
      <c r="AS403" s="1932"/>
      <c r="AT403" s="1932"/>
      <c r="AU403" s="1932"/>
      <c r="AV403" s="1932"/>
      <c r="AW403" s="1908"/>
      <c r="AX403" s="1908"/>
      <c r="AY403" s="1908"/>
      <c r="AZ403" s="1908"/>
      <c r="BA403" s="1908"/>
      <c r="BB403" s="1908"/>
      <c r="BC403" s="1908"/>
      <c r="BD403" s="1422"/>
      <c r="BE403" s="1929"/>
      <c r="BF403" s="1929"/>
      <c r="BG403" s="1929"/>
      <c r="BH403" s="1530"/>
      <c r="BI403" s="1930"/>
      <c r="BJ403" s="1930"/>
      <c r="BK403" s="1930"/>
      <c r="BL403" s="1930"/>
      <c r="BM403" s="1930"/>
      <c r="BN403" s="1930"/>
      <c r="BO403" s="1930"/>
      <c r="BP403" s="1930"/>
      <c r="BQ403" s="1930"/>
      <c r="BR403" s="1930"/>
      <c r="BS403" s="1930"/>
      <c r="BT403" s="1930"/>
      <c r="BU403" s="1930"/>
      <c r="BV403" s="1930"/>
      <c r="BW403" s="1930"/>
      <c r="BX403" s="1930"/>
      <c r="BY403" s="1930"/>
      <c r="BZ403" s="1930"/>
      <c r="CA403" s="1930"/>
      <c r="CB403" s="1930"/>
      <c r="CC403" s="1930"/>
      <c r="CD403" s="1930"/>
      <c r="CE403" s="1930"/>
      <c r="CF403" s="1930"/>
      <c r="CG403" s="1930"/>
      <c r="CH403" s="1930"/>
      <c r="CI403" s="1930"/>
      <c r="CJ403" s="1930"/>
      <c r="CK403" s="1930"/>
      <c r="CL403" s="1930"/>
      <c r="CM403" s="1930"/>
      <c r="CN403" s="1930"/>
      <c r="CO403" s="1930"/>
      <c r="CP403" s="1930"/>
      <c r="CQ403" s="1930"/>
      <c r="CR403" s="1930"/>
      <c r="CS403" s="1930"/>
      <c r="CT403" s="1930"/>
      <c r="CU403" s="1930"/>
      <c r="CV403" s="1930"/>
      <c r="CW403" s="1930"/>
      <c r="CX403" s="1930"/>
      <c r="CY403" s="1930"/>
      <c r="CZ403" s="1930"/>
      <c r="DA403" s="1930"/>
      <c r="DB403" s="1930"/>
      <c r="DC403" s="1930"/>
      <c r="DD403" s="1930"/>
      <c r="DE403" s="1930"/>
      <c r="DF403" s="1930"/>
      <c r="DG403" s="1530"/>
      <c r="DH403" s="1530"/>
      <c r="DJ403" s="1427"/>
      <c r="DK403" s="1427"/>
      <c r="DL403" s="1427"/>
      <c r="DM403" s="1427"/>
      <c r="DN403" s="1427"/>
      <c r="DO403" s="1427"/>
      <c r="DP403" s="1427"/>
      <c r="DR403" s="1427"/>
      <c r="DS403" s="1427"/>
      <c r="DT403" s="1427"/>
      <c r="DU403" s="1427"/>
      <c r="DV403" s="1427"/>
      <c r="DW403" s="1427"/>
      <c r="DX403" s="1427"/>
      <c r="DY403" s="1427"/>
      <c r="DZ403" s="1427"/>
      <c r="EA403" s="1427"/>
      <c r="EB403" s="1427"/>
      <c r="EC403" s="1427"/>
      <c r="ED403" s="1427"/>
      <c r="EE403" s="1427"/>
      <c r="EF403" s="1427"/>
      <c r="EG403" s="1427"/>
      <c r="EH403" s="1427"/>
      <c r="EI403" s="1427"/>
      <c r="EJ403" s="1427"/>
      <c r="EK403" s="1427"/>
      <c r="EL403" s="1427"/>
      <c r="EM403" s="1427"/>
      <c r="EN403" s="1427"/>
      <c r="EO403" s="1427"/>
      <c r="EP403" s="1427"/>
      <c r="EQ403" s="1427"/>
      <c r="ER403" s="1427"/>
      <c r="ES403" s="1427"/>
      <c r="ET403" s="1427"/>
      <c r="EU403" s="1427"/>
    </row>
    <row r="404" spans="1:151" s="1440" customFormat="1">
      <c r="A404" s="1594"/>
      <c r="B404" s="1933" t="s">
        <v>1880</v>
      </c>
      <c r="C404" s="1933"/>
      <c r="D404" s="1933"/>
      <c r="E404" s="1933"/>
      <c r="F404" s="1934" t="s">
        <v>368</v>
      </c>
      <c r="G404" s="1475"/>
      <c r="L404" s="1586"/>
      <c r="M404" s="1586"/>
      <c r="N404" s="1430"/>
      <c r="O404" s="1430"/>
      <c r="P404" s="1640" t="s">
        <v>804</v>
      </c>
      <c r="Q404" s="1436">
        <f t="shared" si="571"/>
        <v>0</v>
      </c>
      <c r="R404" s="1436">
        <f t="shared" si="572"/>
        <v>0</v>
      </c>
      <c r="S404" s="1436">
        <f t="shared" si="573"/>
        <v>0</v>
      </c>
      <c r="T404" s="1436">
        <f t="shared" si="574"/>
        <v>0</v>
      </c>
      <c r="U404" s="1436">
        <f t="shared" si="575"/>
        <v>0</v>
      </c>
      <c r="V404" s="1436">
        <f t="shared" si="576"/>
        <v>0</v>
      </c>
      <c r="W404" s="1436">
        <f t="shared" si="577"/>
        <v>0</v>
      </c>
      <c r="X404" s="1436">
        <f t="shared" si="578"/>
        <v>0</v>
      </c>
      <c r="Y404" s="1436">
        <f t="shared" si="579"/>
        <v>0</v>
      </c>
      <c r="Z404" s="1436">
        <f t="shared" si="580"/>
        <v>0</v>
      </c>
      <c r="AA404" s="1436">
        <f t="shared" si="581"/>
        <v>0</v>
      </c>
      <c r="AB404" s="1436">
        <f t="shared" si="582"/>
        <v>0</v>
      </c>
      <c r="AC404" s="1436">
        <f t="shared" si="584"/>
        <v>0</v>
      </c>
      <c r="AD404" s="1436">
        <f t="shared" si="583"/>
        <v>0</v>
      </c>
      <c r="AE404" s="1430"/>
      <c r="AF404" s="1430"/>
      <c r="AG404" s="1737" t="str">
        <f t="shared" si="585"/>
        <v>Irrigation</v>
      </c>
      <c r="AH404" s="1737">
        <f t="shared" si="585"/>
        <v>0</v>
      </c>
      <c r="AI404" s="1737">
        <f>CG386</f>
        <v>0</v>
      </c>
      <c r="AJ404" s="1737">
        <f t="shared" si="586"/>
        <v>0</v>
      </c>
      <c r="AK404" s="1920"/>
      <c r="AL404" s="1920"/>
      <c r="AM404" s="1920"/>
      <c r="AN404" s="1920"/>
      <c r="AO404" s="1920"/>
      <c r="AP404" s="1920"/>
      <c r="AQ404" s="1920"/>
      <c r="AR404" s="1920"/>
      <c r="AS404" s="1920"/>
      <c r="AT404" s="1920"/>
      <c r="AU404" s="1920"/>
      <c r="AV404" s="1920"/>
      <c r="AW404" s="1430"/>
      <c r="AX404" s="1430"/>
      <c r="AY404" s="1430"/>
      <c r="AZ404" s="1430"/>
      <c r="BA404" s="1430"/>
      <c r="BB404" s="1430"/>
      <c r="BC404" s="1430"/>
      <c r="BD404" s="1422"/>
      <c r="BE404" s="1929"/>
      <c r="BF404" s="1929"/>
      <c r="BG404" s="1929"/>
      <c r="BH404" s="1530"/>
      <c r="BI404" s="1930"/>
      <c r="BJ404" s="1930"/>
      <c r="BK404" s="1930"/>
      <c r="BL404" s="1930"/>
      <c r="BM404" s="1930"/>
      <c r="BN404" s="1930"/>
      <c r="BO404" s="1930"/>
      <c r="BP404" s="1935"/>
      <c r="BQ404" s="1935"/>
      <c r="BR404" s="1935"/>
      <c r="BS404" s="1935"/>
      <c r="BT404" s="1935"/>
      <c r="BU404" s="1935"/>
      <c r="BV404" s="1935"/>
      <c r="BW404" s="1935"/>
      <c r="BX404" s="1935"/>
      <c r="BY404" s="1935"/>
      <c r="BZ404" s="1935"/>
      <c r="CA404" s="1935"/>
      <c r="CB404" s="1935"/>
      <c r="CC404" s="1935"/>
      <c r="CD404" s="1935"/>
      <c r="CE404" s="1935"/>
      <c r="CF404" s="1935"/>
      <c r="CG404" s="1935"/>
      <c r="CH404" s="1935"/>
      <c r="CI404" s="1935"/>
      <c r="CJ404" s="1935"/>
      <c r="CK404" s="1935"/>
      <c r="CL404" s="1935"/>
      <c r="CM404" s="1935"/>
      <c r="CN404" s="1935"/>
      <c r="CO404" s="1935"/>
      <c r="CP404" s="1935"/>
      <c r="CQ404" s="1935"/>
      <c r="CR404" s="1935"/>
      <c r="CS404" s="1935"/>
      <c r="CT404" s="1935"/>
      <c r="CU404" s="1935"/>
      <c r="CV404" s="1935"/>
      <c r="CW404" s="1935"/>
      <c r="CX404" s="1935"/>
      <c r="CY404" s="1935"/>
      <c r="CZ404" s="1930"/>
      <c r="DA404" s="1930"/>
      <c r="DB404" s="1930"/>
      <c r="DC404" s="1930"/>
      <c r="DD404" s="1930"/>
      <c r="DE404" s="1930"/>
      <c r="DF404" s="1930"/>
      <c r="DG404" s="1530"/>
      <c r="DH404" s="1530"/>
      <c r="DJ404" s="1427"/>
      <c r="DK404" s="1427"/>
      <c r="DL404" s="1427"/>
      <c r="DM404" s="1427"/>
      <c r="DN404" s="1427"/>
      <c r="DO404" s="1427"/>
      <c r="DP404" s="1427"/>
      <c r="DR404" s="1427"/>
      <c r="DS404" s="1427"/>
      <c r="DT404" s="1427"/>
      <c r="DU404" s="1427"/>
      <c r="DV404" s="1427"/>
      <c r="DW404" s="1427"/>
      <c r="DX404" s="1427"/>
      <c r="DY404" s="1427"/>
      <c r="DZ404" s="1427"/>
      <c r="EA404" s="1427"/>
      <c r="EB404" s="1427"/>
      <c r="EC404" s="1427"/>
      <c r="ED404" s="1427"/>
      <c r="EE404" s="1427"/>
      <c r="EF404" s="1427"/>
      <c r="EG404" s="1427"/>
      <c r="EH404" s="1427"/>
      <c r="EI404" s="1427"/>
      <c r="EJ404" s="1427"/>
      <c r="EK404" s="1427"/>
      <c r="EL404" s="1427"/>
      <c r="EM404" s="1427"/>
      <c r="EN404" s="1427"/>
      <c r="EO404" s="1427"/>
      <c r="EP404" s="1427"/>
      <c r="EQ404" s="1427"/>
      <c r="ER404" s="1427"/>
      <c r="ES404" s="1427"/>
      <c r="ET404" s="1427"/>
      <c r="EU404" s="1427"/>
    </row>
    <row r="405" spans="1:151" s="1440" customFormat="1" ht="24.75" customHeight="1">
      <c r="A405" s="1586"/>
      <c r="B405" s="2446" t="s">
        <v>1951</v>
      </c>
      <c r="C405" s="2446"/>
      <c r="D405" s="2446"/>
      <c r="E405" s="1596" t="s">
        <v>2306</v>
      </c>
      <c r="F405" s="1936"/>
      <c r="G405" s="1586"/>
      <c r="H405" s="1586"/>
      <c r="I405" s="1586"/>
      <c r="J405" s="1586"/>
      <c r="K405" s="1586"/>
      <c r="L405" s="1586"/>
      <c r="M405" s="1586"/>
      <c r="N405" s="1430"/>
      <c r="O405" s="1430"/>
      <c r="P405" s="1640" t="s">
        <v>1603</v>
      </c>
      <c r="Q405" s="1436">
        <f t="shared" si="571"/>
        <v>0</v>
      </c>
      <c r="R405" s="1436">
        <f t="shared" si="572"/>
        <v>0</v>
      </c>
      <c r="S405" s="1436">
        <f t="shared" si="573"/>
        <v>0</v>
      </c>
      <c r="T405" s="1436">
        <f t="shared" si="574"/>
        <v>0</v>
      </c>
      <c r="U405" s="1436">
        <f t="shared" si="575"/>
        <v>0</v>
      </c>
      <c r="V405" s="1436">
        <f t="shared" si="576"/>
        <v>0</v>
      </c>
      <c r="W405" s="1436">
        <f t="shared" si="577"/>
        <v>0</v>
      </c>
      <c r="X405" s="1436">
        <f t="shared" si="578"/>
        <v>0</v>
      </c>
      <c r="Y405" s="1436">
        <f t="shared" si="579"/>
        <v>0</v>
      </c>
      <c r="Z405" s="1436">
        <f t="shared" si="580"/>
        <v>0</v>
      </c>
      <c r="AA405" s="1436">
        <f t="shared" si="581"/>
        <v>0</v>
      </c>
      <c r="AB405" s="1436">
        <f t="shared" si="582"/>
        <v>0</v>
      </c>
      <c r="AC405" s="1436">
        <f t="shared" si="584"/>
        <v>0</v>
      </c>
      <c r="AD405" s="1436">
        <f t="shared" si="583"/>
        <v>0</v>
      </c>
      <c r="AE405" s="1430"/>
      <c r="AF405" s="1430"/>
      <c r="AG405" s="1737" t="str">
        <f t="shared" si="585"/>
        <v>Swimming pool</v>
      </c>
      <c r="AH405" s="1737">
        <f>D245</f>
        <v>0</v>
      </c>
      <c r="AI405" s="1737">
        <f>CJ386</f>
        <v>0</v>
      </c>
      <c r="AJ405" s="1737">
        <f t="shared" si="586"/>
        <v>0</v>
      </c>
      <c r="AK405" s="1920"/>
      <c r="AL405" s="1920"/>
      <c r="AM405" s="1920"/>
      <c r="AN405" s="1920"/>
      <c r="AO405" s="1920"/>
      <c r="AP405" s="1920"/>
      <c r="AQ405" s="1920"/>
      <c r="AR405" s="1920"/>
      <c r="AS405" s="1920"/>
      <c r="AT405" s="1920"/>
      <c r="AU405" s="1920"/>
      <c r="AV405" s="1920"/>
      <c r="AW405" s="1430"/>
      <c r="AX405" s="1430"/>
      <c r="AY405" s="1430"/>
      <c r="AZ405" s="1430"/>
      <c r="BA405" s="1430"/>
      <c r="BB405" s="1430"/>
      <c r="BC405" s="1430"/>
      <c r="BD405" s="1422"/>
      <c r="BE405" s="1929"/>
      <c r="BF405" s="1929"/>
      <c r="BG405" s="1929"/>
      <c r="BH405" s="1530"/>
      <c r="BI405" s="1930"/>
      <c r="BJ405" s="1930"/>
      <c r="BK405" s="1930"/>
      <c r="BL405" s="1930"/>
      <c r="BM405" s="1930"/>
      <c r="BN405" s="1930"/>
      <c r="BO405" s="1930"/>
      <c r="BP405" s="1930"/>
      <c r="BQ405" s="1930"/>
      <c r="BR405" s="1930"/>
      <c r="BS405" s="1930"/>
      <c r="BT405" s="1930"/>
      <c r="BU405" s="1930"/>
      <c r="BV405" s="1930"/>
      <c r="BW405" s="1930"/>
      <c r="BX405" s="1930"/>
      <c r="BY405" s="1930"/>
      <c r="BZ405" s="1930"/>
      <c r="CA405" s="1930"/>
      <c r="CB405" s="1930"/>
      <c r="CC405" s="1930"/>
      <c r="CD405" s="1930"/>
      <c r="CE405" s="1930"/>
      <c r="CF405" s="1930"/>
      <c r="CG405" s="1930"/>
      <c r="CH405" s="1930"/>
      <c r="CI405" s="1930"/>
      <c r="CJ405" s="1930"/>
      <c r="CK405" s="1930"/>
      <c r="CL405" s="1930"/>
      <c r="CM405" s="1930"/>
      <c r="CN405" s="1930"/>
      <c r="CO405" s="1930"/>
      <c r="CP405" s="1930"/>
      <c r="CQ405" s="1930"/>
      <c r="CR405" s="1930"/>
      <c r="CS405" s="1930"/>
      <c r="CT405" s="1930"/>
      <c r="CU405" s="1930"/>
      <c r="CV405" s="1930"/>
      <c r="CW405" s="1930"/>
      <c r="CX405" s="1930"/>
      <c r="CY405" s="1930"/>
      <c r="CZ405" s="1930"/>
      <c r="DA405" s="1930"/>
      <c r="DB405" s="1930"/>
      <c r="DC405" s="1930"/>
      <c r="DD405" s="1930"/>
      <c r="DE405" s="1930"/>
      <c r="DF405" s="1930"/>
      <c r="DG405" s="1530"/>
      <c r="DH405" s="1530"/>
      <c r="DJ405" s="1427"/>
      <c r="DK405" s="1427"/>
      <c r="DL405" s="1427"/>
      <c r="DM405" s="1427"/>
      <c r="DN405" s="1427"/>
      <c r="DO405" s="1427"/>
      <c r="DP405" s="1427"/>
      <c r="DR405" s="1427"/>
      <c r="DS405" s="1427"/>
      <c r="DT405" s="1427"/>
      <c r="DU405" s="1427"/>
      <c r="DV405" s="1427"/>
      <c r="DW405" s="1427"/>
      <c r="DX405" s="1427"/>
      <c r="DY405" s="1427"/>
      <c r="DZ405" s="1427"/>
      <c r="EA405" s="1427"/>
      <c r="EB405" s="1427"/>
      <c r="EC405" s="1427"/>
      <c r="ED405" s="1427"/>
      <c r="EE405" s="1427"/>
      <c r="EF405" s="1427"/>
      <c r="EG405" s="1427"/>
      <c r="EH405" s="1427"/>
      <c r="EI405" s="1427"/>
      <c r="EJ405" s="1427"/>
      <c r="EK405" s="1427"/>
      <c r="EL405" s="1427"/>
      <c r="EM405" s="1427"/>
      <c r="EN405" s="1427"/>
      <c r="EO405" s="1427"/>
      <c r="EP405" s="1427"/>
      <c r="EQ405" s="1427"/>
      <c r="ER405" s="1427"/>
      <c r="ES405" s="1427"/>
      <c r="ET405" s="1427"/>
      <c r="EU405" s="1427"/>
    </row>
    <row r="406" spans="1:151" s="1440" customFormat="1" ht="28.5" customHeight="1">
      <c r="A406" s="1594"/>
      <c r="B406" s="1480" t="s">
        <v>1868</v>
      </c>
      <c r="C406" s="1596" t="s">
        <v>1944</v>
      </c>
      <c r="D406" s="1596"/>
      <c r="E406" s="1596" t="s">
        <v>1870</v>
      </c>
      <c r="F406" s="1596" t="s">
        <v>1869</v>
      </c>
      <c r="G406" s="1475"/>
      <c r="L406" s="1586"/>
      <c r="M406" s="1586"/>
      <c r="N406" s="1430"/>
      <c r="O406" s="1430"/>
      <c r="P406" s="1937" t="s">
        <v>32</v>
      </c>
      <c r="Q406" s="1938">
        <f t="shared" ref="Q406:V406" si="587">SUM(Q394:Q405)</f>
        <v>0</v>
      </c>
      <c r="R406" s="1938">
        <f t="shared" si="587"/>
        <v>0</v>
      </c>
      <c r="S406" s="1938">
        <f t="shared" si="587"/>
        <v>0</v>
      </c>
      <c r="T406" s="1938">
        <f t="shared" si="587"/>
        <v>0</v>
      </c>
      <c r="U406" s="1938">
        <f t="shared" si="587"/>
        <v>0</v>
      </c>
      <c r="V406" s="1938">
        <f t="shared" si="587"/>
        <v>0</v>
      </c>
      <c r="W406" s="1938">
        <f t="shared" ref="W406:AB406" si="588">SUM(W394:W405)</f>
        <v>0</v>
      </c>
      <c r="X406" s="1938">
        <f t="shared" si="588"/>
        <v>0</v>
      </c>
      <c r="Y406" s="1938">
        <f t="shared" si="588"/>
        <v>0</v>
      </c>
      <c r="Z406" s="1938">
        <f t="shared" si="588"/>
        <v>0</v>
      </c>
      <c r="AA406" s="1938">
        <f t="shared" si="588"/>
        <v>0</v>
      </c>
      <c r="AB406" s="1938">
        <f t="shared" si="588"/>
        <v>0</v>
      </c>
      <c r="AC406" s="1938">
        <f>SUM(AC394:AC405)</f>
        <v>0</v>
      </c>
      <c r="AD406" s="1938">
        <f>SUM(AD394:AD405)</f>
        <v>0</v>
      </c>
      <c r="AE406" s="1430"/>
      <c r="AF406" s="1430"/>
      <c r="AG406" s="1737" t="str">
        <f t="shared" si="585"/>
        <v>Laundry Facilities</v>
      </c>
      <c r="AH406" s="1737">
        <f>C344</f>
        <v>0</v>
      </c>
      <c r="AI406" s="1737">
        <f>CM386</f>
        <v>0</v>
      </c>
      <c r="AJ406" s="1737">
        <f t="shared" si="586"/>
        <v>0</v>
      </c>
      <c r="AK406" s="1920"/>
      <c r="AL406" s="1920"/>
      <c r="AM406" s="1920"/>
      <c r="AN406" s="1920"/>
      <c r="AO406" s="1920"/>
      <c r="AP406" s="1920"/>
      <c r="AQ406" s="1920"/>
      <c r="AR406" s="1920"/>
      <c r="AS406" s="1920"/>
      <c r="AT406" s="1920"/>
      <c r="AU406" s="1920"/>
      <c r="AV406" s="1920"/>
      <c r="AW406" s="1430"/>
      <c r="AX406" s="1430"/>
      <c r="AY406" s="1430"/>
      <c r="AZ406" s="1430"/>
      <c r="BA406" s="1430"/>
      <c r="BB406" s="1430"/>
      <c r="BC406" s="1430"/>
      <c r="BD406" s="1422"/>
      <c r="BE406" s="1929"/>
      <c r="BF406" s="1929"/>
      <c r="BG406" s="1929"/>
      <c r="BH406" s="1530"/>
      <c r="BI406" s="1930"/>
      <c r="BJ406" s="1930"/>
      <c r="BK406" s="1930"/>
      <c r="BL406" s="1930"/>
      <c r="BM406" s="1930"/>
      <c r="BN406" s="1930"/>
      <c r="BO406" s="1930"/>
      <c r="BP406" s="1930"/>
      <c r="BQ406" s="1930"/>
      <c r="BR406" s="1930"/>
      <c r="BS406" s="1930"/>
      <c r="BT406" s="1930"/>
      <c r="BU406" s="1930"/>
      <c r="BV406" s="1930"/>
      <c r="BW406" s="1930"/>
      <c r="BX406" s="1930"/>
      <c r="BY406" s="1930"/>
      <c r="BZ406" s="1930"/>
      <c r="CA406" s="1930"/>
      <c r="CB406" s="1930"/>
      <c r="CC406" s="1930"/>
      <c r="CD406" s="1930"/>
      <c r="CE406" s="1930"/>
      <c r="CF406" s="1930"/>
      <c r="CG406" s="1930"/>
      <c r="CH406" s="1930"/>
      <c r="CI406" s="1930"/>
      <c r="CJ406" s="1930"/>
      <c r="CK406" s="1930"/>
      <c r="CL406" s="1930"/>
      <c r="CM406" s="1930"/>
      <c r="CN406" s="1930"/>
      <c r="CO406" s="1930"/>
      <c r="CP406" s="1930"/>
      <c r="CQ406" s="1930"/>
      <c r="CR406" s="1930"/>
      <c r="CS406" s="1930"/>
      <c r="CT406" s="1930"/>
      <c r="CU406" s="1930"/>
      <c r="CV406" s="1930"/>
      <c r="CW406" s="1930"/>
      <c r="CX406" s="1930"/>
      <c r="CY406" s="1930"/>
      <c r="CZ406" s="1930"/>
      <c r="DA406" s="1930"/>
      <c r="DB406" s="1930"/>
      <c r="DC406" s="1930"/>
      <c r="DD406" s="1930"/>
      <c r="DE406" s="1930"/>
      <c r="DF406" s="1930"/>
      <c r="DG406" s="1530"/>
      <c r="DH406" s="1530"/>
      <c r="DJ406" s="1427"/>
      <c r="DK406" s="1427"/>
      <c r="DL406" s="1427"/>
      <c r="DM406" s="1427"/>
      <c r="DN406" s="1427"/>
      <c r="DO406" s="1427"/>
      <c r="DP406" s="1427"/>
      <c r="DR406" s="1427"/>
      <c r="DS406" s="1427"/>
      <c r="DT406" s="1427"/>
      <c r="DU406" s="1427"/>
      <c r="DV406" s="1427"/>
      <c r="DW406" s="1427"/>
      <c r="DX406" s="1427"/>
      <c r="DY406" s="1427"/>
      <c r="DZ406" s="1427"/>
      <c r="EA406" s="1427"/>
      <c r="EB406" s="1427"/>
      <c r="EC406" s="1427"/>
      <c r="ED406" s="1427"/>
      <c r="EE406" s="1427"/>
      <c r="EF406" s="1427"/>
      <c r="EG406" s="1427"/>
      <c r="EH406" s="1427"/>
      <c r="EI406" s="1427"/>
      <c r="EJ406" s="1427"/>
      <c r="EK406" s="1427"/>
      <c r="EL406" s="1427"/>
      <c r="EM406" s="1427"/>
      <c r="EN406" s="1427"/>
      <c r="EO406" s="1427"/>
      <c r="EP406" s="1427"/>
      <c r="EQ406" s="1427"/>
      <c r="ER406" s="1427"/>
      <c r="ES406" s="1427"/>
      <c r="ET406" s="1427"/>
      <c r="EU406" s="1427"/>
    </row>
    <row r="407" spans="1:151" s="1440" customFormat="1">
      <c r="A407" s="1594"/>
      <c r="B407" s="1939"/>
      <c r="C407" s="2457"/>
      <c r="D407" s="2458"/>
      <c r="E407" s="1940">
        <f>IFERROR(VLOOKUP(C407,$DJ$367:$DK$370,2,FALSE),0)</f>
        <v>0</v>
      </c>
      <c r="F407" s="1679"/>
      <c r="G407" s="1475"/>
      <c r="L407" s="1586"/>
      <c r="M407" s="1586"/>
      <c r="N407" s="1430"/>
      <c r="O407" s="1430"/>
      <c r="P407" s="1430"/>
      <c r="Q407" s="1430"/>
      <c r="R407" s="1430"/>
      <c r="S407" s="1430"/>
      <c r="T407" s="1430"/>
      <c r="U407" s="1430"/>
      <c r="V407" s="1430"/>
      <c r="W407" s="1430"/>
      <c r="X407" s="1430"/>
      <c r="Y407" s="1430"/>
      <c r="Z407" s="1430"/>
      <c r="AA407" s="1430"/>
      <c r="AB407" s="1430"/>
      <c r="AC407" s="1430"/>
      <c r="AD407" s="1430"/>
      <c r="AE407" s="1430"/>
      <c r="AF407" s="1430"/>
      <c r="AG407" s="1737" t="str">
        <f t="shared" si="585"/>
        <v>Large Kitchens</v>
      </c>
      <c r="AH407" s="1737">
        <f>C345</f>
        <v>0</v>
      </c>
      <c r="AI407" s="1737">
        <f>CP386</f>
        <v>0</v>
      </c>
      <c r="AJ407" s="1737">
        <f t="shared" si="586"/>
        <v>0</v>
      </c>
      <c r="AK407" s="1920"/>
      <c r="AL407" s="1920"/>
      <c r="AM407" s="1920"/>
      <c r="AN407" s="1920"/>
      <c r="AO407" s="1920"/>
      <c r="AP407" s="1920"/>
      <c r="AQ407" s="1920"/>
      <c r="AR407" s="1920"/>
      <c r="AS407" s="1920"/>
      <c r="AT407" s="1920"/>
      <c r="AU407" s="1920"/>
      <c r="AV407" s="1920"/>
      <c r="AW407" s="1430"/>
      <c r="AX407" s="1430"/>
      <c r="AY407" s="1430"/>
      <c r="AZ407" s="1430"/>
      <c r="BA407" s="1430"/>
      <c r="BB407" s="1430"/>
      <c r="BC407" s="1430"/>
      <c r="BD407" s="1422"/>
      <c r="BE407" s="1929"/>
      <c r="BF407" s="1929"/>
      <c r="BG407" s="1929"/>
      <c r="BH407" s="1530"/>
      <c r="BI407" s="1930"/>
      <c r="BJ407" s="1930"/>
      <c r="BK407" s="1930"/>
      <c r="BL407" s="1930"/>
      <c r="BM407" s="1930"/>
      <c r="BN407" s="1930"/>
      <c r="BO407" s="1930"/>
      <c r="BP407" s="1930"/>
      <c r="BQ407" s="1930"/>
      <c r="BR407" s="1930"/>
      <c r="BS407" s="1930"/>
      <c r="BT407" s="1930"/>
      <c r="BU407" s="1930"/>
      <c r="BV407" s="1930"/>
      <c r="BW407" s="1930"/>
      <c r="BX407" s="1930"/>
      <c r="BY407" s="1930"/>
      <c r="BZ407" s="1930"/>
      <c r="CA407" s="1930"/>
      <c r="CB407" s="1930"/>
      <c r="CC407" s="1930"/>
      <c r="CD407" s="1930"/>
      <c r="CE407" s="1930"/>
      <c r="CF407" s="1930"/>
      <c r="CG407" s="1930"/>
      <c r="CH407" s="1930"/>
      <c r="CI407" s="1930"/>
      <c r="CJ407" s="1930"/>
      <c r="CK407" s="1930"/>
      <c r="CL407" s="1930"/>
      <c r="CM407" s="1930"/>
      <c r="CN407" s="1930"/>
      <c r="CO407" s="1930"/>
      <c r="CP407" s="1930"/>
      <c r="CQ407" s="1930"/>
      <c r="CR407" s="1930"/>
      <c r="CS407" s="1930"/>
      <c r="CT407" s="1930"/>
      <c r="CU407" s="1930"/>
      <c r="CV407" s="1930"/>
      <c r="CW407" s="1930"/>
      <c r="CX407" s="1930"/>
      <c r="CY407" s="1930"/>
      <c r="CZ407" s="1930"/>
      <c r="DA407" s="1930"/>
      <c r="DB407" s="1930"/>
      <c r="DC407" s="1930"/>
      <c r="DD407" s="1930"/>
      <c r="DE407" s="1930"/>
      <c r="DF407" s="1930"/>
      <c r="DG407" s="1530"/>
      <c r="DH407" s="1530"/>
      <c r="DJ407" s="1427"/>
      <c r="DK407" s="1427"/>
      <c r="DL407" s="1427"/>
      <c r="DM407" s="1427"/>
      <c r="DN407" s="1427"/>
      <c r="DO407" s="1427"/>
      <c r="DP407" s="1427"/>
      <c r="DR407" s="1427"/>
      <c r="DS407" s="1427"/>
      <c r="DT407" s="1427"/>
      <c r="DU407" s="1427"/>
      <c r="DV407" s="1427"/>
      <c r="DW407" s="1427"/>
      <c r="DX407" s="1427"/>
      <c r="DY407" s="1427"/>
      <c r="DZ407" s="1427"/>
      <c r="EA407" s="1427"/>
      <c r="EB407" s="1427"/>
      <c r="EC407" s="1427"/>
      <c r="ED407" s="1427"/>
      <c r="EE407" s="1427"/>
      <c r="EF407" s="1427"/>
      <c r="EG407" s="1427"/>
      <c r="EH407" s="1427"/>
      <c r="EI407" s="1427"/>
      <c r="EJ407" s="1427"/>
      <c r="EK407" s="1427"/>
      <c r="EL407" s="1427"/>
      <c r="EM407" s="1427"/>
      <c r="EN407" s="1427"/>
      <c r="EO407" s="1427"/>
      <c r="EP407" s="1427"/>
      <c r="EQ407" s="1427"/>
      <c r="ER407" s="1427"/>
      <c r="ES407" s="1427"/>
      <c r="ET407" s="1427"/>
      <c r="EU407" s="1427"/>
    </row>
    <row r="408" spans="1:151" s="1440" customFormat="1" ht="15" customHeight="1">
      <c r="A408" s="1594"/>
      <c r="B408" s="1941"/>
      <c r="C408" s="2451"/>
      <c r="D408" s="2452"/>
      <c r="E408" s="1940">
        <f>IFERROR(VLOOKUP(C408,$DJ$367:$DK$370,2,FALSE),0)</f>
        <v>0</v>
      </c>
      <c r="F408" s="1507"/>
      <c r="G408" s="1475"/>
      <c r="L408" s="1586"/>
      <c r="M408" s="1586"/>
      <c r="N408" s="1430"/>
      <c r="O408" s="1430"/>
      <c r="P408" s="1430"/>
      <c r="Q408" s="1430"/>
      <c r="R408" s="1430"/>
      <c r="S408" s="1430"/>
      <c r="T408" s="1430"/>
      <c r="U408" s="1430"/>
      <c r="V408" s="1430"/>
      <c r="W408" s="1430"/>
      <c r="X408" s="1430"/>
      <c r="Y408" s="1430"/>
      <c r="Z408" s="1430"/>
      <c r="AA408" s="1430"/>
      <c r="AB408" s="1590" t="s">
        <v>1898</v>
      </c>
      <c r="AC408" s="1590"/>
      <c r="AD408" s="1901">
        <f>AD406</f>
        <v>0</v>
      </c>
      <c r="AE408" s="1430"/>
      <c r="AF408" s="1430"/>
      <c r="AG408" s="1737" t="str">
        <f t="shared" si="585"/>
        <v>{Other Water Use 1}</v>
      </c>
      <c r="AH408" s="1737">
        <f>C346</f>
        <v>0</v>
      </c>
      <c r="AI408" s="1737">
        <f>CS386</f>
        <v>0</v>
      </c>
      <c r="AJ408" s="1737">
        <f t="shared" si="586"/>
        <v>0</v>
      </c>
      <c r="AK408" s="1920"/>
      <c r="AL408" s="1920"/>
      <c r="AM408" s="1920"/>
      <c r="AN408" s="1920"/>
      <c r="AO408" s="1920"/>
      <c r="AP408" s="1920"/>
      <c r="AQ408" s="1920"/>
      <c r="AR408" s="1920"/>
      <c r="AS408" s="1920"/>
      <c r="AT408" s="1920"/>
      <c r="AU408" s="1920"/>
      <c r="AV408" s="1920"/>
      <c r="AW408" s="1430"/>
      <c r="AX408" s="1430"/>
      <c r="AY408" s="1430"/>
      <c r="AZ408" s="1430"/>
      <c r="BA408" s="1430"/>
      <c r="BB408" s="1430"/>
      <c r="BC408" s="1430"/>
      <c r="BD408" s="1422"/>
      <c r="BE408" s="1929"/>
      <c r="BF408" s="1929"/>
      <c r="BG408" s="1929"/>
      <c r="BH408" s="1530"/>
      <c r="BI408" s="1930"/>
      <c r="BJ408" s="1930"/>
      <c r="BK408" s="1930"/>
      <c r="BL408" s="1930"/>
      <c r="BM408" s="1930"/>
      <c r="BN408" s="1930"/>
      <c r="BO408" s="1930"/>
      <c r="BP408" s="1930"/>
      <c r="BQ408" s="1930"/>
      <c r="BR408" s="1930"/>
      <c r="BS408" s="1930"/>
      <c r="BT408" s="1930"/>
      <c r="BU408" s="1930"/>
      <c r="BV408" s="1930"/>
      <c r="BW408" s="1930"/>
      <c r="BX408" s="1930"/>
      <c r="BY408" s="1930"/>
      <c r="BZ408" s="1930"/>
      <c r="CA408" s="1930"/>
      <c r="CB408" s="1930"/>
      <c r="CC408" s="1930"/>
      <c r="CD408" s="1930"/>
      <c r="CE408" s="1930"/>
      <c r="CF408" s="1930"/>
      <c r="CG408" s="1930"/>
      <c r="CH408" s="1930"/>
      <c r="CI408" s="1930"/>
      <c r="CJ408" s="1930"/>
      <c r="CK408" s="1930"/>
      <c r="CL408" s="1930"/>
      <c r="CM408" s="1930"/>
      <c r="CN408" s="1930"/>
      <c r="CO408" s="1930"/>
      <c r="CP408" s="1930"/>
      <c r="CQ408" s="1930"/>
      <c r="CR408" s="1930"/>
      <c r="CS408" s="1930"/>
      <c r="CT408" s="1930"/>
      <c r="CU408" s="1930"/>
      <c r="CV408" s="1930"/>
      <c r="CW408" s="1930"/>
      <c r="CX408" s="1930"/>
      <c r="CY408" s="1930"/>
      <c r="CZ408" s="1930"/>
      <c r="DA408" s="1930"/>
      <c r="DB408" s="1930"/>
      <c r="DC408" s="1930"/>
      <c r="DD408" s="1930"/>
      <c r="DE408" s="1930"/>
      <c r="DF408" s="1930"/>
      <c r="DG408" s="1530"/>
      <c r="DH408" s="1530"/>
      <c r="DJ408" s="1427"/>
      <c r="DK408" s="1427"/>
      <c r="DL408" s="1427"/>
      <c r="DM408" s="1427"/>
      <c r="DN408" s="1427"/>
      <c r="DO408" s="1427"/>
      <c r="DP408" s="1427"/>
      <c r="DR408" s="1427"/>
      <c r="DS408" s="1427"/>
      <c r="DT408" s="1427"/>
      <c r="DU408" s="1427"/>
      <c r="DV408" s="1427"/>
      <c r="DW408" s="1427"/>
      <c r="DX408" s="1427"/>
      <c r="DY408" s="1427"/>
      <c r="DZ408" s="1427"/>
      <c r="EA408" s="1427"/>
      <c r="EB408" s="1427"/>
      <c r="EC408" s="1427"/>
      <c r="ED408" s="1427"/>
      <c r="EE408" s="1427"/>
      <c r="EF408" s="1427"/>
      <c r="EG408" s="1427"/>
      <c r="EH408" s="1427"/>
      <c r="EI408" s="1427"/>
      <c r="EJ408" s="1427"/>
      <c r="EK408" s="1427"/>
      <c r="EL408" s="1427"/>
      <c r="EM408" s="1427"/>
      <c r="EN408" s="1427"/>
      <c r="EO408" s="1427"/>
      <c r="EP408" s="1427"/>
      <c r="EQ408" s="1427"/>
      <c r="ER408" s="1427"/>
      <c r="ES408" s="1427"/>
      <c r="ET408" s="1427"/>
      <c r="EU408" s="1427"/>
    </row>
    <row r="409" spans="1:151" s="1440" customFormat="1" ht="21" customHeight="1">
      <c r="A409" s="1594"/>
      <c r="B409" s="1941"/>
      <c r="C409" s="2451"/>
      <c r="D409" s="2452"/>
      <c r="E409" s="1940">
        <f>IFERROR(VLOOKUP(C409,$DJ$367:$DK$370,2,FALSE),0)</f>
        <v>0</v>
      </c>
      <c r="F409" s="1507"/>
      <c r="G409" s="1422"/>
      <c r="L409" s="1586"/>
      <c r="M409" s="1586"/>
      <c r="N409" s="1920"/>
      <c r="O409" s="1920"/>
      <c r="P409" s="1920"/>
      <c r="Q409" s="1920"/>
      <c r="R409" s="1920"/>
      <c r="S409" s="1920"/>
      <c r="T409" s="1920"/>
      <c r="U409" s="1920"/>
      <c r="V409" s="1920"/>
      <c r="W409" s="1920"/>
      <c r="X409" s="1920"/>
      <c r="Y409" s="1920"/>
      <c r="Z409" s="1920"/>
      <c r="AA409" s="1920"/>
      <c r="AB409" s="1920"/>
      <c r="AC409" s="1920"/>
      <c r="AD409" s="1920"/>
      <c r="AE409" s="1430"/>
      <c r="AF409" s="1430"/>
      <c r="AG409" s="1737" t="str">
        <f t="shared" si="585"/>
        <v>{Other Water Use 2}</v>
      </c>
      <c r="AH409" s="1737">
        <f>C347</f>
        <v>0</v>
      </c>
      <c r="AI409" s="1737">
        <f>CV386</f>
        <v>0</v>
      </c>
      <c r="AJ409" s="1737">
        <f t="shared" si="586"/>
        <v>0</v>
      </c>
      <c r="AK409" s="1920"/>
      <c r="AL409" s="1920"/>
      <c r="AM409" s="1920"/>
      <c r="AN409" s="1920"/>
      <c r="AO409" s="1920"/>
      <c r="AP409" s="1920"/>
      <c r="AQ409" s="1920"/>
      <c r="AR409" s="1920"/>
      <c r="AS409" s="1920"/>
      <c r="AT409" s="1920"/>
      <c r="AU409" s="1920"/>
      <c r="AV409" s="1920"/>
      <c r="AW409" s="1430"/>
      <c r="AX409" s="1430"/>
      <c r="AY409" s="1430"/>
      <c r="AZ409" s="1430"/>
      <c r="BA409" s="1430"/>
      <c r="BB409" s="1430"/>
      <c r="BC409" s="1430"/>
      <c r="BD409" s="1422"/>
      <c r="BE409" s="1929"/>
      <c r="BF409" s="1929"/>
      <c r="BG409" s="1929"/>
      <c r="BH409" s="1530"/>
      <c r="BI409" s="1930"/>
      <c r="BJ409" s="1930"/>
      <c r="BK409" s="1930"/>
      <c r="BL409" s="1930"/>
      <c r="BM409" s="1930"/>
      <c r="BN409" s="1930"/>
      <c r="BO409" s="1930"/>
      <c r="BP409" s="1930"/>
      <c r="BQ409" s="1930"/>
      <c r="BR409" s="1930"/>
      <c r="BS409" s="1930"/>
      <c r="BT409" s="1930"/>
      <c r="BU409" s="1930"/>
      <c r="BV409" s="1930"/>
      <c r="BW409" s="1930"/>
      <c r="BX409" s="1930"/>
      <c r="BY409" s="1930"/>
      <c r="BZ409" s="1930"/>
      <c r="CA409" s="1930"/>
      <c r="CB409" s="1930"/>
      <c r="CC409" s="1930"/>
      <c r="CD409" s="1930"/>
      <c r="CE409" s="1930"/>
      <c r="CF409" s="1930"/>
      <c r="CG409" s="1930"/>
      <c r="CH409" s="1930"/>
      <c r="CI409" s="1930"/>
      <c r="CJ409" s="1930"/>
      <c r="CK409" s="1930"/>
      <c r="CL409" s="1930"/>
      <c r="CM409" s="1930"/>
      <c r="CN409" s="1930"/>
      <c r="CO409" s="1930"/>
      <c r="CP409" s="1930"/>
      <c r="CQ409" s="1930"/>
      <c r="CR409" s="1930"/>
      <c r="CS409" s="1930"/>
      <c r="CT409" s="1930"/>
      <c r="CU409" s="1930"/>
      <c r="CV409" s="1930"/>
      <c r="CW409" s="1930"/>
      <c r="CX409" s="1930"/>
      <c r="CY409" s="1930"/>
      <c r="CZ409" s="1930"/>
      <c r="DA409" s="1930"/>
      <c r="DB409" s="1930"/>
      <c r="DC409" s="1930"/>
      <c r="DD409" s="1930"/>
      <c r="DE409" s="1930"/>
      <c r="DF409" s="1930"/>
      <c r="DG409" s="1530"/>
      <c r="DH409" s="1530"/>
      <c r="DJ409" s="1427"/>
      <c r="DK409" s="1427"/>
      <c r="DL409" s="1427"/>
      <c r="DM409" s="1427"/>
      <c r="DN409" s="1427"/>
      <c r="DO409" s="1427"/>
      <c r="DP409" s="1427"/>
      <c r="DR409" s="1427"/>
      <c r="DS409" s="1427"/>
      <c r="DT409" s="1427"/>
      <c r="DU409" s="1427"/>
      <c r="DV409" s="1427"/>
      <c r="DW409" s="1427"/>
      <c r="DX409" s="1427"/>
      <c r="DY409" s="1427"/>
      <c r="DZ409" s="1427"/>
      <c r="EA409" s="1427"/>
      <c r="EB409" s="1427"/>
      <c r="EC409" s="1427"/>
      <c r="ED409" s="1427"/>
      <c r="EE409" s="1427"/>
      <c r="EF409" s="1427"/>
      <c r="EG409" s="1427"/>
      <c r="EH409" s="1427"/>
      <c r="EI409" s="1427"/>
      <c r="EJ409" s="1427"/>
      <c r="EK409" s="1427"/>
      <c r="EL409" s="1427"/>
      <c r="EM409" s="1427"/>
      <c r="EN409" s="1427"/>
      <c r="EO409" s="1427"/>
      <c r="EP409" s="1427"/>
      <c r="EQ409" s="1427"/>
      <c r="ER409" s="1427"/>
      <c r="ES409" s="1427"/>
      <c r="ET409" s="1427"/>
      <c r="EU409" s="1427"/>
    </row>
    <row r="410" spans="1:151" s="1440" customFormat="1" ht="21" customHeight="1">
      <c r="A410" s="1594"/>
      <c r="B410" s="1941"/>
      <c r="C410" s="2451"/>
      <c r="D410" s="2452"/>
      <c r="E410" s="1940">
        <f>IFERROR(VLOOKUP(C410,$DJ$367:$DK$370,2,FALSE),0)</f>
        <v>0</v>
      </c>
      <c r="F410" s="1507"/>
      <c r="L410" s="1475"/>
      <c r="M410" s="1475"/>
      <c r="N410" s="1920"/>
      <c r="O410" s="1920"/>
      <c r="P410" s="1920"/>
      <c r="Q410" s="1920"/>
      <c r="R410" s="1920"/>
      <c r="S410" s="1920"/>
      <c r="T410" s="1920"/>
      <c r="U410" s="1920"/>
      <c r="V410" s="1920"/>
      <c r="W410" s="1920"/>
      <c r="X410" s="1920"/>
      <c r="Y410" s="1920"/>
      <c r="Z410" s="1920"/>
      <c r="AA410" s="1920"/>
      <c r="AB410" s="1920"/>
      <c r="AC410" s="1920"/>
      <c r="AD410" s="1920"/>
      <c r="AE410" s="1430"/>
      <c r="AF410" s="1430"/>
      <c r="AG410" s="1737" t="str">
        <f t="shared" si="585"/>
        <v>{Other Water Use 3}</v>
      </c>
      <c r="AH410" s="1737">
        <f>C348</f>
        <v>0</v>
      </c>
      <c r="AI410" s="1737">
        <f>CY386</f>
        <v>0</v>
      </c>
      <c r="AJ410" s="1737">
        <f t="shared" si="586"/>
        <v>0</v>
      </c>
      <c r="AK410" s="1920"/>
      <c r="AL410" s="1920"/>
      <c r="AM410" s="1920"/>
      <c r="AN410" s="1920"/>
      <c r="AO410" s="1920"/>
      <c r="AP410" s="1920"/>
      <c r="AQ410" s="1920"/>
      <c r="AR410" s="1920"/>
      <c r="AS410" s="1920"/>
      <c r="AT410" s="1920"/>
      <c r="AU410" s="1920"/>
      <c r="AV410" s="1920"/>
      <c r="AW410" s="1430"/>
      <c r="AX410" s="1430"/>
      <c r="AY410" s="1430"/>
      <c r="AZ410" s="1430"/>
      <c r="BA410" s="1430"/>
      <c r="BB410" s="1430"/>
      <c r="BC410" s="1430"/>
      <c r="BD410" s="1422"/>
      <c r="BE410" s="1929"/>
      <c r="BF410" s="1929"/>
      <c r="BG410" s="1929"/>
      <c r="BH410" s="1530"/>
      <c r="BI410" s="1930"/>
      <c r="BJ410" s="1930"/>
      <c r="BK410" s="1930"/>
      <c r="BL410" s="1930"/>
      <c r="BM410" s="1930"/>
      <c r="BN410" s="1930"/>
      <c r="BO410" s="1930"/>
      <c r="BP410" s="1930"/>
      <c r="BQ410" s="1930"/>
      <c r="BR410" s="1930"/>
      <c r="BS410" s="1930"/>
      <c r="BT410" s="1930"/>
      <c r="BU410" s="1930"/>
      <c r="BV410" s="1930"/>
      <c r="BW410" s="1930"/>
      <c r="BX410" s="1930"/>
      <c r="BY410" s="1930"/>
      <c r="BZ410" s="1930"/>
      <c r="CA410" s="1930"/>
      <c r="CB410" s="1930"/>
      <c r="CC410" s="1930"/>
      <c r="CD410" s="1930"/>
      <c r="CE410" s="1930"/>
      <c r="CF410" s="1930"/>
      <c r="CG410" s="1930"/>
      <c r="CH410" s="1930"/>
      <c r="CI410" s="1930"/>
      <c r="CJ410" s="1930"/>
      <c r="CK410" s="1930"/>
      <c r="CL410" s="1930"/>
      <c r="CM410" s="1930"/>
      <c r="CN410" s="1930"/>
      <c r="CO410" s="1930"/>
      <c r="CP410" s="1930"/>
      <c r="CQ410" s="1930"/>
      <c r="CR410" s="1930"/>
      <c r="CS410" s="1930"/>
      <c r="CT410" s="1930"/>
      <c r="CU410" s="1930"/>
      <c r="CV410" s="1930"/>
      <c r="CW410" s="1930"/>
      <c r="CX410" s="1930"/>
      <c r="CY410" s="1930"/>
      <c r="CZ410" s="1930"/>
      <c r="DA410" s="1930"/>
      <c r="DB410" s="1930"/>
      <c r="DC410" s="1930"/>
      <c r="DD410" s="1930"/>
      <c r="DE410" s="1930"/>
      <c r="DF410" s="1930"/>
      <c r="DG410" s="1530"/>
      <c r="DH410" s="1530"/>
      <c r="DJ410" s="1427"/>
      <c r="DK410" s="1427"/>
      <c r="DL410" s="1427"/>
      <c r="DM410" s="1427"/>
      <c r="DN410" s="1427"/>
      <c r="DO410" s="1427"/>
      <c r="DP410" s="1427"/>
      <c r="DR410" s="1427"/>
      <c r="DS410" s="1427"/>
      <c r="DT410" s="1427"/>
      <c r="DU410" s="1427"/>
      <c r="DV410" s="1427"/>
      <c r="DW410" s="1427"/>
      <c r="DX410" s="1427"/>
      <c r="DY410" s="1427"/>
      <c r="DZ410" s="1427"/>
      <c r="EA410" s="1427"/>
      <c r="EB410" s="1427"/>
      <c r="EC410" s="1427"/>
      <c r="ED410" s="1427"/>
      <c r="EE410" s="1427"/>
      <c r="EF410" s="1427"/>
      <c r="EG410" s="1427"/>
      <c r="EH410" s="1427"/>
      <c r="EI410" s="1427"/>
      <c r="EJ410" s="1427"/>
      <c r="EK410" s="1427"/>
      <c r="EL410" s="1427"/>
      <c r="EM410" s="1427"/>
      <c r="EN410" s="1427"/>
      <c r="EO410" s="1427"/>
      <c r="EP410" s="1427"/>
      <c r="EQ410" s="1427"/>
      <c r="ER410" s="1427"/>
      <c r="ES410" s="1427"/>
      <c r="ET410" s="1427"/>
      <c r="EU410" s="1427"/>
    </row>
    <row r="411" spans="1:151" s="1440" customFormat="1" ht="18.75" customHeight="1">
      <c r="A411" s="1594"/>
      <c r="B411" s="2453" t="s">
        <v>1952</v>
      </c>
      <c r="C411" s="2453"/>
      <c r="D411" s="2453"/>
      <c r="E411" s="2453"/>
      <c r="F411" s="1942">
        <f>BO386</f>
        <v>0</v>
      </c>
      <c r="L411" s="1475"/>
      <c r="M411" s="1475"/>
      <c r="N411" s="1430"/>
      <c r="O411" s="1430"/>
      <c r="P411" s="1430"/>
      <c r="Q411" s="1430"/>
      <c r="R411" s="1430"/>
      <c r="S411" s="1430"/>
      <c r="T411" s="1430"/>
      <c r="U411" s="1430"/>
      <c r="V411" s="1430"/>
      <c r="W411" s="1430"/>
      <c r="X411" s="1430"/>
      <c r="Y411" s="1430"/>
      <c r="Z411" s="1430"/>
      <c r="AA411" s="1430"/>
      <c r="AB411" s="1430"/>
      <c r="AC411" s="1430"/>
      <c r="AD411" s="1430"/>
      <c r="AE411" s="1430"/>
      <c r="AF411" s="1430"/>
      <c r="AG411" s="1920"/>
      <c r="AH411" s="1943">
        <f>SUM(AH399:AH405)</f>
        <v>0</v>
      </c>
      <c r="AI411" s="1943">
        <f>SUM(AI399:AI410)</f>
        <v>0</v>
      </c>
      <c r="AJ411" s="1943">
        <f>SUM(AJ399:AJ410)</f>
        <v>0</v>
      </c>
      <c r="AK411" s="1920"/>
      <c r="AL411" s="1920"/>
      <c r="AM411" s="1920"/>
      <c r="AN411" s="1920"/>
      <c r="AO411" s="1894"/>
      <c r="AP411" s="1894"/>
      <c r="AQ411" s="1894"/>
      <c r="AR411" s="1894"/>
      <c r="AS411" s="1894"/>
      <c r="AT411" s="1894"/>
      <c r="AU411" s="1894"/>
      <c r="AV411" s="1944"/>
      <c r="AW411" s="1430"/>
      <c r="AX411" s="1430"/>
      <c r="AY411" s="1430"/>
      <c r="AZ411" s="1430"/>
      <c r="BA411" s="1430"/>
      <c r="BB411" s="1430"/>
      <c r="BC411" s="1430"/>
      <c r="BD411" s="1422"/>
      <c r="BE411" s="1929"/>
      <c r="BF411" s="1929"/>
      <c r="BG411" s="1929"/>
      <c r="BH411" s="1530"/>
      <c r="BI411" s="1930"/>
      <c r="BJ411" s="1930"/>
      <c r="BK411" s="1930"/>
      <c r="BL411" s="1930"/>
      <c r="BM411" s="1930"/>
      <c r="BN411" s="1930"/>
      <c r="BO411" s="1930"/>
      <c r="BP411" s="1930"/>
      <c r="BQ411" s="1930"/>
      <c r="BR411" s="1930"/>
      <c r="BS411" s="1930"/>
      <c r="BT411" s="1930"/>
      <c r="BU411" s="1930"/>
      <c r="BV411" s="1930"/>
      <c r="BW411" s="1930"/>
      <c r="BX411" s="1930"/>
      <c r="BY411" s="1930"/>
      <c r="BZ411" s="1930"/>
      <c r="CA411" s="1930"/>
      <c r="CB411" s="1930"/>
      <c r="CC411" s="1930"/>
      <c r="CD411" s="1930"/>
      <c r="CE411" s="1930"/>
      <c r="CF411" s="1930"/>
      <c r="CG411" s="1930"/>
      <c r="CH411" s="1930"/>
      <c r="CI411" s="1930"/>
      <c r="CJ411" s="1930"/>
      <c r="CK411" s="1930"/>
      <c r="CL411" s="1930"/>
      <c r="CM411" s="1930"/>
      <c r="CN411" s="1930"/>
      <c r="CO411" s="1930"/>
      <c r="CP411" s="1930"/>
      <c r="CQ411" s="1930"/>
      <c r="CR411" s="1930"/>
      <c r="CS411" s="1930"/>
      <c r="CT411" s="1930"/>
      <c r="CU411" s="1930"/>
      <c r="CV411" s="1930"/>
      <c r="CW411" s="1930"/>
      <c r="CX411" s="1930"/>
      <c r="CY411" s="1930"/>
      <c r="CZ411" s="1930"/>
      <c r="DA411" s="1930"/>
      <c r="DB411" s="1930"/>
      <c r="DC411" s="1930"/>
      <c r="DD411" s="1930"/>
      <c r="DE411" s="1930"/>
      <c r="DF411" s="1930"/>
      <c r="DG411" s="1530"/>
      <c r="DH411" s="1530"/>
      <c r="DJ411" s="1427"/>
      <c r="DK411" s="1427"/>
      <c r="DL411" s="1427"/>
      <c r="DM411" s="1427"/>
      <c r="DN411" s="1427"/>
      <c r="DO411" s="1427"/>
      <c r="DP411" s="1427"/>
      <c r="DR411" s="1427"/>
      <c r="DS411" s="1427"/>
      <c r="DT411" s="1427"/>
      <c r="DU411" s="1427"/>
      <c r="DV411" s="1427"/>
      <c r="DW411" s="1427"/>
      <c r="DX411" s="1427"/>
      <c r="DY411" s="1427"/>
      <c r="DZ411" s="1427"/>
      <c r="EA411" s="1427"/>
      <c r="EB411" s="1427"/>
      <c r="EC411" s="1427"/>
      <c r="ED411" s="1427"/>
      <c r="EE411" s="1427"/>
      <c r="EF411" s="1427"/>
      <c r="EG411" s="1427"/>
      <c r="EH411" s="1427"/>
      <c r="EI411" s="1427"/>
      <c r="EJ411" s="1427"/>
      <c r="EK411" s="1427"/>
      <c r="EL411" s="1427"/>
      <c r="EM411" s="1427"/>
      <c r="EN411" s="1427"/>
      <c r="EO411" s="1427"/>
      <c r="EP411" s="1427"/>
      <c r="EQ411" s="1427"/>
      <c r="ER411" s="1427"/>
      <c r="ES411" s="1427"/>
      <c r="ET411" s="1427"/>
      <c r="EU411" s="1427"/>
    </row>
    <row r="412" spans="1:151" s="1440" customFormat="1" ht="15" customHeight="1">
      <c r="A412" s="1594"/>
      <c r="B412" s="2446" t="s">
        <v>1957</v>
      </c>
      <c r="C412" s="2446"/>
      <c r="D412" s="2446"/>
      <c r="E412" s="1586"/>
      <c r="L412" s="1475"/>
      <c r="M412" s="1475"/>
      <c r="N412" s="1894"/>
      <c r="O412" s="1894"/>
      <c r="P412" s="1894"/>
      <c r="Q412" s="1894"/>
      <c r="R412" s="1894"/>
      <c r="S412" s="1894"/>
      <c r="T412" s="1894"/>
      <c r="U412" s="1894"/>
      <c r="V412" s="1894"/>
      <c r="W412" s="1894"/>
      <c r="X412" s="1894"/>
      <c r="Y412" s="1894"/>
      <c r="Z412" s="1894"/>
      <c r="AA412" s="1894"/>
      <c r="AB412" s="1894"/>
      <c r="AC412" s="1894"/>
      <c r="AD412" s="1894"/>
      <c r="AE412" s="1430"/>
      <c r="AF412" s="1430"/>
      <c r="AG412" s="1894"/>
      <c r="AH412" s="1894"/>
      <c r="AI412" s="1894"/>
      <c r="AJ412" s="1894"/>
      <c r="AK412" s="1894"/>
      <c r="AL412" s="1894"/>
      <c r="AM412" s="1945"/>
      <c r="AN412" s="1946"/>
      <c r="AO412" s="1894"/>
      <c r="AP412" s="1894"/>
      <c r="AQ412" s="1894"/>
      <c r="AR412" s="1894"/>
      <c r="AS412" s="1894"/>
      <c r="AT412" s="1894"/>
      <c r="AU412" s="1894"/>
      <c r="AV412" s="1894"/>
      <c r="AW412" s="1430"/>
      <c r="AX412" s="1430"/>
      <c r="AY412" s="1430"/>
      <c r="AZ412" s="1430"/>
      <c r="BA412" s="1430"/>
      <c r="BB412" s="1430"/>
      <c r="BC412" s="1430"/>
      <c r="BD412" s="1422"/>
      <c r="BE412" s="1929"/>
      <c r="BF412" s="1929"/>
      <c r="BG412" s="1929"/>
      <c r="BH412" s="1530"/>
      <c r="BI412" s="1930"/>
      <c r="BJ412" s="1930"/>
      <c r="BK412" s="1930"/>
      <c r="BL412" s="1930"/>
      <c r="BM412" s="1930"/>
      <c r="BN412" s="1930"/>
      <c r="BO412" s="1930"/>
      <c r="BP412" s="1930"/>
      <c r="BQ412" s="1930"/>
      <c r="BR412" s="1930"/>
      <c r="BS412" s="1930"/>
      <c r="BT412" s="1930"/>
      <c r="BU412" s="1930"/>
      <c r="BV412" s="1930"/>
      <c r="BW412" s="1930"/>
      <c r="BX412" s="1930"/>
      <c r="BY412" s="1930"/>
      <c r="BZ412" s="1930"/>
      <c r="CA412" s="1930"/>
      <c r="CB412" s="1930"/>
      <c r="CC412" s="1930"/>
      <c r="CD412" s="1930"/>
      <c r="CE412" s="1930"/>
      <c r="CF412" s="1930"/>
      <c r="CG412" s="1930"/>
      <c r="CH412" s="1930"/>
      <c r="CI412" s="1930"/>
      <c r="CJ412" s="1930"/>
      <c r="CK412" s="1930"/>
      <c r="CL412" s="1930"/>
      <c r="CM412" s="1930"/>
      <c r="CN412" s="1930"/>
      <c r="CO412" s="1930"/>
      <c r="CP412" s="1930"/>
      <c r="CQ412" s="1930"/>
      <c r="CR412" s="1930"/>
      <c r="CS412" s="1930"/>
      <c r="CT412" s="1930"/>
      <c r="CU412" s="1930"/>
      <c r="CV412" s="1930"/>
      <c r="CW412" s="1930"/>
      <c r="CX412" s="1930"/>
      <c r="CY412" s="1930"/>
      <c r="CZ412" s="1930"/>
      <c r="DA412" s="1930"/>
      <c r="DB412" s="1930"/>
      <c r="DC412" s="1930"/>
      <c r="DD412" s="1930"/>
      <c r="DE412" s="1930"/>
      <c r="DF412" s="1930"/>
      <c r="DG412" s="1530"/>
      <c r="DH412" s="1530"/>
      <c r="DJ412" s="1427"/>
      <c r="DK412" s="1427"/>
      <c r="DL412" s="1427"/>
      <c r="DM412" s="1427"/>
      <c r="DN412" s="1427"/>
      <c r="DO412" s="1427"/>
      <c r="DP412" s="1427"/>
      <c r="DR412" s="1427"/>
      <c r="DS412" s="1427"/>
      <c r="DT412" s="1427"/>
      <c r="DU412" s="1427"/>
      <c r="DV412" s="1427"/>
      <c r="DW412" s="1427"/>
      <c r="DX412" s="1427"/>
      <c r="DY412" s="1427"/>
      <c r="DZ412" s="1427"/>
      <c r="EA412" s="1427"/>
      <c r="EB412" s="1427"/>
      <c r="EC412" s="1427"/>
      <c r="ED412" s="1427"/>
      <c r="EE412" s="1427"/>
      <c r="EF412" s="1427"/>
      <c r="EG412" s="1427"/>
      <c r="EH412" s="1427"/>
      <c r="EI412" s="1427"/>
      <c r="EJ412" s="1427"/>
      <c r="EK412" s="1427"/>
      <c r="EL412" s="1427"/>
      <c r="EM412" s="1427"/>
      <c r="EN412" s="1427"/>
      <c r="EO412" s="1427"/>
      <c r="EP412" s="1427"/>
      <c r="EQ412" s="1427"/>
      <c r="ER412" s="1427"/>
      <c r="ES412" s="1427"/>
      <c r="ET412" s="1427"/>
      <c r="EU412" s="1427"/>
    </row>
    <row r="413" spans="1:151" s="1440" customFormat="1" ht="21.75" customHeight="1">
      <c r="A413" s="1594"/>
      <c r="C413" s="2449" t="s">
        <v>1953</v>
      </c>
      <c r="D413" s="2449" t="s">
        <v>2307</v>
      </c>
      <c r="E413" s="2449" t="s">
        <v>1897</v>
      </c>
      <c r="L413" s="1475"/>
      <c r="M413" s="1475"/>
      <c r="N413" s="1430"/>
      <c r="O413" s="1894"/>
      <c r="P413" s="1894"/>
      <c r="Q413" s="1894"/>
      <c r="R413" s="1894"/>
      <c r="S413" s="1894"/>
      <c r="T413" s="1430"/>
      <c r="U413" s="1430"/>
      <c r="V413" s="1430"/>
      <c r="W413" s="1430"/>
      <c r="X413" s="1430"/>
      <c r="Y413" s="1430"/>
      <c r="Z413" s="1430"/>
      <c r="AA413" s="1430"/>
      <c r="AB413" s="1430"/>
      <c r="AC413" s="1430"/>
      <c r="AD413" s="1430"/>
      <c r="AE413" s="1430"/>
      <c r="AF413" s="1430"/>
      <c r="AG413" s="1894"/>
      <c r="AH413" s="1894"/>
      <c r="AI413" s="1894"/>
      <c r="AJ413" s="1894"/>
      <c r="AK413" s="1894"/>
      <c r="AL413" s="1894"/>
      <c r="AM413" s="1894"/>
      <c r="AN413" s="1894"/>
      <c r="AO413" s="1894"/>
      <c r="AP413" s="1894"/>
      <c r="AQ413" s="1894"/>
      <c r="AR413" s="1894"/>
      <c r="AS413" s="1894"/>
      <c r="AT413" s="1894"/>
      <c r="AU413" s="1894"/>
      <c r="AV413" s="1894"/>
      <c r="AW413" s="1430"/>
      <c r="AX413" s="1430"/>
      <c r="AY413" s="1430"/>
      <c r="AZ413" s="1430"/>
      <c r="BA413" s="1430"/>
      <c r="BB413" s="1430"/>
      <c r="BC413" s="1430"/>
      <c r="BD413" s="1422"/>
      <c r="BE413" s="1929"/>
      <c r="BF413" s="1929"/>
      <c r="BG413" s="1929"/>
      <c r="BH413" s="1530"/>
      <c r="BI413" s="1930"/>
      <c r="BJ413" s="1930"/>
      <c r="BK413" s="1930"/>
      <c r="BL413" s="1930"/>
      <c r="BM413" s="1930"/>
      <c r="BN413" s="1930"/>
      <c r="BO413" s="1930"/>
      <c r="BP413" s="1930"/>
      <c r="BQ413" s="1930"/>
      <c r="BR413" s="1930"/>
      <c r="BS413" s="1930"/>
      <c r="BT413" s="1930"/>
      <c r="BU413" s="1930"/>
      <c r="BV413" s="1930"/>
      <c r="BW413" s="1930"/>
      <c r="BX413" s="1930"/>
      <c r="BY413" s="1930"/>
      <c r="BZ413" s="1930"/>
      <c r="CA413" s="1930"/>
      <c r="CB413" s="1930"/>
      <c r="CC413" s="1930"/>
      <c r="CD413" s="1930"/>
      <c r="CE413" s="1930"/>
      <c r="CF413" s="1930"/>
      <c r="CG413" s="1930"/>
      <c r="CH413" s="1930"/>
      <c r="CI413" s="1930"/>
      <c r="CJ413" s="1930"/>
      <c r="CK413" s="1930"/>
      <c r="CL413" s="1930"/>
      <c r="CM413" s="1930"/>
      <c r="CN413" s="1930"/>
      <c r="CO413" s="1930"/>
      <c r="CP413" s="1930"/>
      <c r="CQ413" s="1930"/>
      <c r="CR413" s="1930"/>
      <c r="CS413" s="1930"/>
      <c r="CT413" s="1930"/>
      <c r="CU413" s="1930"/>
      <c r="CV413" s="1930"/>
      <c r="CW413" s="1930"/>
      <c r="CX413" s="1930"/>
      <c r="CY413" s="1930"/>
      <c r="CZ413" s="1930"/>
      <c r="DA413" s="1930"/>
      <c r="DB413" s="1930"/>
      <c r="DC413" s="1930"/>
      <c r="DD413" s="1930"/>
      <c r="DE413" s="1930"/>
      <c r="DF413" s="1930"/>
      <c r="DG413" s="1530"/>
      <c r="DH413" s="1530"/>
      <c r="DJ413" s="1427"/>
      <c r="DK413" s="1427"/>
      <c r="DL413" s="1427"/>
      <c r="DM413" s="1427"/>
      <c r="DN413" s="1427"/>
      <c r="DO413" s="1427"/>
      <c r="DP413" s="1427"/>
      <c r="DR413" s="1427"/>
      <c r="DS413" s="1427"/>
      <c r="DT413" s="1427"/>
      <c r="DU413" s="1427"/>
      <c r="DV413" s="1427"/>
      <c r="DW413" s="1427"/>
      <c r="DX413" s="1427"/>
      <c r="DY413" s="1427"/>
      <c r="DZ413" s="1427"/>
      <c r="EA413" s="1427"/>
      <c r="EB413" s="1427"/>
      <c r="EC413" s="1427"/>
      <c r="ED413" s="1427"/>
      <c r="EE413" s="1427"/>
      <c r="EF413" s="1427"/>
      <c r="EG413" s="1427"/>
      <c r="EH413" s="1427"/>
      <c r="EI413" s="1427"/>
      <c r="EJ413" s="1427"/>
      <c r="EK413" s="1427"/>
      <c r="EL413" s="1427"/>
      <c r="EM413" s="1427"/>
      <c r="EN413" s="1427"/>
      <c r="EO413" s="1427"/>
      <c r="EP413" s="1427"/>
      <c r="EQ413" s="1427"/>
      <c r="ER413" s="1427"/>
      <c r="ES413" s="1427"/>
      <c r="ET413" s="1427"/>
      <c r="EU413" s="1427"/>
    </row>
    <row r="414" spans="1:151" s="1440" customFormat="1" ht="21.75" customHeight="1">
      <c r="A414" s="1594"/>
      <c r="C414" s="2450"/>
      <c r="D414" s="2450"/>
      <c r="E414" s="2449"/>
      <c r="L414" s="1475"/>
      <c r="M414" s="1475"/>
      <c r="N414" s="1430"/>
      <c r="O414" s="1894"/>
      <c r="P414" s="1894"/>
      <c r="Q414" s="1894"/>
      <c r="R414" s="1894"/>
      <c r="S414" s="1894"/>
      <c r="T414" s="1430"/>
      <c r="U414" s="1430"/>
      <c r="V414" s="1430"/>
      <c r="W414" s="1430"/>
      <c r="X414" s="1430"/>
      <c r="Y414" s="1430"/>
      <c r="Z414" s="1430"/>
      <c r="AA414" s="1430"/>
      <c r="AB414" s="1430"/>
      <c r="AC414" s="1430"/>
      <c r="AD414" s="1430"/>
      <c r="AE414" s="1894"/>
      <c r="AF414" s="1894"/>
      <c r="AG414" s="1894"/>
      <c r="AH414" s="1894"/>
      <c r="AI414" s="1894"/>
      <c r="AJ414" s="1894"/>
      <c r="AK414" s="1894"/>
      <c r="AL414" s="1894"/>
      <c r="AM414" s="1894"/>
      <c r="AN414" s="1894"/>
      <c r="AO414" s="1894"/>
      <c r="AP414" s="1894"/>
      <c r="AQ414" s="1894"/>
      <c r="AR414" s="1894"/>
      <c r="AS414" s="1894"/>
      <c r="AT414" s="1894"/>
      <c r="AU414" s="1894"/>
      <c r="AV414" s="1894"/>
      <c r="AW414" s="1430"/>
      <c r="AX414" s="1430"/>
      <c r="AY414" s="1430"/>
      <c r="AZ414" s="1430"/>
      <c r="BA414" s="1430"/>
      <c r="BB414" s="1430"/>
      <c r="BC414" s="1430"/>
      <c r="BD414" s="1422"/>
      <c r="BE414" s="1929"/>
      <c r="BF414" s="1929"/>
      <c r="BG414" s="1929"/>
      <c r="BH414" s="1530"/>
      <c r="BI414" s="1930"/>
      <c r="BJ414" s="1930"/>
      <c r="BK414" s="1930"/>
      <c r="BL414" s="1930"/>
      <c r="BM414" s="1930"/>
      <c r="BN414" s="1930"/>
      <c r="BO414" s="1930"/>
      <c r="BP414" s="1930"/>
      <c r="BQ414" s="1930"/>
      <c r="BR414" s="1930"/>
      <c r="BS414" s="1930"/>
      <c r="BT414" s="1930"/>
      <c r="BU414" s="1930"/>
      <c r="BV414" s="1930"/>
      <c r="BW414" s="1930"/>
      <c r="BX414" s="1930"/>
      <c r="BY414" s="1930"/>
      <c r="BZ414" s="1930"/>
      <c r="CA414" s="1930"/>
      <c r="CB414" s="1930"/>
      <c r="CC414" s="1930"/>
      <c r="CD414" s="1930"/>
      <c r="CE414" s="1930"/>
      <c r="CF414" s="1930"/>
      <c r="CG414" s="1930"/>
      <c r="CH414" s="1930"/>
      <c r="CI414" s="1930"/>
      <c r="CJ414" s="1930"/>
      <c r="CK414" s="1930"/>
      <c r="CL414" s="1930"/>
      <c r="CM414" s="1930"/>
      <c r="CN414" s="1930"/>
      <c r="CO414" s="1930"/>
      <c r="CP414" s="1930"/>
      <c r="CQ414" s="1930"/>
      <c r="CR414" s="1930"/>
      <c r="CS414" s="1930"/>
      <c r="CT414" s="1930"/>
      <c r="CU414" s="1930"/>
      <c r="CV414" s="1930"/>
      <c r="CW414" s="1930"/>
      <c r="CX414" s="1930"/>
      <c r="CY414" s="1930"/>
      <c r="CZ414" s="1930"/>
      <c r="DA414" s="1930"/>
      <c r="DB414" s="1930"/>
      <c r="DC414" s="1930"/>
      <c r="DD414" s="1930"/>
      <c r="DE414" s="1930"/>
      <c r="DF414" s="1930"/>
      <c r="DG414" s="1530"/>
      <c r="DH414" s="1530"/>
      <c r="DJ414" s="1427"/>
      <c r="DK414" s="1427"/>
      <c r="DL414" s="1427"/>
      <c r="DM414" s="1427"/>
      <c r="DN414" s="1427"/>
      <c r="DO414" s="1427"/>
      <c r="DP414" s="1427"/>
      <c r="DR414" s="1427"/>
      <c r="DS414" s="1427"/>
      <c r="DT414" s="1427"/>
      <c r="DU414" s="1427"/>
      <c r="DV414" s="1427"/>
      <c r="DW414" s="1427"/>
      <c r="DX414" s="1427"/>
      <c r="DY414" s="1427"/>
      <c r="DZ414" s="1427"/>
      <c r="EA414" s="1427"/>
      <c r="EB414" s="1427"/>
      <c r="EC414" s="1427"/>
      <c r="ED414" s="1427"/>
      <c r="EE414" s="1427"/>
      <c r="EF414" s="1427"/>
      <c r="EG414" s="1427"/>
      <c r="EH414" s="1427"/>
      <c r="EI414" s="1427"/>
      <c r="EJ414" s="1427"/>
      <c r="EK414" s="1427"/>
      <c r="EL414" s="1427"/>
      <c r="EM414" s="1427"/>
      <c r="EN414" s="1427"/>
      <c r="EO414" s="1427"/>
      <c r="EP414" s="1427"/>
      <c r="EQ414" s="1427"/>
      <c r="ER414" s="1427"/>
      <c r="ES414" s="1427"/>
      <c r="ET414" s="1427"/>
      <c r="EU414" s="1427"/>
    </row>
    <row r="415" spans="1:151" s="1440" customFormat="1" ht="15" customHeight="1">
      <c r="A415" s="1594"/>
      <c r="B415" s="1596" t="str">
        <f>B389</f>
        <v>Toilets</v>
      </c>
      <c r="C415" s="1662"/>
      <c r="D415" s="1662"/>
      <c r="E415" s="1940">
        <f t="shared" ref="E415:E426" si="589">IFERROR(MIN(AI399*(AI$392/AI$411),AI399),0)*$N$385</f>
        <v>0</v>
      </c>
      <c r="G415" s="1422"/>
      <c r="L415" s="1475"/>
      <c r="M415" s="1475"/>
      <c r="N415" s="1430"/>
      <c r="O415" s="1430"/>
      <c r="P415" s="1430"/>
      <c r="Q415" s="1430"/>
      <c r="R415" s="1430"/>
      <c r="S415" s="1430"/>
      <c r="T415" s="1430"/>
      <c r="U415" s="1430"/>
      <c r="V415" s="1430"/>
      <c r="W415" s="1430"/>
      <c r="X415" s="1430"/>
      <c r="Y415" s="1430"/>
      <c r="Z415" s="1430"/>
      <c r="AA415" s="1430"/>
      <c r="AB415" s="1430"/>
      <c r="AC415" s="1430"/>
      <c r="AD415" s="1430"/>
      <c r="AE415" s="1430"/>
      <c r="AF415" s="1430"/>
      <c r="AG415" s="1430"/>
      <c r="AH415" s="1430"/>
      <c r="AI415" s="1430"/>
      <c r="AJ415" s="1430"/>
      <c r="AK415" s="1430"/>
      <c r="AL415" s="1430"/>
      <c r="AM415" s="1430"/>
      <c r="AN415" s="1430"/>
      <c r="AO415" s="1430"/>
      <c r="AP415" s="1430"/>
      <c r="AQ415" s="1430"/>
      <c r="AR415" s="1430"/>
      <c r="AS415" s="1430"/>
      <c r="AT415" s="1430"/>
      <c r="AU415" s="1430"/>
      <c r="AV415" s="1430"/>
      <c r="AW415" s="1430"/>
      <c r="AX415" s="1430"/>
      <c r="AY415" s="1430"/>
      <c r="AZ415" s="1430"/>
      <c r="BA415" s="1430"/>
      <c r="BB415" s="1430"/>
      <c r="BC415" s="1430"/>
      <c r="BD415" s="1422"/>
      <c r="BE415" s="1929"/>
      <c r="BF415" s="1929"/>
      <c r="BG415" s="1929"/>
      <c r="BH415" s="1530"/>
      <c r="BI415" s="1930"/>
      <c r="BJ415" s="1930"/>
      <c r="BK415" s="1930"/>
      <c r="BL415" s="1930"/>
      <c r="BM415" s="1930"/>
      <c r="BN415" s="1930"/>
      <c r="BO415" s="1930"/>
      <c r="BP415" s="1930"/>
      <c r="BQ415" s="1930"/>
      <c r="BR415" s="1930"/>
      <c r="BS415" s="1930"/>
      <c r="BT415" s="1930"/>
      <c r="BU415" s="1930"/>
      <c r="BV415" s="1930"/>
      <c r="BW415" s="1930"/>
      <c r="BX415" s="1930"/>
      <c r="BY415" s="1930"/>
      <c r="BZ415" s="1930"/>
      <c r="CA415" s="1930"/>
      <c r="CB415" s="1930"/>
      <c r="CC415" s="1930"/>
      <c r="CD415" s="1930"/>
      <c r="CE415" s="1930"/>
      <c r="CF415" s="1930"/>
      <c r="CG415" s="1930"/>
      <c r="CH415" s="1930"/>
      <c r="CI415" s="1930"/>
      <c r="CJ415" s="1930"/>
      <c r="CK415" s="1930"/>
      <c r="CL415" s="1930"/>
      <c r="CM415" s="1930"/>
      <c r="CN415" s="1930"/>
      <c r="CO415" s="1930"/>
      <c r="CP415" s="1930"/>
      <c r="CQ415" s="1930"/>
      <c r="CR415" s="1930"/>
      <c r="CS415" s="1930"/>
      <c r="CT415" s="1930"/>
      <c r="CU415" s="1930"/>
      <c r="CV415" s="1930"/>
      <c r="CW415" s="1930"/>
      <c r="CX415" s="1930"/>
      <c r="CY415" s="1930"/>
      <c r="CZ415" s="1930"/>
      <c r="DA415" s="1930"/>
      <c r="DB415" s="1930"/>
      <c r="DC415" s="1930"/>
      <c r="DD415" s="1930"/>
      <c r="DE415" s="1930"/>
      <c r="DF415" s="1930"/>
      <c r="DG415" s="1530"/>
      <c r="DH415" s="1530"/>
      <c r="DJ415" s="1427"/>
      <c r="DK415" s="1427"/>
      <c r="DL415" s="1427"/>
      <c r="DM415" s="1427"/>
      <c r="DN415" s="1427"/>
      <c r="DO415" s="1427"/>
      <c r="DP415" s="1427"/>
      <c r="DR415" s="1427"/>
      <c r="DS415" s="1427"/>
      <c r="DT415" s="1427"/>
      <c r="DU415" s="1427"/>
      <c r="DV415" s="1427"/>
      <c r="DW415" s="1427"/>
      <c r="DX415" s="1427"/>
      <c r="DY415" s="1427"/>
      <c r="DZ415" s="1427"/>
      <c r="EA415" s="1427"/>
      <c r="EB415" s="1427"/>
      <c r="EC415" s="1427"/>
      <c r="ED415" s="1427"/>
      <c r="EE415" s="1427"/>
      <c r="EF415" s="1427"/>
      <c r="EG415" s="1427"/>
      <c r="EH415" s="1427"/>
      <c r="EI415" s="1427"/>
      <c r="EJ415" s="1427"/>
      <c r="EK415" s="1427"/>
      <c r="EL415" s="1427"/>
      <c r="EM415" s="1427"/>
      <c r="EN415" s="1427"/>
      <c r="EO415" s="1427"/>
      <c r="EP415" s="1427"/>
      <c r="EQ415" s="1427"/>
      <c r="ER415" s="1427"/>
      <c r="ES415" s="1427"/>
      <c r="ET415" s="1427"/>
      <c r="EU415" s="1427"/>
    </row>
    <row r="416" spans="1:151" s="1440" customFormat="1" ht="15" customHeight="1">
      <c r="A416" s="1594"/>
      <c r="B416" s="1596" t="str">
        <f t="shared" ref="B416:B426" si="590">B390</f>
        <v>Urinals</v>
      </c>
      <c r="C416" s="1662"/>
      <c r="D416" s="1662"/>
      <c r="E416" s="1947">
        <f t="shared" si="589"/>
        <v>0</v>
      </c>
      <c r="F416" s="1422"/>
      <c r="G416" s="1422"/>
      <c r="L416" s="1475"/>
      <c r="M416" s="1475"/>
      <c r="N416" s="1430"/>
      <c r="O416" s="1430"/>
      <c r="P416" s="1430"/>
      <c r="Q416" s="1430"/>
      <c r="R416" s="1430"/>
      <c r="S416" s="1430"/>
      <c r="T416" s="1430"/>
      <c r="U416" s="1430"/>
      <c r="V416" s="1430"/>
      <c r="W416" s="1430"/>
      <c r="X416" s="1430"/>
      <c r="Y416" s="1430"/>
      <c r="Z416" s="1430"/>
      <c r="AA416" s="1430"/>
      <c r="AB416" s="1430"/>
      <c r="AC416" s="1430"/>
      <c r="AD416" s="1430"/>
      <c r="AE416" s="1430"/>
      <c r="AF416" s="1430"/>
      <c r="AG416" s="1430"/>
      <c r="AH416" s="1430"/>
      <c r="AI416" s="1430"/>
      <c r="AJ416" s="1430"/>
      <c r="AK416" s="1430"/>
      <c r="AL416" s="1430"/>
      <c r="AM416" s="1430"/>
      <c r="AN416" s="1430"/>
      <c r="AO416" s="1430"/>
      <c r="AP416" s="1430"/>
      <c r="AQ416" s="1430"/>
      <c r="AR416" s="1430"/>
      <c r="AS416" s="1430"/>
      <c r="AT416" s="1430"/>
      <c r="AU416" s="1430"/>
      <c r="AV416" s="1430"/>
      <c r="AW416" s="1430"/>
      <c r="AX416" s="1430"/>
      <c r="AY416" s="1430"/>
      <c r="AZ416" s="1430"/>
      <c r="BA416" s="1430"/>
      <c r="BB416" s="1430"/>
      <c r="BC416" s="1430"/>
      <c r="BD416" s="1422"/>
      <c r="BE416" s="1929"/>
      <c r="BF416" s="1929"/>
      <c r="BG416" s="1929"/>
      <c r="BH416" s="1530"/>
      <c r="BI416" s="1930"/>
      <c r="BJ416" s="1930"/>
      <c r="BK416" s="1930"/>
      <c r="BL416" s="1930"/>
      <c r="BM416" s="1930"/>
      <c r="BN416" s="1930"/>
      <c r="BO416" s="1930"/>
      <c r="BP416" s="1930"/>
      <c r="BQ416" s="1930"/>
      <c r="BR416" s="1930"/>
      <c r="BS416" s="1930"/>
      <c r="BT416" s="1930"/>
      <c r="BU416" s="1930"/>
      <c r="BV416" s="1930"/>
      <c r="BW416" s="1930"/>
      <c r="BX416" s="1930"/>
      <c r="BY416" s="1930"/>
      <c r="BZ416" s="1930"/>
      <c r="CA416" s="1930"/>
      <c r="CB416" s="1930"/>
      <c r="CC416" s="1930"/>
      <c r="CD416" s="1930"/>
      <c r="CE416" s="1930"/>
      <c r="CF416" s="1930"/>
      <c r="CG416" s="1930"/>
      <c r="CH416" s="1930"/>
      <c r="CI416" s="1930"/>
      <c r="CJ416" s="1930"/>
      <c r="CK416" s="1930"/>
      <c r="CL416" s="1930"/>
      <c r="CM416" s="1930"/>
      <c r="CN416" s="1930"/>
      <c r="CO416" s="1930"/>
      <c r="CP416" s="1930"/>
      <c r="CQ416" s="1930"/>
      <c r="CR416" s="1930"/>
      <c r="CS416" s="1930"/>
      <c r="CT416" s="1930"/>
      <c r="CU416" s="1930"/>
      <c r="CV416" s="1930"/>
      <c r="CW416" s="1930"/>
      <c r="CX416" s="1930"/>
      <c r="CY416" s="1930"/>
      <c r="CZ416" s="1930"/>
      <c r="DA416" s="1930"/>
      <c r="DB416" s="1930"/>
      <c r="DC416" s="1930"/>
      <c r="DD416" s="1930"/>
      <c r="DE416" s="1930"/>
      <c r="DF416" s="1930"/>
      <c r="DG416" s="1530"/>
      <c r="DH416" s="1530"/>
      <c r="DJ416" s="1427"/>
      <c r="DK416" s="1427"/>
      <c r="DL416" s="1427"/>
      <c r="DM416" s="1427"/>
      <c r="DN416" s="1427"/>
      <c r="DO416" s="1427"/>
      <c r="DP416" s="1427"/>
      <c r="DR416" s="1427"/>
      <c r="DS416" s="1427"/>
      <c r="DT416" s="1427"/>
      <c r="DU416" s="1427"/>
      <c r="DV416" s="1427"/>
      <c r="DW416" s="1427"/>
      <c r="DX416" s="1427"/>
      <c r="DY416" s="1427"/>
      <c r="DZ416" s="1427"/>
      <c r="EA416" s="1427"/>
      <c r="EB416" s="1427"/>
      <c r="EC416" s="1427"/>
      <c r="ED416" s="1427"/>
      <c r="EE416" s="1427"/>
      <c r="EF416" s="1427"/>
      <c r="EG416" s="1427"/>
      <c r="EH416" s="1427"/>
      <c r="EI416" s="1427"/>
      <c r="EJ416" s="1427"/>
      <c r="EK416" s="1427"/>
      <c r="EL416" s="1427"/>
      <c r="EM416" s="1427"/>
      <c r="EN416" s="1427"/>
      <c r="EO416" s="1427"/>
      <c r="EP416" s="1427"/>
      <c r="EQ416" s="1427"/>
      <c r="ER416" s="1427"/>
      <c r="ES416" s="1427"/>
      <c r="ET416" s="1427"/>
      <c r="EU416" s="1427"/>
    </row>
    <row r="417" spans="1:151" s="1440" customFormat="1" ht="15" customHeight="1">
      <c r="A417" s="1594"/>
      <c r="B417" s="1596" t="str">
        <f t="shared" si="590"/>
        <v>Indoor Taps</v>
      </c>
      <c r="C417" s="1662"/>
      <c r="D417" s="1662"/>
      <c r="E417" s="1947">
        <f t="shared" si="589"/>
        <v>0</v>
      </c>
      <c r="F417" s="1422"/>
      <c r="G417" s="1422"/>
      <c r="L417" s="1475"/>
      <c r="M417" s="1475"/>
      <c r="N417" s="1430" t="s">
        <v>1874</v>
      </c>
      <c r="O417" s="1430"/>
      <c r="P417" s="1430"/>
      <c r="Q417" s="1430"/>
      <c r="R417" s="1430"/>
      <c r="S417" s="1430"/>
      <c r="T417" s="1430"/>
      <c r="U417" s="1430"/>
      <c r="V417" s="1430"/>
      <c r="W417" s="1430"/>
      <c r="X417" s="1430"/>
      <c r="Y417" s="1430"/>
      <c r="Z417" s="1430"/>
      <c r="AA417" s="1430"/>
      <c r="AB417" s="1430"/>
      <c r="AC417" s="1430"/>
      <c r="AD417" s="1430"/>
      <c r="AE417" s="1430"/>
      <c r="AF417" s="1430"/>
      <c r="AG417" s="1430"/>
      <c r="AH417" s="1430"/>
      <c r="AI417" s="1430"/>
      <c r="AJ417" s="1430"/>
      <c r="AK417" s="1430"/>
      <c r="AL417" s="1430"/>
      <c r="AM417" s="1430"/>
      <c r="AN417" s="1430"/>
      <c r="AO417" s="1430"/>
      <c r="AP417" s="1430"/>
      <c r="AQ417" s="1430"/>
      <c r="AR417" s="1430"/>
      <c r="AS417" s="1430"/>
      <c r="AT417" s="1430"/>
      <c r="AU417" s="1430"/>
      <c r="AV417" s="1430"/>
      <c r="AW417" s="1430"/>
      <c r="AX417" s="1430"/>
      <c r="AY417" s="1430"/>
      <c r="AZ417" s="1430"/>
      <c r="BA417" s="1430"/>
      <c r="BB417" s="1430"/>
      <c r="BC417" s="1430"/>
      <c r="BD417" s="1422"/>
      <c r="BE417" s="1929"/>
      <c r="BF417" s="1929"/>
      <c r="BG417" s="1929"/>
      <c r="BH417" s="1530"/>
      <c r="BI417" s="1930"/>
      <c r="BJ417" s="1930"/>
      <c r="BK417" s="1930"/>
      <c r="BL417" s="1930"/>
      <c r="BM417" s="1930"/>
      <c r="BN417" s="1930"/>
      <c r="BO417" s="1930"/>
      <c r="BP417" s="1930"/>
      <c r="BQ417" s="1930"/>
      <c r="BR417" s="1930"/>
      <c r="BS417" s="1930"/>
      <c r="BT417" s="1930"/>
      <c r="BU417" s="1930"/>
      <c r="BV417" s="1930"/>
      <c r="BW417" s="1930"/>
      <c r="BX417" s="1930"/>
      <c r="BY417" s="1930"/>
      <c r="BZ417" s="1930"/>
      <c r="CA417" s="1930"/>
      <c r="CB417" s="1930"/>
      <c r="CC417" s="1930"/>
      <c r="CD417" s="1930"/>
      <c r="CE417" s="1930"/>
      <c r="CF417" s="1930"/>
      <c r="CG417" s="1930"/>
      <c r="CH417" s="1930"/>
      <c r="CI417" s="1930"/>
      <c r="CJ417" s="1930"/>
      <c r="CK417" s="1930"/>
      <c r="CL417" s="1930"/>
      <c r="CM417" s="1930"/>
      <c r="CN417" s="1930"/>
      <c r="CO417" s="1930"/>
      <c r="CP417" s="1930"/>
      <c r="CQ417" s="1930"/>
      <c r="CR417" s="1930"/>
      <c r="CS417" s="1930"/>
      <c r="CT417" s="1930"/>
      <c r="CU417" s="1930"/>
      <c r="CV417" s="1930"/>
      <c r="CW417" s="1930"/>
      <c r="CX417" s="1930"/>
      <c r="CY417" s="1930"/>
      <c r="CZ417" s="1930"/>
      <c r="DA417" s="1930"/>
      <c r="DB417" s="1930"/>
      <c r="DC417" s="1930"/>
      <c r="DD417" s="1930"/>
      <c r="DE417" s="1930"/>
      <c r="DF417" s="1930"/>
      <c r="DG417" s="1530"/>
      <c r="DH417" s="1530"/>
      <c r="DJ417" s="1427"/>
      <c r="DK417" s="1427"/>
      <c r="DL417" s="1427"/>
      <c r="DM417" s="1427"/>
      <c r="DN417" s="1427"/>
      <c r="DO417" s="1427"/>
      <c r="DP417" s="1427"/>
      <c r="DR417" s="1427"/>
      <c r="DS417" s="1427"/>
      <c r="DT417" s="1427"/>
      <c r="DU417" s="1427"/>
      <c r="DV417" s="1427"/>
      <c r="DW417" s="1427"/>
      <c r="DX417" s="1427"/>
      <c r="DY417" s="1427"/>
      <c r="DZ417" s="1427"/>
      <c r="EA417" s="1427"/>
      <c r="EB417" s="1427"/>
      <c r="EC417" s="1427"/>
      <c r="ED417" s="1427"/>
      <c r="EE417" s="1427"/>
      <c r="EF417" s="1427"/>
      <c r="EG417" s="1427"/>
      <c r="EH417" s="1427"/>
      <c r="EI417" s="1427"/>
      <c r="EJ417" s="1427"/>
      <c r="EK417" s="1427"/>
      <c r="EL417" s="1427"/>
      <c r="EM417" s="1427"/>
      <c r="EN417" s="1427"/>
      <c r="EO417" s="1427"/>
      <c r="EP417" s="1427"/>
      <c r="EQ417" s="1427"/>
      <c r="ER417" s="1427"/>
      <c r="ES417" s="1427"/>
      <c r="ET417" s="1427"/>
      <c r="EU417" s="1427"/>
    </row>
    <row r="418" spans="1:151" s="1440" customFormat="1" ht="15" customHeight="1">
      <c r="A418" s="1594"/>
      <c r="B418" s="1596" t="str">
        <f t="shared" si="590"/>
        <v>Showers</v>
      </c>
      <c r="C418" s="1662"/>
      <c r="D418" s="1662"/>
      <c r="E418" s="1947">
        <f t="shared" si="589"/>
        <v>0</v>
      </c>
      <c r="F418" s="1422"/>
      <c r="G418" s="1422"/>
      <c r="H418" s="1475"/>
      <c r="I418" s="1475"/>
      <c r="L418" s="1475"/>
      <c r="M418" s="1475"/>
      <c r="N418" s="1430" t="s">
        <v>1871</v>
      </c>
      <c r="O418" s="1430"/>
      <c r="P418" s="1430"/>
      <c r="Q418" s="1430"/>
      <c r="R418" s="1430"/>
      <c r="S418" s="1430"/>
      <c r="T418" s="1430"/>
      <c r="U418" s="1430"/>
      <c r="V418" s="1430"/>
      <c r="W418" s="1430"/>
      <c r="X418" s="1430"/>
      <c r="Y418" s="1430"/>
      <c r="Z418" s="1430"/>
      <c r="AA418" s="1430"/>
      <c r="AB418" s="1430"/>
      <c r="AC418" s="1430"/>
      <c r="AD418" s="1430"/>
      <c r="AE418" s="1430"/>
      <c r="AF418" s="1430"/>
      <c r="AG418" s="1430"/>
      <c r="AH418" s="1430"/>
      <c r="AI418" s="1430"/>
      <c r="AJ418" s="1430"/>
      <c r="AK418" s="1430"/>
      <c r="AL418" s="1430"/>
      <c r="AM418" s="1430"/>
      <c r="AN418" s="1430"/>
      <c r="AO418" s="1430"/>
      <c r="AP418" s="1430"/>
      <c r="AQ418" s="1430"/>
      <c r="AR418" s="1430"/>
      <c r="AS418" s="1430"/>
      <c r="AT418" s="1430"/>
      <c r="AU418" s="1430"/>
      <c r="AV418" s="1430"/>
      <c r="AW418" s="1430"/>
      <c r="AX418" s="1430"/>
      <c r="AY418" s="1430"/>
      <c r="AZ418" s="1430"/>
      <c r="BA418" s="1430"/>
      <c r="BB418" s="1430"/>
      <c r="BC418" s="1430"/>
      <c r="BD418" s="1422"/>
      <c r="BE418" s="1929"/>
      <c r="BF418" s="1929"/>
      <c r="BG418" s="1929"/>
      <c r="BH418" s="1530"/>
      <c r="BI418" s="1930"/>
      <c r="BJ418" s="1930"/>
      <c r="BK418" s="1930"/>
      <c r="BL418" s="1930"/>
      <c r="BM418" s="1930"/>
      <c r="BN418" s="1930"/>
      <c r="BO418" s="1930"/>
      <c r="BP418" s="1930"/>
      <c r="BQ418" s="1930"/>
      <c r="BR418" s="1930"/>
      <c r="BS418" s="1930"/>
      <c r="BT418" s="1930"/>
      <c r="BU418" s="1930"/>
      <c r="BV418" s="1930"/>
      <c r="BW418" s="1930"/>
      <c r="BX418" s="1930"/>
      <c r="BY418" s="1930"/>
      <c r="BZ418" s="1930"/>
      <c r="CA418" s="1930"/>
      <c r="CB418" s="1930"/>
      <c r="CC418" s="1930"/>
      <c r="CD418" s="1930"/>
      <c r="CE418" s="1930"/>
      <c r="CF418" s="1930"/>
      <c r="CG418" s="1930"/>
      <c r="CH418" s="1930"/>
      <c r="CI418" s="1930"/>
      <c r="CJ418" s="1930"/>
      <c r="CK418" s="1930"/>
      <c r="CL418" s="1930"/>
      <c r="CM418" s="1930"/>
      <c r="CN418" s="1930"/>
      <c r="CO418" s="1930"/>
      <c r="CP418" s="1930"/>
      <c r="CQ418" s="1930"/>
      <c r="CR418" s="1930"/>
      <c r="CS418" s="1930"/>
      <c r="CT418" s="1930"/>
      <c r="CU418" s="1930"/>
      <c r="CV418" s="1930"/>
      <c r="CW418" s="1930"/>
      <c r="CX418" s="1930"/>
      <c r="CY418" s="1930"/>
      <c r="CZ418" s="1930"/>
      <c r="DA418" s="1930"/>
      <c r="DB418" s="1930"/>
      <c r="DC418" s="1930"/>
      <c r="DD418" s="1930"/>
      <c r="DE418" s="1930"/>
      <c r="DF418" s="1930"/>
      <c r="DG418" s="1530"/>
      <c r="DH418" s="1530"/>
      <c r="DJ418" s="1427"/>
      <c r="DK418" s="1427"/>
      <c r="DL418" s="1427"/>
      <c r="DM418" s="1427"/>
      <c r="DN418" s="1427"/>
      <c r="DO418" s="1427"/>
      <c r="DP418" s="1427"/>
      <c r="DR418" s="1427"/>
      <c r="DS418" s="1427"/>
      <c r="DT418" s="1427"/>
      <c r="DU418" s="1427"/>
      <c r="DV418" s="1427"/>
      <c r="DW418" s="1427"/>
      <c r="DX418" s="1427"/>
      <c r="DY418" s="1427"/>
      <c r="DZ418" s="1427"/>
      <c r="EA418" s="1427"/>
      <c r="EB418" s="1427"/>
      <c r="EC418" s="1427"/>
      <c r="ED418" s="1427"/>
      <c r="EE418" s="1427"/>
      <c r="EF418" s="1427"/>
      <c r="EG418" s="1427"/>
      <c r="EH418" s="1427"/>
      <c r="EI418" s="1427"/>
      <c r="EJ418" s="1427"/>
      <c r="EK418" s="1427"/>
      <c r="EL418" s="1427"/>
      <c r="EM418" s="1427"/>
      <c r="EN418" s="1427"/>
      <c r="EO418" s="1427"/>
      <c r="EP418" s="1427"/>
      <c r="EQ418" s="1427"/>
      <c r="ER418" s="1427"/>
      <c r="ES418" s="1427"/>
      <c r="ET418" s="1427"/>
      <c r="EU418" s="1427"/>
    </row>
    <row r="419" spans="1:151" s="1440" customFormat="1" ht="18.75" customHeight="1">
      <c r="A419" s="1594"/>
      <c r="B419" s="1596" t="str">
        <f t="shared" si="590"/>
        <v>Heat Rejection</v>
      </c>
      <c r="C419" s="1662"/>
      <c r="D419" s="1662"/>
      <c r="E419" s="1947">
        <f t="shared" si="589"/>
        <v>0</v>
      </c>
      <c r="F419" s="1422"/>
      <c r="G419" s="1422"/>
      <c r="H419" s="1475"/>
      <c r="I419" s="1475"/>
      <c r="L419" s="1475"/>
      <c r="M419" s="1475"/>
      <c r="N419" s="1430"/>
      <c r="O419" s="1430"/>
      <c r="P419" s="1430"/>
      <c r="Q419" s="1430"/>
      <c r="R419" s="1430"/>
      <c r="S419" s="1430"/>
      <c r="T419" s="1430"/>
      <c r="U419" s="1430"/>
      <c r="V419" s="1430"/>
      <c r="W419" s="1430"/>
      <c r="X419" s="1430"/>
      <c r="Y419" s="1430"/>
      <c r="Z419" s="1430"/>
      <c r="AA419" s="1430"/>
      <c r="AB419" s="1430"/>
      <c r="AC419" s="1430"/>
      <c r="AD419" s="1430"/>
      <c r="AE419" s="1430"/>
      <c r="AF419" s="1430"/>
      <c r="AG419" s="1430"/>
      <c r="AH419" s="1430"/>
      <c r="AI419" s="1430"/>
      <c r="AJ419" s="1430"/>
      <c r="AK419" s="1430"/>
      <c r="AL419" s="1430"/>
      <c r="AM419" s="1430"/>
      <c r="AN419" s="1430"/>
      <c r="AO419" s="1430"/>
      <c r="AP419" s="1430"/>
      <c r="AQ419" s="1430"/>
      <c r="AR419" s="1430"/>
      <c r="AS419" s="1430"/>
      <c r="AT419" s="1430"/>
      <c r="AU419" s="1430"/>
      <c r="AV419" s="1430"/>
      <c r="AW419" s="1430"/>
      <c r="AX419" s="1430"/>
      <c r="AY419" s="1430"/>
      <c r="AZ419" s="1430"/>
      <c r="BA419" s="1430"/>
      <c r="BB419" s="1430"/>
      <c r="BC419" s="1430"/>
      <c r="BD419" s="1422"/>
      <c r="BE419" s="1929"/>
      <c r="BF419" s="1929"/>
      <c r="BG419" s="1929"/>
      <c r="BH419" s="1530"/>
      <c r="BI419" s="1930"/>
      <c r="BJ419" s="1930"/>
      <c r="BK419" s="1930"/>
      <c r="BL419" s="1930"/>
      <c r="BM419" s="1930"/>
      <c r="BN419" s="1930"/>
      <c r="BO419" s="1930"/>
      <c r="BP419" s="1930"/>
      <c r="BQ419" s="1930"/>
      <c r="BR419" s="1930"/>
      <c r="BS419" s="1930"/>
      <c r="BT419" s="1930"/>
      <c r="BU419" s="1930"/>
      <c r="BV419" s="1930"/>
      <c r="BW419" s="1930"/>
      <c r="BX419" s="1930"/>
      <c r="BY419" s="1930"/>
      <c r="BZ419" s="1930"/>
      <c r="CA419" s="1930"/>
      <c r="CB419" s="1930"/>
      <c r="CC419" s="1930"/>
      <c r="CD419" s="1930"/>
      <c r="CE419" s="1930"/>
      <c r="CF419" s="1930"/>
      <c r="CG419" s="1930"/>
      <c r="CH419" s="1930"/>
      <c r="CI419" s="1930"/>
      <c r="CJ419" s="1930"/>
      <c r="CK419" s="1930"/>
      <c r="CL419" s="1930"/>
      <c r="CM419" s="1930"/>
      <c r="CN419" s="1930"/>
      <c r="CO419" s="1930"/>
      <c r="CP419" s="1930"/>
      <c r="CQ419" s="1930"/>
      <c r="CR419" s="1930"/>
      <c r="CS419" s="1930"/>
      <c r="CT419" s="1930"/>
      <c r="CU419" s="1930"/>
      <c r="CV419" s="1930"/>
      <c r="CW419" s="1930"/>
      <c r="CX419" s="1930"/>
      <c r="CY419" s="1930"/>
      <c r="CZ419" s="1930"/>
      <c r="DA419" s="1930"/>
      <c r="DB419" s="1930"/>
      <c r="DC419" s="1930"/>
      <c r="DD419" s="1930"/>
      <c r="DE419" s="1930"/>
      <c r="DF419" s="1930"/>
      <c r="DG419" s="1530"/>
      <c r="DH419" s="1530"/>
      <c r="DJ419" s="1427"/>
      <c r="DK419" s="1427"/>
      <c r="DL419" s="1427"/>
      <c r="DM419" s="1427"/>
      <c r="DN419" s="1427"/>
      <c r="DO419" s="1427"/>
      <c r="DP419" s="1427"/>
      <c r="DR419" s="1427"/>
      <c r="DS419" s="1427"/>
      <c r="DT419" s="1427"/>
      <c r="DU419" s="1427"/>
      <c r="DV419" s="1427"/>
      <c r="DW419" s="1427"/>
      <c r="DX419" s="1427"/>
      <c r="DY419" s="1427"/>
      <c r="DZ419" s="1427"/>
      <c r="EA419" s="1427"/>
      <c r="EB419" s="1427"/>
      <c r="EC419" s="1427"/>
      <c r="ED419" s="1427"/>
      <c r="EE419" s="1427"/>
      <c r="EF419" s="1427"/>
      <c r="EG419" s="1427"/>
      <c r="EH419" s="1427"/>
      <c r="EI419" s="1427"/>
      <c r="EJ419" s="1427"/>
      <c r="EK419" s="1427"/>
      <c r="EL419" s="1427"/>
      <c r="EM419" s="1427"/>
      <c r="EN419" s="1427"/>
      <c r="EO419" s="1427"/>
      <c r="EP419" s="1427"/>
      <c r="EQ419" s="1427"/>
      <c r="ER419" s="1427"/>
      <c r="ES419" s="1427"/>
      <c r="ET419" s="1427"/>
      <c r="EU419" s="1427"/>
    </row>
    <row r="420" spans="1:151" s="1440" customFormat="1" ht="18.75" customHeight="1">
      <c r="A420" s="1594"/>
      <c r="B420" s="1596" t="str">
        <f t="shared" si="590"/>
        <v>Irrigation</v>
      </c>
      <c r="C420" s="1662"/>
      <c r="D420" s="1662"/>
      <c r="E420" s="1947">
        <f t="shared" si="589"/>
        <v>0</v>
      </c>
      <c r="F420" s="1422"/>
      <c r="G420" s="1422"/>
      <c r="H420" s="1475"/>
      <c r="I420" s="1475"/>
      <c r="L420" s="1475"/>
      <c r="M420" s="1475"/>
      <c r="N420" s="1430"/>
      <c r="O420" s="1430"/>
      <c r="P420" s="1430"/>
      <c r="Q420" s="1430"/>
      <c r="R420" s="1430"/>
      <c r="S420" s="1430"/>
      <c r="T420" s="1430"/>
      <c r="U420" s="1430"/>
      <c r="V420" s="1430"/>
      <c r="W420" s="1430"/>
      <c r="X420" s="1430"/>
      <c r="Y420" s="1430"/>
      <c r="Z420" s="1430"/>
      <c r="AA420" s="1430"/>
      <c r="AB420" s="1430"/>
      <c r="AC420" s="1430"/>
      <c r="AD420" s="1430"/>
      <c r="AE420" s="1430"/>
      <c r="AF420" s="1430"/>
      <c r="AG420" s="1430"/>
      <c r="AH420" s="1430"/>
      <c r="AI420" s="1430"/>
      <c r="AJ420" s="1430"/>
      <c r="AK420" s="1430"/>
      <c r="AL420" s="1430"/>
      <c r="AM420" s="1430"/>
      <c r="AN420" s="1430"/>
      <c r="AO420" s="1430"/>
      <c r="AP420" s="1430"/>
      <c r="AQ420" s="1430"/>
      <c r="AR420" s="1430"/>
      <c r="AS420" s="1430"/>
      <c r="AT420" s="1430"/>
      <c r="AU420" s="1430"/>
      <c r="AV420" s="1430"/>
      <c r="AW420" s="1430"/>
      <c r="AX420" s="1430"/>
      <c r="AY420" s="1430"/>
      <c r="AZ420" s="1430"/>
      <c r="BA420" s="1430"/>
      <c r="BB420" s="1430"/>
      <c r="BC420" s="1430"/>
      <c r="BD420" s="1422"/>
      <c r="BE420" s="1929"/>
      <c r="BF420" s="1929"/>
      <c r="BG420" s="1929"/>
      <c r="BH420" s="1530"/>
      <c r="BI420" s="1930"/>
      <c r="BJ420" s="1930"/>
      <c r="BK420" s="1930"/>
      <c r="BL420" s="1930"/>
      <c r="BM420" s="1930"/>
      <c r="BN420" s="1930"/>
      <c r="BO420" s="1930"/>
      <c r="BP420" s="1930"/>
      <c r="BQ420" s="1930"/>
      <c r="BR420" s="1930"/>
      <c r="BS420" s="1930"/>
      <c r="BT420" s="1930"/>
      <c r="BU420" s="1930"/>
      <c r="BV420" s="1930"/>
      <c r="BW420" s="1930"/>
      <c r="BX420" s="1930"/>
      <c r="BY420" s="1930"/>
      <c r="BZ420" s="1930"/>
      <c r="CA420" s="1930"/>
      <c r="CB420" s="1930"/>
      <c r="CC420" s="1930"/>
      <c r="CD420" s="1930"/>
      <c r="CE420" s="1930"/>
      <c r="CF420" s="1930"/>
      <c r="CG420" s="1930"/>
      <c r="CH420" s="1930"/>
      <c r="CI420" s="1930"/>
      <c r="CJ420" s="1930"/>
      <c r="CK420" s="1930"/>
      <c r="CL420" s="1930"/>
      <c r="CM420" s="1930"/>
      <c r="CN420" s="1930"/>
      <c r="CO420" s="1930"/>
      <c r="CP420" s="1930"/>
      <c r="CQ420" s="1930"/>
      <c r="CR420" s="1930"/>
      <c r="CS420" s="1930"/>
      <c r="CT420" s="1930"/>
      <c r="CU420" s="1930"/>
      <c r="CV420" s="1930"/>
      <c r="CW420" s="1930"/>
      <c r="CX420" s="1930"/>
      <c r="CY420" s="1930"/>
      <c r="CZ420" s="1930"/>
      <c r="DA420" s="1930"/>
      <c r="DB420" s="1930"/>
      <c r="DC420" s="1930"/>
      <c r="DD420" s="1930"/>
      <c r="DE420" s="1930"/>
      <c r="DF420" s="1930"/>
      <c r="DG420" s="1530"/>
      <c r="DH420" s="1530"/>
      <c r="DJ420" s="1427"/>
      <c r="DK420" s="1427"/>
      <c r="DL420" s="1427"/>
      <c r="DM420" s="1427"/>
      <c r="DN420" s="1427"/>
      <c r="DO420" s="1427"/>
      <c r="DP420" s="1427"/>
      <c r="DR420" s="1427"/>
      <c r="DS420" s="1427"/>
      <c r="DT420" s="1427"/>
      <c r="DU420" s="1427"/>
      <c r="DV420" s="1427"/>
      <c r="DW420" s="1427"/>
      <c r="DX420" s="1427"/>
      <c r="DY420" s="1427"/>
      <c r="DZ420" s="1427"/>
      <c r="EA420" s="1427"/>
      <c r="EB420" s="1427"/>
      <c r="EC420" s="1427"/>
      <c r="ED420" s="1427"/>
      <c r="EE420" s="1427"/>
      <c r="EF420" s="1427"/>
      <c r="EG420" s="1427"/>
      <c r="EH420" s="1427"/>
      <c r="EI420" s="1427"/>
      <c r="EJ420" s="1427"/>
      <c r="EK420" s="1427"/>
      <c r="EL420" s="1427"/>
      <c r="EM420" s="1427"/>
      <c r="EN420" s="1427"/>
      <c r="EO420" s="1427"/>
      <c r="EP420" s="1427"/>
      <c r="EQ420" s="1427"/>
      <c r="ER420" s="1427"/>
      <c r="ES420" s="1427"/>
      <c r="ET420" s="1427"/>
      <c r="EU420" s="1427"/>
    </row>
    <row r="421" spans="1:151" s="1440" customFormat="1" ht="15" customHeight="1">
      <c r="A421" s="1594"/>
      <c r="B421" s="1596" t="str">
        <f t="shared" si="590"/>
        <v>Swimming pool make up</v>
      </c>
      <c r="C421" s="1662"/>
      <c r="D421" s="1662"/>
      <c r="E421" s="1948">
        <f t="shared" si="589"/>
        <v>0</v>
      </c>
      <c r="F421" s="1422"/>
      <c r="G421" s="1422"/>
      <c r="H421" s="1475"/>
      <c r="I421" s="1475"/>
      <c r="L421" s="1475"/>
      <c r="M421" s="1475"/>
      <c r="N421" s="1430"/>
      <c r="O421" s="1430"/>
      <c r="P421" s="1430"/>
      <c r="Q421" s="1430"/>
      <c r="R421" s="1430"/>
      <c r="S421" s="1430"/>
      <c r="T421" s="1430"/>
      <c r="U421" s="1430"/>
      <c r="V421" s="1430"/>
      <c r="W421" s="1430"/>
      <c r="X421" s="1430"/>
      <c r="Y421" s="1430"/>
      <c r="Z421" s="1430"/>
      <c r="AA421" s="1430"/>
      <c r="AB421" s="1430"/>
      <c r="AC421" s="1430"/>
      <c r="AD421" s="1430"/>
      <c r="AE421" s="1430"/>
      <c r="AF421" s="1430"/>
      <c r="AG421" s="1430"/>
      <c r="AH421" s="1430"/>
      <c r="AI421" s="1430"/>
      <c r="AJ421" s="1430"/>
      <c r="AK421" s="1430"/>
      <c r="AL421" s="1430"/>
      <c r="AM421" s="1430"/>
      <c r="AN421" s="1430"/>
      <c r="AO421" s="1430"/>
      <c r="AP421" s="1430"/>
      <c r="AQ421" s="1430"/>
      <c r="AR421" s="1430"/>
      <c r="AS421" s="1430"/>
      <c r="AT421" s="1430"/>
      <c r="AU421" s="1430"/>
      <c r="AV421" s="1430"/>
      <c r="AW421" s="1430"/>
      <c r="AX421" s="1430"/>
      <c r="AY421" s="1430"/>
      <c r="AZ421" s="1430"/>
      <c r="BA421" s="1430"/>
      <c r="BB421" s="1430"/>
      <c r="BC421" s="1430"/>
      <c r="BD421" s="1422"/>
      <c r="BE421" s="1929"/>
      <c r="BF421" s="1929"/>
      <c r="BG421" s="1929"/>
      <c r="BH421" s="1530"/>
      <c r="BI421" s="1930"/>
      <c r="BJ421" s="1930"/>
      <c r="BK421" s="1930"/>
      <c r="BL421" s="1930"/>
      <c r="BM421" s="1930"/>
      <c r="BN421" s="1930"/>
      <c r="BO421" s="1930"/>
      <c r="BP421" s="1930"/>
      <c r="BQ421" s="1930"/>
      <c r="BR421" s="1930"/>
      <c r="BS421" s="1930"/>
      <c r="BT421" s="1930"/>
      <c r="BU421" s="1930"/>
      <c r="BV421" s="1930"/>
      <c r="BW421" s="1930"/>
      <c r="BX421" s="1930"/>
      <c r="BY421" s="1930"/>
      <c r="BZ421" s="1930"/>
      <c r="CA421" s="1930"/>
      <c r="CB421" s="1930"/>
      <c r="CC421" s="1930"/>
      <c r="CD421" s="1930"/>
      <c r="CE421" s="1930"/>
      <c r="CF421" s="1930"/>
      <c r="CG421" s="1930"/>
      <c r="CH421" s="1930"/>
      <c r="CI421" s="1930"/>
      <c r="CJ421" s="1930"/>
      <c r="CK421" s="1930"/>
      <c r="CL421" s="1930"/>
      <c r="CM421" s="1930"/>
      <c r="CN421" s="1930"/>
      <c r="CO421" s="1930"/>
      <c r="CP421" s="1930"/>
      <c r="CQ421" s="1930"/>
      <c r="CR421" s="1930"/>
      <c r="CS421" s="1930"/>
      <c r="CT421" s="1930"/>
      <c r="CU421" s="1930"/>
      <c r="CV421" s="1930"/>
      <c r="CW421" s="1930"/>
      <c r="CX421" s="1930"/>
      <c r="CY421" s="1930"/>
      <c r="CZ421" s="1930"/>
      <c r="DA421" s="1930"/>
      <c r="DB421" s="1930"/>
      <c r="DC421" s="1930"/>
      <c r="DD421" s="1930"/>
      <c r="DE421" s="1930"/>
      <c r="DF421" s="1930"/>
      <c r="DG421" s="1530"/>
      <c r="DH421" s="1530"/>
      <c r="DJ421" s="1427"/>
      <c r="DK421" s="1427"/>
      <c r="DL421" s="1427"/>
      <c r="DM421" s="1427"/>
      <c r="DN421" s="1427"/>
      <c r="DO421" s="1427"/>
      <c r="DP421" s="1427"/>
      <c r="DR421" s="1427"/>
      <c r="DS421" s="1427"/>
      <c r="DT421" s="1427"/>
      <c r="DU421" s="1427"/>
      <c r="DV421" s="1427"/>
      <c r="DW421" s="1427"/>
      <c r="DX421" s="1427"/>
      <c r="DY421" s="1427"/>
      <c r="DZ421" s="1427"/>
      <c r="EA421" s="1427"/>
      <c r="EB421" s="1427"/>
      <c r="EC421" s="1427"/>
      <c r="ED421" s="1427"/>
      <c r="EE421" s="1427"/>
      <c r="EF421" s="1427"/>
      <c r="EG421" s="1427"/>
      <c r="EH421" s="1427"/>
      <c r="EI421" s="1427"/>
      <c r="EJ421" s="1427"/>
      <c r="EK421" s="1427"/>
      <c r="EL421" s="1427"/>
      <c r="EM421" s="1427"/>
      <c r="EN421" s="1427"/>
      <c r="EO421" s="1427"/>
      <c r="EP421" s="1427"/>
      <c r="EQ421" s="1427"/>
      <c r="ER421" s="1427"/>
      <c r="ES421" s="1427"/>
      <c r="ET421" s="1427"/>
      <c r="EU421" s="1427"/>
    </row>
    <row r="422" spans="1:151" s="1440" customFormat="1" ht="15" customHeight="1">
      <c r="A422" s="1594"/>
      <c r="B422" s="1596" t="str">
        <f t="shared" si="590"/>
        <v>Laundry Facilities</v>
      </c>
      <c r="C422" s="1662"/>
      <c r="D422" s="1662"/>
      <c r="E422" s="1948">
        <f t="shared" si="589"/>
        <v>0</v>
      </c>
      <c r="F422" s="1422"/>
      <c r="G422" s="1422"/>
      <c r="H422" s="1475"/>
      <c r="I422" s="1475"/>
      <c r="L422" s="1475"/>
      <c r="M422" s="1475"/>
      <c r="N422" s="1430"/>
      <c r="O422" s="1430"/>
      <c r="P422" s="1430"/>
      <c r="Q422" s="1430"/>
      <c r="R422" s="1430"/>
      <c r="S422" s="1430"/>
      <c r="T422" s="1430"/>
      <c r="U422" s="1430"/>
      <c r="V422" s="1430"/>
      <c r="W422" s="1430"/>
      <c r="X422" s="1430"/>
      <c r="Y422" s="1430"/>
      <c r="Z422" s="1430"/>
      <c r="AA422" s="1430"/>
      <c r="AB422" s="1430"/>
      <c r="AC422" s="1430"/>
      <c r="AD422" s="1430"/>
      <c r="AE422" s="1430"/>
      <c r="AF422" s="1430"/>
      <c r="AG422" s="1430"/>
      <c r="AH422" s="1430"/>
      <c r="AI422" s="1430"/>
      <c r="AJ422" s="1430"/>
      <c r="AK422" s="1430"/>
      <c r="AL422" s="1430"/>
      <c r="AM422" s="1430"/>
      <c r="AN422" s="1430"/>
      <c r="AO422" s="1430"/>
      <c r="AP422" s="1430"/>
      <c r="AQ422" s="1430"/>
      <c r="AR422" s="1430"/>
      <c r="AS422" s="1430"/>
      <c r="AT422" s="1430"/>
      <c r="AU422" s="1430"/>
      <c r="AV422" s="1430"/>
      <c r="AW422" s="1430"/>
      <c r="AX422" s="1430"/>
      <c r="AY422" s="1430"/>
      <c r="AZ422" s="1430"/>
      <c r="BA422" s="1430"/>
      <c r="BB422" s="1430"/>
      <c r="BC422" s="1430"/>
      <c r="BD422" s="1422"/>
      <c r="BE422" s="1929"/>
      <c r="BF422" s="1929"/>
      <c r="BG422" s="1929"/>
      <c r="BH422" s="1530"/>
      <c r="BI422" s="1930"/>
      <c r="BJ422" s="1930"/>
      <c r="BK422" s="1930"/>
      <c r="BL422" s="1930"/>
      <c r="BM422" s="1930"/>
      <c r="BN422" s="1930"/>
      <c r="BO422" s="1930"/>
      <c r="BP422" s="1930"/>
      <c r="BQ422" s="1930"/>
      <c r="BR422" s="1930"/>
      <c r="BS422" s="1930"/>
      <c r="BT422" s="1930"/>
      <c r="BU422" s="1930"/>
      <c r="BV422" s="1930"/>
      <c r="BW422" s="1930"/>
      <c r="BX422" s="1930"/>
      <c r="BY422" s="1930"/>
      <c r="BZ422" s="1930"/>
      <c r="CA422" s="1930"/>
      <c r="CB422" s="1930"/>
      <c r="CC422" s="1930"/>
      <c r="CD422" s="1930"/>
      <c r="CE422" s="1930"/>
      <c r="CF422" s="1930"/>
      <c r="CG422" s="1930"/>
      <c r="CH422" s="1930"/>
      <c r="CI422" s="1930"/>
      <c r="CJ422" s="1930"/>
      <c r="CK422" s="1930"/>
      <c r="CL422" s="1930"/>
      <c r="CM422" s="1930"/>
      <c r="CN422" s="1930"/>
      <c r="CO422" s="1930"/>
      <c r="CP422" s="1930"/>
      <c r="CQ422" s="1930"/>
      <c r="CR422" s="1930"/>
      <c r="CS422" s="1930"/>
      <c r="CT422" s="1930"/>
      <c r="CU422" s="1930"/>
      <c r="CV422" s="1930"/>
      <c r="CW422" s="1930"/>
      <c r="CX422" s="1930"/>
      <c r="CY422" s="1930"/>
      <c r="CZ422" s="1930"/>
      <c r="DA422" s="1930"/>
      <c r="DB422" s="1930"/>
      <c r="DC422" s="1930"/>
      <c r="DD422" s="1930"/>
      <c r="DE422" s="1930"/>
      <c r="DF422" s="1930"/>
      <c r="DG422" s="1530"/>
      <c r="DH422" s="1530"/>
      <c r="DJ422" s="1427"/>
      <c r="DK422" s="1427"/>
      <c r="DL422" s="1427"/>
      <c r="DM422" s="1427"/>
      <c r="DN422" s="1427"/>
      <c r="DO422" s="1427"/>
      <c r="DP422" s="1427"/>
      <c r="DR422" s="1427"/>
      <c r="DS422" s="1427"/>
      <c r="DT422" s="1427"/>
      <c r="DU422" s="1427"/>
      <c r="DV422" s="1427"/>
      <c r="DW422" s="1427"/>
      <c r="DX422" s="1427"/>
      <c r="DY422" s="1427"/>
      <c r="DZ422" s="1427"/>
      <c r="EA422" s="1427"/>
      <c r="EB422" s="1427"/>
      <c r="EC422" s="1427"/>
      <c r="ED422" s="1427"/>
      <c r="EE422" s="1427"/>
      <c r="EF422" s="1427"/>
      <c r="EG422" s="1427"/>
      <c r="EH422" s="1427"/>
      <c r="EI422" s="1427"/>
      <c r="EJ422" s="1427"/>
      <c r="EK422" s="1427"/>
      <c r="EL422" s="1427"/>
      <c r="EM422" s="1427"/>
      <c r="EN422" s="1427"/>
      <c r="EO422" s="1427"/>
      <c r="EP422" s="1427"/>
      <c r="EQ422" s="1427"/>
      <c r="ER422" s="1427"/>
      <c r="ES422" s="1427"/>
      <c r="ET422" s="1427"/>
      <c r="EU422" s="1427"/>
    </row>
    <row r="423" spans="1:151" s="1440" customFormat="1" ht="15" customHeight="1">
      <c r="A423" s="1594"/>
      <c r="B423" s="1596" t="str">
        <f t="shared" si="590"/>
        <v>Large Kitchens</v>
      </c>
      <c r="C423" s="1662"/>
      <c r="D423" s="1662"/>
      <c r="E423" s="1948">
        <f t="shared" si="589"/>
        <v>0</v>
      </c>
      <c r="F423" s="1422"/>
      <c r="G423" s="1422"/>
      <c r="H423" s="1475"/>
      <c r="I423" s="1475"/>
      <c r="L423" s="1475"/>
      <c r="M423" s="1475"/>
      <c r="N423" s="1430"/>
      <c r="O423" s="1430"/>
      <c r="P423" s="1430"/>
      <c r="Q423" s="1430"/>
      <c r="R423" s="1430"/>
      <c r="S423" s="1430"/>
      <c r="T423" s="1430"/>
      <c r="U423" s="1430"/>
      <c r="V423" s="1430"/>
      <c r="W423" s="1430"/>
      <c r="X423" s="1430"/>
      <c r="Y423" s="1430"/>
      <c r="Z423" s="1430"/>
      <c r="AA423" s="1430"/>
      <c r="AB423" s="1430"/>
      <c r="AC423" s="1430"/>
      <c r="AD423" s="1430"/>
      <c r="AE423" s="1430"/>
      <c r="AF423" s="1430"/>
      <c r="AG423" s="1430"/>
      <c r="AH423" s="1430"/>
      <c r="AI423" s="1430"/>
      <c r="AJ423" s="1430"/>
      <c r="AK423" s="1430"/>
      <c r="AL423" s="1430"/>
      <c r="AM423" s="1430"/>
      <c r="AN423" s="1430"/>
      <c r="AO423" s="1430"/>
      <c r="AP423" s="1430"/>
      <c r="AQ423" s="1430"/>
      <c r="AR423" s="1430"/>
      <c r="AS423" s="1430"/>
      <c r="AT423" s="1430"/>
      <c r="AU423" s="1430"/>
      <c r="AV423" s="1430"/>
      <c r="AW423" s="1430"/>
      <c r="AX423" s="1430"/>
      <c r="AY423" s="1430"/>
      <c r="AZ423" s="1430"/>
      <c r="BA423" s="1430"/>
      <c r="BB423" s="1430"/>
      <c r="BC423" s="1430"/>
      <c r="BD423" s="1422"/>
      <c r="BE423" s="1929"/>
      <c r="BF423" s="1929"/>
      <c r="BG423" s="1929"/>
      <c r="BH423" s="1530"/>
      <c r="BI423" s="1930"/>
      <c r="BJ423" s="1930"/>
      <c r="BK423" s="1930"/>
      <c r="BL423" s="1930"/>
      <c r="BM423" s="1930"/>
      <c r="BN423" s="1930"/>
      <c r="BO423" s="1930"/>
      <c r="BP423" s="1930"/>
      <c r="BQ423" s="1930"/>
      <c r="BR423" s="1930"/>
      <c r="BS423" s="1930"/>
      <c r="BT423" s="1930"/>
      <c r="BU423" s="1930"/>
      <c r="BV423" s="1930"/>
      <c r="BW423" s="1930"/>
      <c r="BX423" s="1930"/>
      <c r="BY423" s="1930"/>
      <c r="BZ423" s="1930"/>
      <c r="CA423" s="1930"/>
      <c r="CB423" s="1930"/>
      <c r="CC423" s="1930"/>
      <c r="CD423" s="1930"/>
      <c r="CE423" s="1930"/>
      <c r="CF423" s="1930"/>
      <c r="CG423" s="1930"/>
      <c r="CH423" s="1930"/>
      <c r="CI423" s="1930"/>
      <c r="CJ423" s="1930"/>
      <c r="CK423" s="1930"/>
      <c r="CL423" s="1930"/>
      <c r="CM423" s="1930"/>
      <c r="CN423" s="1930"/>
      <c r="CO423" s="1930"/>
      <c r="CP423" s="1930"/>
      <c r="CQ423" s="1930"/>
      <c r="CR423" s="1930"/>
      <c r="CS423" s="1930"/>
      <c r="CT423" s="1930"/>
      <c r="CU423" s="1930"/>
      <c r="CV423" s="1930"/>
      <c r="CW423" s="1930"/>
      <c r="CX423" s="1930"/>
      <c r="CY423" s="1930"/>
      <c r="CZ423" s="1930"/>
      <c r="DA423" s="1930"/>
      <c r="DB423" s="1930"/>
      <c r="DC423" s="1930"/>
      <c r="DD423" s="1930"/>
      <c r="DE423" s="1930"/>
      <c r="DF423" s="1930"/>
      <c r="DG423" s="1530"/>
      <c r="DH423" s="1530"/>
      <c r="DJ423" s="1427"/>
      <c r="DK423" s="1427"/>
      <c r="DL423" s="1427"/>
      <c r="DM423" s="1427"/>
      <c r="DN423" s="1427"/>
      <c r="DO423" s="1427"/>
      <c r="DP423" s="1427"/>
      <c r="DR423" s="1427"/>
      <c r="DS423" s="1427"/>
      <c r="DT423" s="1427"/>
      <c r="DU423" s="1427"/>
      <c r="DV423" s="1427"/>
      <c r="DW423" s="1427"/>
      <c r="DX423" s="1427"/>
      <c r="DY423" s="1427"/>
      <c r="DZ423" s="1427"/>
      <c r="EA423" s="1427"/>
      <c r="EB423" s="1427"/>
      <c r="EC423" s="1427"/>
      <c r="ED423" s="1427"/>
      <c r="EE423" s="1427"/>
      <c r="EF423" s="1427"/>
      <c r="EG423" s="1427"/>
      <c r="EH423" s="1427"/>
      <c r="EI423" s="1427"/>
      <c r="EJ423" s="1427"/>
      <c r="EK423" s="1427"/>
      <c r="EL423" s="1427"/>
      <c r="EM423" s="1427"/>
      <c r="EN423" s="1427"/>
      <c r="EO423" s="1427"/>
      <c r="EP423" s="1427"/>
      <c r="EQ423" s="1427"/>
      <c r="ER423" s="1427"/>
      <c r="ES423" s="1427"/>
      <c r="ET423" s="1427"/>
      <c r="EU423" s="1427"/>
    </row>
    <row r="424" spans="1:151" s="1440" customFormat="1" ht="15" customHeight="1">
      <c r="A424" s="1594"/>
      <c r="B424" s="1596" t="str">
        <f t="shared" si="590"/>
        <v>{Other Water Use 1}</v>
      </c>
      <c r="C424" s="1662"/>
      <c r="D424" s="1662"/>
      <c r="E424" s="1948">
        <f t="shared" si="589"/>
        <v>0</v>
      </c>
      <c r="F424" s="1422"/>
      <c r="G424" s="1422"/>
      <c r="H424" s="1475"/>
      <c r="I424" s="1475"/>
      <c r="L424" s="1475"/>
      <c r="M424" s="1475"/>
      <c r="N424" s="1430"/>
      <c r="O424" s="1430"/>
      <c r="P424" s="1430"/>
      <c r="Q424" s="1430"/>
      <c r="R424" s="1430"/>
      <c r="S424" s="1430"/>
      <c r="T424" s="1430"/>
      <c r="U424" s="1430"/>
      <c r="V424" s="1430"/>
      <c r="W424" s="1430"/>
      <c r="X424" s="1430"/>
      <c r="Y424" s="1430"/>
      <c r="Z424" s="1430"/>
      <c r="AA424" s="1430"/>
      <c r="AB424" s="1430"/>
      <c r="AC424" s="1430"/>
      <c r="AD424" s="1430"/>
      <c r="AE424" s="1430"/>
      <c r="AF424" s="1430"/>
      <c r="AG424" s="1430"/>
      <c r="AH424" s="1430"/>
      <c r="AI424" s="1430"/>
      <c r="AJ424" s="1430"/>
      <c r="AK424" s="1430"/>
      <c r="AL424" s="1430"/>
      <c r="AM424" s="1430"/>
      <c r="AN424" s="1430"/>
      <c r="AO424" s="1430"/>
      <c r="AP424" s="1430"/>
      <c r="AQ424" s="1430"/>
      <c r="AR424" s="1430"/>
      <c r="AS424" s="1430"/>
      <c r="AT424" s="1430"/>
      <c r="AU424" s="1430"/>
      <c r="AV424" s="1430"/>
      <c r="AW424" s="1430"/>
      <c r="AX424" s="1430"/>
      <c r="AY424" s="1430"/>
      <c r="AZ424" s="1430"/>
      <c r="BA424" s="1430"/>
      <c r="BB424" s="1430"/>
      <c r="BC424" s="1430"/>
      <c r="BD424" s="1422"/>
      <c r="BE424" s="1929"/>
      <c r="BF424" s="1929"/>
      <c r="BG424" s="1929"/>
      <c r="BH424" s="1530"/>
      <c r="BI424" s="1930"/>
      <c r="BJ424" s="1930"/>
      <c r="BK424" s="1930"/>
      <c r="BL424" s="1930"/>
      <c r="BM424" s="1930"/>
      <c r="BN424" s="1930"/>
      <c r="BO424" s="1930"/>
      <c r="BP424" s="1930"/>
      <c r="BQ424" s="1930"/>
      <c r="BR424" s="1930"/>
      <c r="BS424" s="1930"/>
      <c r="BT424" s="1930"/>
      <c r="BU424" s="1930"/>
      <c r="BV424" s="1930"/>
      <c r="BW424" s="1930"/>
      <c r="BX424" s="1930"/>
      <c r="BY424" s="1930"/>
      <c r="BZ424" s="1930"/>
      <c r="CA424" s="1930"/>
      <c r="CB424" s="1930"/>
      <c r="CC424" s="1930"/>
      <c r="CD424" s="1930"/>
      <c r="CE424" s="1930"/>
      <c r="CF424" s="1930"/>
      <c r="CG424" s="1930"/>
      <c r="CH424" s="1930"/>
      <c r="CI424" s="1930"/>
      <c r="CJ424" s="1930"/>
      <c r="CK424" s="1930"/>
      <c r="CL424" s="1930"/>
      <c r="CM424" s="1930"/>
      <c r="CN424" s="1930"/>
      <c r="CO424" s="1930"/>
      <c r="CP424" s="1930"/>
      <c r="CQ424" s="1930"/>
      <c r="CR424" s="1930"/>
      <c r="CS424" s="1930"/>
      <c r="CT424" s="1930"/>
      <c r="CU424" s="1930"/>
      <c r="CV424" s="1930"/>
      <c r="CW424" s="1930"/>
      <c r="CX424" s="1930"/>
      <c r="CY424" s="1930"/>
      <c r="CZ424" s="1930"/>
      <c r="DA424" s="1930"/>
      <c r="DB424" s="1930"/>
      <c r="DC424" s="1930"/>
      <c r="DD424" s="1930"/>
      <c r="DE424" s="1930"/>
      <c r="DF424" s="1930"/>
      <c r="DG424" s="1530"/>
      <c r="DH424" s="1530"/>
      <c r="DJ424" s="1427"/>
      <c r="DK424" s="1427"/>
      <c r="DL424" s="1427"/>
      <c r="DM424" s="1427"/>
      <c r="DN424" s="1427"/>
      <c r="DO424" s="1427"/>
      <c r="DP424" s="1427"/>
      <c r="DR424" s="1427"/>
      <c r="DS424" s="1427"/>
      <c r="DT424" s="1427"/>
      <c r="DU424" s="1427"/>
      <c r="DV424" s="1427"/>
      <c r="DW424" s="1427"/>
      <c r="DX424" s="1427"/>
      <c r="DY424" s="1427"/>
      <c r="DZ424" s="1427"/>
      <c r="EA424" s="1427"/>
      <c r="EB424" s="1427"/>
      <c r="EC424" s="1427"/>
      <c r="ED424" s="1427"/>
      <c r="EE424" s="1427"/>
      <c r="EF424" s="1427"/>
      <c r="EG424" s="1427"/>
      <c r="EH424" s="1427"/>
      <c r="EI424" s="1427"/>
      <c r="EJ424" s="1427"/>
      <c r="EK424" s="1427"/>
      <c r="EL424" s="1427"/>
      <c r="EM424" s="1427"/>
      <c r="EN424" s="1427"/>
      <c r="EO424" s="1427"/>
      <c r="EP424" s="1427"/>
      <c r="EQ424" s="1427"/>
      <c r="ER424" s="1427"/>
      <c r="ES424" s="1427"/>
      <c r="ET424" s="1427"/>
      <c r="EU424" s="1427"/>
    </row>
    <row r="425" spans="1:151" s="1440" customFormat="1" ht="15" customHeight="1">
      <c r="A425" s="1594"/>
      <c r="B425" s="1596" t="str">
        <f t="shared" si="590"/>
        <v>{Other Water Use 2}</v>
      </c>
      <c r="C425" s="1662"/>
      <c r="D425" s="1662"/>
      <c r="E425" s="1948">
        <f t="shared" si="589"/>
        <v>0</v>
      </c>
      <c r="F425" s="1422"/>
      <c r="G425" s="1422"/>
      <c r="H425" s="1475"/>
      <c r="I425" s="1475"/>
      <c r="L425" s="1475"/>
      <c r="M425" s="1475"/>
      <c r="N425" s="1430"/>
      <c r="O425" s="1430"/>
      <c r="P425" s="1430"/>
      <c r="Q425" s="1430"/>
      <c r="R425" s="1430"/>
      <c r="S425" s="1430"/>
      <c r="T425" s="1430"/>
      <c r="U425" s="1430"/>
      <c r="V425" s="1430"/>
      <c r="W425" s="1430"/>
      <c r="X425" s="1430"/>
      <c r="Y425" s="1430"/>
      <c r="Z425" s="1430"/>
      <c r="AA425" s="1430"/>
      <c r="AB425" s="1430"/>
      <c r="AC425" s="1430"/>
      <c r="AD425" s="1430"/>
      <c r="AE425" s="1430"/>
      <c r="AF425" s="1430"/>
      <c r="AG425" s="1430"/>
      <c r="AH425" s="1430"/>
      <c r="AI425" s="1430"/>
      <c r="AJ425" s="1430"/>
      <c r="AK425" s="1430"/>
      <c r="AL425" s="1430"/>
      <c r="AM425" s="1430"/>
      <c r="AN425" s="1430"/>
      <c r="AO425" s="1430"/>
      <c r="AP425" s="1430"/>
      <c r="AQ425" s="1430"/>
      <c r="AR425" s="1430"/>
      <c r="AS425" s="1430"/>
      <c r="AT425" s="1430"/>
      <c r="AU425" s="1430"/>
      <c r="AV425" s="1430"/>
      <c r="AW425" s="1430"/>
      <c r="AX425" s="1430"/>
      <c r="AY425" s="1430"/>
      <c r="AZ425" s="1430"/>
      <c r="BA425" s="1430"/>
      <c r="BB425" s="1430"/>
      <c r="BC425" s="1430"/>
      <c r="BD425" s="1422"/>
      <c r="BE425" s="1929"/>
      <c r="BF425" s="1929"/>
      <c r="BG425" s="1929"/>
      <c r="BH425" s="1530"/>
      <c r="BI425" s="1930"/>
      <c r="BJ425" s="1930"/>
      <c r="BK425" s="1930"/>
      <c r="BL425" s="1930"/>
      <c r="BM425" s="1930"/>
      <c r="BN425" s="1930"/>
      <c r="BO425" s="1930"/>
      <c r="BP425" s="1930"/>
      <c r="BQ425" s="1930"/>
      <c r="BR425" s="1930"/>
      <c r="BS425" s="1930"/>
      <c r="BT425" s="1930"/>
      <c r="BU425" s="1930"/>
      <c r="BV425" s="1930"/>
      <c r="BW425" s="1930"/>
      <c r="BX425" s="1930"/>
      <c r="BY425" s="1930"/>
      <c r="BZ425" s="1930"/>
      <c r="CA425" s="1930"/>
      <c r="CB425" s="1930"/>
      <c r="CC425" s="1930"/>
      <c r="CD425" s="1930"/>
      <c r="CE425" s="1930"/>
      <c r="CF425" s="1930"/>
      <c r="CG425" s="1930"/>
      <c r="CH425" s="1930"/>
      <c r="CI425" s="1930"/>
      <c r="CJ425" s="1930"/>
      <c r="CK425" s="1930"/>
      <c r="CL425" s="1930"/>
      <c r="CM425" s="1930"/>
      <c r="CN425" s="1930"/>
      <c r="CO425" s="1930"/>
      <c r="CP425" s="1930"/>
      <c r="CQ425" s="1930"/>
      <c r="CR425" s="1930"/>
      <c r="CS425" s="1930"/>
      <c r="CT425" s="1930"/>
      <c r="CU425" s="1930"/>
      <c r="CV425" s="1930"/>
      <c r="CW425" s="1930"/>
      <c r="CX425" s="1930"/>
      <c r="CY425" s="1930"/>
      <c r="CZ425" s="1930"/>
      <c r="DA425" s="1930"/>
      <c r="DB425" s="1930"/>
      <c r="DC425" s="1930"/>
      <c r="DD425" s="1930"/>
      <c r="DE425" s="1930"/>
      <c r="DF425" s="1930"/>
      <c r="DG425" s="1530"/>
      <c r="DH425" s="1530"/>
      <c r="DJ425" s="1427"/>
      <c r="DK425" s="1427"/>
      <c r="DL425" s="1427"/>
      <c r="DM425" s="1427"/>
      <c r="DN425" s="1427"/>
      <c r="DO425" s="1427"/>
      <c r="DP425" s="1427"/>
      <c r="DR425" s="1427"/>
      <c r="DS425" s="1427"/>
      <c r="DT425" s="1427"/>
      <c r="DU425" s="1427"/>
      <c r="DV425" s="1427"/>
      <c r="DW425" s="1427"/>
      <c r="DX425" s="1427"/>
      <c r="DY425" s="1427"/>
      <c r="DZ425" s="1427"/>
      <c r="EA425" s="1427"/>
      <c r="EB425" s="1427"/>
      <c r="EC425" s="1427"/>
      <c r="ED425" s="1427"/>
      <c r="EE425" s="1427"/>
      <c r="EF425" s="1427"/>
      <c r="EG425" s="1427"/>
      <c r="EH425" s="1427"/>
      <c r="EI425" s="1427"/>
      <c r="EJ425" s="1427"/>
      <c r="EK425" s="1427"/>
      <c r="EL425" s="1427"/>
      <c r="EM425" s="1427"/>
      <c r="EN425" s="1427"/>
      <c r="EO425" s="1427"/>
      <c r="EP425" s="1427"/>
      <c r="EQ425" s="1427"/>
      <c r="ER425" s="1427"/>
      <c r="ES425" s="1427"/>
      <c r="ET425" s="1427"/>
      <c r="EU425" s="1427"/>
    </row>
    <row r="426" spans="1:151" s="1440" customFormat="1" ht="15" customHeight="1">
      <c r="A426" s="1594"/>
      <c r="B426" s="1596" t="str">
        <f t="shared" si="590"/>
        <v>{Other Water Use 3}</v>
      </c>
      <c r="C426" s="1662"/>
      <c r="D426" s="1662"/>
      <c r="E426" s="1948">
        <f t="shared" si="589"/>
        <v>0</v>
      </c>
      <c r="F426" s="1422"/>
      <c r="G426" s="1422"/>
      <c r="H426" s="1475"/>
      <c r="I426" s="1475"/>
      <c r="L426" s="1475"/>
      <c r="M426" s="1475"/>
      <c r="N426" s="1430"/>
      <c r="O426" s="1430"/>
      <c r="P426" s="1430"/>
      <c r="Q426" s="1430"/>
      <c r="R426" s="1430"/>
      <c r="S426" s="1430"/>
      <c r="T426" s="1430"/>
      <c r="U426" s="1430"/>
      <c r="V426" s="1430"/>
      <c r="W426" s="1430"/>
      <c r="X426" s="1430"/>
      <c r="Y426" s="1430"/>
      <c r="Z426" s="1430"/>
      <c r="AA426" s="1430"/>
      <c r="AB426" s="1430"/>
      <c r="AC426" s="1430"/>
      <c r="AD426" s="1430"/>
      <c r="AE426" s="1430"/>
      <c r="AF426" s="1430"/>
      <c r="AG426" s="1430"/>
      <c r="AH426" s="1430"/>
      <c r="AI426" s="1430"/>
      <c r="AJ426" s="1430"/>
      <c r="AK426" s="1430"/>
      <c r="AL426" s="1430"/>
      <c r="AM426" s="1430"/>
      <c r="AN426" s="1430"/>
      <c r="AO426" s="1430"/>
      <c r="AP426" s="1430"/>
      <c r="AQ426" s="1430"/>
      <c r="AR426" s="1430"/>
      <c r="AS426" s="1430"/>
      <c r="AT426" s="1430"/>
      <c r="AU426" s="1430"/>
      <c r="AV426" s="1430"/>
      <c r="AW426" s="1430"/>
      <c r="AX426" s="1430"/>
      <c r="AY426" s="1430"/>
      <c r="AZ426" s="1430"/>
      <c r="BA426" s="1430"/>
      <c r="BB426" s="1430"/>
      <c r="BC426" s="1430"/>
      <c r="BD426" s="1422"/>
      <c r="BE426" s="1929"/>
      <c r="BF426" s="1929"/>
      <c r="BG426" s="1929"/>
      <c r="BH426" s="1530"/>
      <c r="BI426" s="1930"/>
      <c r="BJ426" s="1930"/>
      <c r="BK426" s="1930"/>
      <c r="BL426" s="1930"/>
      <c r="BM426" s="1930"/>
      <c r="BN426" s="1930"/>
      <c r="BO426" s="1930"/>
      <c r="BP426" s="1930"/>
      <c r="BQ426" s="1930"/>
      <c r="BR426" s="1930"/>
      <c r="BS426" s="1930"/>
      <c r="BT426" s="1930"/>
      <c r="BU426" s="1930"/>
      <c r="BV426" s="1930"/>
      <c r="BW426" s="1930"/>
      <c r="BX426" s="1930"/>
      <c r="BY426" s="1930"/>
      <c r="BZ426" s="1930"/>
      <c r="CA426" s="1930"/>
      <c r="CB426" s="1930"/>
      <c r="CC426" s="1930"/>
      <c r="CD426" s="1930"/>
      <c r="CE426" s="1930"/>
      <c r="CF426" s="1930"/>
      <c r="CG426" s="1930"/>
      <c r="CH426" s="1930"/>
      <c r="CI426" s="1930"/>
      <c r="CJ426" s="1930"/>
      <c r="CK426" s="1930"/>
      <c r="CL426" s="1930"/>
      <c r="CM426" s="1930"/>
      <c r="CN426" s="1930"/>
      <c r="CO426" s="1930"/>
      <c r="CP426" s="1930"/>
      <c r="CQ426" s="1930"/>
      <c r="CR426" s="1930"/>
      <c r="CS426" s="1930"/>
      <c r="CT426" s="1930"/>
      <c r="CU426" s="1930"/>
      <c r="CV426" s="1930"/>
      <c r="CW426" s="1930"/>
      <c r="CX426" s="1930"/>
      <c r="CY426" s="1930"/>
      <c r="CZ426" s="1930"/>
      <c r="DA426" s="1930"/>
      <c r="DB426" s="1930"/>
      <c r="DC426" s="1930"/>
      <c r="DD426" s="1930"/>
      <c r="DE426" s="1930"/>
      <c r="DF426" s="1930"/>
      <c r="DG426" s="1530"/>
      <c r="DH426" s="1530"/>
      <c r="DJ426" s="1427"/>
      <c r="DK426" s="1427"/>
      <c r="DL426" s="1427"/>
      <c r="DM426" s="1427"/>
      <c r="DN426" s="1427"/>
      <c r="DO426" s="1427"/>
      <c r="DP426" s="1427"/>
      <c r="DR426" s="1427"/>
      <c r="DS426" s="1427"/>
      <c r="DT426" s="1427"/>
      <c r="DU426" s="1427"/>
      <c r="DV426" s="1427"/>
      <c r="DW426" s="1427"/>
      <c r="DX426" s="1427"/>
      <c r="DY426" s="1427"/>
      <c r="DZ426" s="1427"/>
      <c r="EA426" s="1427"/>
      <c r="EB426" s="1427"/>
      <c r="EC426" s="1427"/>
      <c r="ED426" s="1427"/>
      <c r="EE426" s="1427"/>
      <c r="EF426" s="1427"/>
      <c r="EG426" s="1427"/>
      <c r="EH426" s="1427"/>
      <c r="EI426" s="1427"/>
      <c r="EJ426" s="1427"/>
      <c r="EK426" s="1427"/>
      <c r="EL426" s="1427"/>
      <c r="EM426" s="1427"/>
      <c r="EN426" s="1427"/>
      <c r="EO426" s="1427"/>
      <c r="EP426" s="1427"/>
      <c r="EQ426" s="1427"/>
      <c r="ER426" s="1427"/>
      <c r="ES426" s="1427"/>
      <c r="ET426" s="1427"/>
      <c r="EU426" s="1427"/>
    </row>
    <row r="427" spans="1:151" s="1440" customFormat="1">
      <c r="A427" s="1594"/>
      <c r="B427" s="1949" t="s">
        <v>1954</v>
      </c>
      <c r="C427" s="1949"/>
      <c r="D427" s="1950"/>
      <c r="E427" s="1951">
        <f>SUM(E415:E426)</f>
        <v>0</v>
      </c>
      <c r="F427" s="1422"/>
      <c r="G427" s="1422"/>
      <c r="L427" s="1475"/>
      <c r="M427" s="1475"/>
      <c r="N427" s="1430"/>
      <c r="O427" s="1430"/>
      <c r="P427" s="1430"/>
      <c r="Q427" s="1430"/>
      <c r="R427" s="1430"/>
      <c r="S427" s="1430"/>
      <c r="T427" s="1430"/>
      <c r="U427" s="1430"/>
      <c r="V427" s="1430"/>
      <c r="W427" s="1430"/>
      <c r="X427" s="1430"/>
      <c r="Y427" s="1430"/>
      <c r="Z427" s="1430"/>
      <c r="AA427" s="1430"/>
      <c r="AB427" s="1430"/>
      <c r="AC427" s="1430"/>
      <c r="AD427" s="1430"/>
      <c r="AE427" s="1430"/>
      <c r="AF427" s="1430"/>
      <c r="AG427" s="1430"/>
      <c r="AH427" s="1430"/>
      <c r="AI427" s="1430"/>
      <c r="AJ427" s="1430"/>
      <c r="AK427" s="1430"/>
      <c r="AL427" s="1430"/>
      <c r="AM427" s="1430"/>
      <c r="AN427" s="1430"/>
      <c r="AO427" s="1430"/>
      <c r="AP427" s="1430"/>
      <c r="AQ427" s="1430"/>
      <c r="AR427" s="1430"/>
      <c r="AS427" s="1430"/>
      <c r="AT427" s="1430"/>
      <c r="AU427" s="1430"/>
      <c r="AV427" s="1430"/>
      <c r="AW427" s="1430"/>
      <c r="AX427" s="1430"/>
      <c r="AY427" s="1430"/>
      <c r="AZ427" s="1430"/>
      <c r="BA427" s="1430"/>
      <c r="BB427" s="1430"/>
      <c r="BC427" s="1430"/>
      <c r="BD427" s="1422"/>
      <c r="BE427" s="1929"/>
      <c r="BF427" s="1929"/>
      <c r="BG427" s="1929"/>
      <c r="BH427" s="1530"/>
      <c r="BI427" s="1930"/>
      <c r="BJ427" s="1930"/>
      <c r="BK427" s="1930"/>
      <c r="BL427" s="1930"/>
      <c r="BM427" s="1930"/>
      <c r="BN427" s="1930"/>
      <c r="BO427" s="1930"/>
      <c r="BP427" s="1930"/>
      <c r="BQ427" s="1930"/>
      <c r="BR427" s="1930"/>
      <c r="BS427" s="1930"/>
      <c r="BT427" s="1930"/>
      <c r="BU427" s="1930"/>
      <c r="BV427" s="1930"/>
      <c r="BW427" s="1930"/>
      <c r="BX427" s="1930"/>
      <c r="BY427" s="1930"/>
      <c r="BZ427" s="1930"/>
      <c r="CA427" s="1930"/>
      <c r="CB427" s="1930"/>
      <c r="CC427" s="1930"/>
      <c r="CD427" s="1930"/>
      <c r="CE427" s="1930"/>
      <c r="CF427" s="1930"/>
      <c r="CG427" s="1930"/>
      <c r="CH427" s="1930"/>
      <c r="CI427" s="1930"/>
      <c r="CJ427" s="1930"/>
      <c r="CK427" s="1930"/>
      <c r="CL427" s="1930"/>
      <c r="CM427" s="1930"/>
      <c r="CN427" s="1930"/>
      <c r="CO427" s="1930"/>
      <c r="CP427" s="1930"/>
      <c r="CQ427" s="1930"/>
      <c r="CR427" s="1930"/>
      <c r="CS427" s="1930"/>
      <c r="CT427" s="1930"/>
      <c r="CU427" s="1930"/>
      <c r="CV427" s="1930"/>
      <c r="CW427" s="1930"/>
      <c r="CX427" s="1930"/>
      <c r="CY427" s="1930"/>
      <c r="CZ427" s="1930"/>
      <c r="DA427" s="1930"/>
      <c r="DB427" s="1930"/>
      <c r="DC427" s="1930"/>
      <c r="DD427" s="1930"/>
      <c r="DE427" s="1930"/>
      <c r="DF427" s="1930"/>
      <c r="DG427" s="1530"/>
      <c r="DH427" s="1530"/>
      <c r="DJ427" s="1427"/>
      <c r="DK427" s="1427"/>
      <c r="DL427" s="1427"/>
      <c r="DM427" s="1427"/>
      <c r="DN427" s="1427"/>
      <c r="DO427" s="1427"/>
      <c r="DP427" s="1427"/>
      <c r="DR427" s="1427"/>
      <c r="DS427" s="1427"/>
      <c r="DT427" s="1427"/>
      <c r="DU427" s="1427"/>
      <c r="DV427" s="1427"/>
      <c r="DW427" s="1427"/>
      <c r="DX427" s="1427"/>
      <c r="DY427" s="1427"/>
      <c r="DZ427" s="1427"/>
      <c r="EA427" s="1427"/>
      <c r="EB427" s="1427"/>
      <c r="EC427" s="1427"/>
      <c r="ED427" s="1427"/>
      <c r="EE427" s="1427"/>
      <c r="EF427" s="1427"/>
      <c r="EG427" s="1427"/>
      <c r="EH427" s="1427"/>
      <c r="EI427" s="1427"/>
      <c r="EJ427" s="1427"/>
      <c r="EK427" s="1427"/>
      <c r="EL427" s="1427"/>
      <c r="EM427" s="1427"/>
      <c r="EN427" s="1427"/>
      <c r="EO427" s="1427"/>
      <c r="EP427" s="1427"/>
      <c r="EQ427" s="1427"/>
      <c r="ER427" s="1427"/>
      <c r="ES427" s="1427"/>
      <c r="ET427" s="1427"/>
      <c r="EU427" s="1427"/>
    </row>
    <row r="428" spans="1:151" s="1440" customFormat="1">
      <c r="A428" s="1594"/>
      <c r="C428" s="1586"/>
      <c r="D428" s="1475"/>
      <c r="F428" s="1422"/>
      <c r="G428" s="1422"/>
      <c r="L428" s="1475"/>
      <c r="M428" s="1475"/>
      <c r="N428" s="1430"/>
      <c r="O428" s="1430"/>
      <c r="P428" s="1430"/>
      <c r="Q428" s="1430"/>
      <c r="R428" s="1430"/>
      <c r="S428" s="1430"/>
      <c r="T428" s="1430"/>
      <c r="U428" s="1430"/>
      <c r="V428" s="1430"/>
      <c r="W428" s="1430"/>
      <c r="X428" s="1430"/>
      <c r="Y428" s="1430"/>
      <c r="Z428" s="1430"/>
      <c r="AA428" s="1430"/>
      <c r="AB428" s="1430"/>
      <c r="AC428" s="1430"/>
      <c r="AD428" s="1430"/>
      <c r="AE428" s="1430"/>
      <c r="AF428" s="1430"/>
      <c r="AG428" s="1430"/>
      <c r="AH428" s="1430"/>
      <c r="AI428" s="1430"/>
      <c r="AJ428" s="1430"/>
      <c r="AK428" s="1430"/>
      <c r="AL428" s="1430"/>
      <c r="AM428" s="1430"/>
      <c r="AN428" s="1430"/>
      <c r="AO428" s="1430"/>
      <c r="AP428" s="1430"/>
      <c r="AQ428" s="1430"/>
      <c r="AR428" s="1430"/>
      <c r="AS428" s="1430"/>
      <c r="AT428" s="1430"/>
      <c r="AU428" s="1430"/>
      <c r="AV428" s="1430"/>
      <c r="AW428" s="1430"/>
      <c r="AX428" s="1430"/>
      <c r="AY428" s="1430"/>
      <c r="AZ428" s="1430"/>
      <c r="BA428" s="1430"/>
      <c r="BB428" s="1430"/>
      <c r="BC428" s="1430"/>
      <c r="BD428" s="1422"/>
      <c r="BE428" s="1929"/>
      <c r="BF428" s="1929"/>
      <c r="BG428" s="1929"/>
      <c r="BH428" s="1530"/>
      <c r="BI428" s="1930"/>
      <c r="BJ428" s="1930"/>
      <c r="BK428" s="1930"/>
      <c r="BL428" s="1930"/>
      <c r="BM428" s="1930"/>
      <c r="BN428" s="1930"/>
      <c r="BO428" s="1930"/>
      <c r="BP428" s="1930"/>
      <c r="BQ428" s="1930"/>
      <c r="BR428" s="1930"/>
      <c r="BS428" s="1930"/>
      <c r="BT428" s="1930"/>
      <c r="BU428" s="1930"/>
      <c r="BV428" s="1930"/>
      <c r="BW428" s="1930"/>
      <c r="BX428" s="1930"/>
      <c r="BY428" s="1930"/>
      <c r="BZ428" s="1930"/>
      <c r="CA428" s="1930"/>
      <c r="CB428" s="1930"/>
      <c r="CC428" s="1930"/>
      <c r="CD428" s="1930"/>
      <c r="CE428" s="1930"/>
      <c r="CF428" s="1930"/>
      <c r="CG428" s="1930"/>
      <c r="CH428" s="1930"/>
      <c r="CI428" s="1930"/>
      <c r="CJ428" s="1930"/>
      <c r="CK428" s="1930"/>
      <c r="CL428" s="1930"/>
      <c r="CM428" s="1930"/>
      <c r="CN428" s="1930"/>
      <c r="CO428" s="1930"/>
      <c r="CP428" s="1930"/>
      <c r="CQ428" s="1930"/>
      <c r="CR428" s="1930"/>
      <c r="CS428" s="1930"/>
      <c r="CT428" s="1930"/>
      <c r="CU428" s="1930"/>
      <c r="CV428" s="1930"/>
      <c r="CW428" s="1930"/>
      <c r="CX428" s="1930"/>
      <c r="CY428" s="1930"/>
      <c r="CZ428" s="1930"/>
      <c r="DA428" s="1930"/>
      <c r="DB428" s="1930"/>
      <c r="DC428" s="1930"/>
      <c r="DD428" s="1930"/>
      <c r="DE428" s="1930"/>
      <c r="DF428" s="1930"/>
      <c r="DG428" s="1530"/>
      <c r="DH428" s="1530"/>
      <c r="DJ428" s="1427"/>
      <c r="DK428" s="1427"/>
      <c r="DL428" s="1427"/>
      <c r="DM428" s="1427"/>
      <c r="DN428" s="1427"/>
      <c r="DO428" s="1427"/>
      <c r="DP428" s="1427"/>
      <c r="DR428" s="1427"/>
      <c r="DS428" s="1427"/>
      <c r="DT428" s="1427"/>
      <c r="DU428" s="1427"/>
      <c r="DV428" s="1427"/>
      <c r="DW428" s="1427"/>
      <c r="DX428" s="1427"/>
      <c r="DY428" s="1427"/>
      <c r="DZ428" s="1427"/>
      <c r="EA428" s="1427"/>
      <c r="EB428" s="1427"/>
      <c r="EC428" s="1427"/>
      <c r="ED428" s="1427"/>
      <c r="EE428" s="1427"/>
      <c r="EF428" s="1427"/>
      <c r="EG428" s="1427"/>
      <c r="EH428" s="1427"/>
      <c r="EI428" s="1427"/>
      <c r="EJ428" s="1427"/>
      <c r="EK428" s="1427"/>
      <c r="EL428" s="1427"/>
      <c r="EM428" s="1427"/>
      <c r="EN428" s="1427"/>
      <c r="EO428" s="1427"/>
      <c r="EP428" s="1427"/>
      <c r="EQ428" s="1427"/>
      <c r="ER428" s="1427"/>
      <c r="ES428" s="1427"/>
      <c r="ET428" s="1427"/>
      <c r="EU428" s="1427"/>
    </row>
    <row r="429" spans="1:151" s="1440" customFormat="1" ht="15" customHeight="1">
      <c r="A429" s="1422"/>
      <c r="C429" s="1475"/>
      <c r="D429" s="1475"/>
      <c r="F429" s="1422"/>
      <c r="G429" s="1422"/>
      <c r="L429" s="1475"/>
      <c r="M429" s="1475"/>
      <c r="N429" s="1430"/>
      <c r="O429" s="1430"/>
      <c r="P429" s="1430"/>
      <c r="Q429" s="1430"/>
      <c r="R429" s="1430"/>
      <c r="S429" s="1430"/>
      <c r="T429" s="1430"/>
      <c r="U429" s="1430"/>
      <c r="V429" s="1430"/>
      <c r="W429" s="1430"/>
      <c r="X429" s="1430"/>
      <c r="Y429" s="1430"/>
      <c r="Z429" s="1430"/>
      <c r="AA429" s="1430"/>
      <c r="AB429" s="1430"/>
      <c r="AC429" s="1430"/>
      <c r="AD429" s="1430"/>
      <c r="AE429" s="1430"/>
      <c r="AF429" s="1430"/>
      <c r="AG429" s="1430"/>
      <c r="AH429" s="1430"/>
      <c r="AI429" s="1430"/>
      <c r="AJ429" s="1430"/>
      <c r="AK429" s="1430"/>
      <c r="AL429" s="1430"/>
      <c r="AM429" s="1430"/>
      <c r="AN429" s="1430"/>
      <c r="AO429" s="1430"/>
      <c r="AP429" s="1430"/>
      <c r="AQ429" s="1430"/>
      <c r="AR429" s="1430"/>
      <c r="AS429" s="1430"/>
      <c r="AT429" s="1430"/>
      <c r="AU429" s="1430"/>
      <c r="AV429" s="1430"/>
      <c r="AW429" s="1430"/>
      <c r="AX429" s="1430"/>
      <c r="AY429" s="1430"/>
      <c r="AZ429" s="1430"/>
      <c r="BA429" s="1430"/>
      <c r="BB429" s="1430"/>
      <c r="BC429" s="1430"/>
      <c r="BD429" s="1422"/>
      <c r="BE429" s="1929"/>
      <c r="BF429" s="1929"/>
      <c r="BG429" s="1929"/>
      <c r="BH429" s="1530"/>
      <c r="BI429" s="1930"/>
      <c r="BJ429" s="1930"/>
      <c r="BK429" s="1930"/>
      <c r="BL429" s="1930"/>
      <c r="BM429" s="1930"/>
      <c r="BN429" s="1930"/>
      <c r="BO429" s="1930"/>
      <c r="BP429" s="1930"/>
      <c r="BQ429" s="1930"/>
      <c r="BR429" s="1930"/>
      <c r="BS429" s="1930"/>
      <c r="BT429" s="1930"/>
      <c r="BU429" s="1930"/>
      <c r="BV429" s="1930"/>
      <c r="BW429" s="1930"/>
      <c r="BX429" s="1930"/>
      <c r="BY429" s="1930"/>
      <c r="BZ429" s="1930"/>
      <c r="CA429" s="1930"/>
      <c r="CB429" s="1930"/>
      <c r="CC429" s="1930"/>
      <c r="CD429" s="1930"/>
      <c r="CE429" s="1930"/>
      <c r="CF429" s="1930"/>
      <c r="CG429" s="1930"/>
      <c r="CH429" s="1930"/>
      <c r="CI429" s="1930"/>
      <c r="CJ429" s="1930"/>
      <c r="CK429" s="1930"/>
      <c r="CL429" s="1930"/>
      <c r="CM429" s="1930"/>
      <c r="CN429" s="1930"/>
      <c r="CO429" s="1930"/>
      <c r="CP429" s="1930"/>
      <c r="CQ429" s="1930"/>
      <c r="CR429" s="1930"/>
      <c r="CS429" s="1930"/>
      <c r="CT429" s="1930"/>
      <c r="CU429" s="1930"/>
      <c r="CV429" s="1930"/>
      <c r="CW429" s="1930"/>
      <c r="CX429" s="1930"/>
      <c r="CY429" s="1930"/>
      <c r="CZ429" s="1930"/>
      <c r="DA429" s="1930"/>
      <c r="DB429" s="1930"/>
      <c r="DC429" s="1930"/>
      <c r="DD429" s="1930"/>
      <c r="DE429" s="1930"/>
      <c r="DF429" s="1930"/>
      <c r="DG429" s="1530"/>
      <c r="DH429" s="1530"/>
      <c r="DJ429" s="1427"/>
      <c r="DK429" s="1427"/>
      <c r="DL429" s="1427"/>
      <c r="DM429" s="1427"/>
      <c r="DN429" s="1427"/>
      <c r="DO429" s="1427"/>
      <c r="DP429" s="1427"/>
      <c r="DR429" s="1427"/>
      <c r="DS429" s="1427"/>
      <c r="DT429" s="1427"/>
      <c r="DU429" s="1427"/>
      <c r="DV429" s="1427"/>
      <c r="DW429" s="1427"/>
      <c r="DX429" s="1427"/>
      <c r="DY429" s="1427"/>
      <c r="DZ429" s="1427"/>
      <c r="EA429" s="1427"/>
      <c r="EB429" s="1427"/>
      <c r="EC429" s="1427"/>
      <c r="ED429" s="1427"/>
      <c r="EE429" s="1427"/>
      <c r="EF429" s="1427"/>
      <c r="EG429" s="1427"/>
      <c r="EH429" s="1427"/>
      <c r="EI429" s="1427"/>
      <c r="EJ429" s="1427"/>
      <c r="EK429" s="1427"/>
      <c r="EL429" s="1427"/>
      <c r="EM429" s="1427"/>
      <c r="EN429" s="1427"/>
      <c r="EO429" s="1427"/>
      <c r="EP429" s="1427"/>
      <c r="EQ429" s="1427"/>
      <c r="ER429" s="1427"/>
      <c r="ES429" s="1427"/>
      <c r="ET429" s="1427"/>
      <c r="EU429" s="1427"/>
    </row>
    <row r="430" spans="1:151" s="1440" customFormat="1">
      <c r="A430" s="1594"/>
      <c r="B430" s="1952" t="s">
        <v>1958</v>
      </c>
      <c r="C430" s="1952"/>
      <c r="D430" s="1952"/>
      <c r="E430" s="1952"/>
      <c r="F430" s="1934" t="s">
        <v>368</v>
      </c>
      <c r="G430" s="1422"/>
      <c r="L430" s="1475"/>
      <c r="M430" s="1475"/>
      <c r="N430" s="1430"/>
      <c r="O430" s="1430"/>
      <c r="P430" s="1430"/>
      <c r="Q430" s="1430"/>
      <c r="R430" s="1430"/>
      <c r="S430" s="1430"/>
      <c r="T430" s="1430"/>
      <c r="U430" s="1430"/>
      <c r="V430" s="1430"/>
      <c r="W430" s="1430"/>
      <c r="X430" s="1430"/>
      <c r="Y430" s="1430"/>
      <c r="Z430" s="1430"/>
      <c r="AA430" s="1430"/>
      <c r="AB430" s="1430"/>
      <c r="AC430" s="1430"/>
      <c r="AD430" s="1430"/>
      <c r="AE430" s="1430"/>
      <c r="AF430" s="1430"/>
      <c r="AG430" s="1430"/>
      <c r="AH430" s="1430"/>
      <c r="AI430" s="1430"/>
      <c r="AJ430" s="1430"/>
      <c r="AK430" s="1430"/>
      <c r="AL430" s="1430"/>
      <c r="AM430" s="1430"/>
      <c r="AN430" s="1430"/>
      <c r="AO430" s="1430"/>
      <c r="AP430" s="1430"/>
      <c r="AQ430" s="1430"/>
      <c r="AR430" s="1430"/>
      <c r="AS430" s="1430"/>
      <c r="AT430" s="1430"/>
      <c r="AU430" s="1430"/>
      <c r="AV430" s="1430"/>
      <c r="AW430" s="1430"/>
      <c r="AX430" s="1430"/>
      <c r="AY430" s="1430"/>
      <c r="AZ430" s="1430"/>
      <c r="BA430" s="1430"/>
      <c r="BB430" s="1430"/>
      <c r="BC430" s="1430"/>
      <c r="BD430" s="1422"/>
      <c r="BE430" s="1929"/>
      <c r="BF430" s="1929"/>
      <c r="BG430" s="1929"/>
      <c r="BH430" s="1530"/>
      <c r="BI430" s="1930"/>
      <c r="BJ430" s="1930"/>
      <c r="BK430" s="1930"/>
      <c r="BL430" s="1930"/>
      <c r="BM430" s="1930"/>
      <c r="BN430" s="1930"/>
      <c r="BO430" s="1930"/>
      <c r="BP430" s="1930"/>
      <c r="BQ430" s="1930"/>
      <c r="BR430" s="1930"/>
      <c r="BS430" s="1930"/>
      <c r="BT430" s="1930"/>
      <c r="BU430" s="1930"/>
      <c r="BV430" s="1930"/>
      <c r="BW430" s="1930"/>
      <c r="BX430" s="1930"/>
      <c r="BY430" s="1930"/>
      <c r="BZ430" s="1930"/>
      <c r="CA430" s="1930"/>
      <c r="CB430" s="1930"/>
      <c r="CC430" s="1930"/>
      <c r="CD430" s="1930"/>
      <c r="CE430" s="1930"/>
      <c r="CF430" s="1930"/>
      <c r="CG430" s="1930"/>
      <c r="CH430" s="1930"/>
      <c r="CI430" s="1930"/>
      <c r="CJ430" s="1930"/>
      <c r="CK430" s="1930"/>
      <c r="CL430" s="1930"/>
      <c r="CM430" s="1930"/>
      <c r="CN430" s="1930"/>
      <c r="CO430" s="1930"/>
      <c r="CP430" s="1930"/>
      <c r="CQ430" s="1930"/>
      <c r="CR430" s="1930"/>
      <c r="CS430" s="1930"/>
      <c r="CT430" s="1930"/>
      <c r="CU430" s="1930"/>
      <c r="CV430" s="1930"/>
      <c r="CW430" s="1930"/>
      <c r="CX430" s="1930"/>
      <c r="CY430" s="1930"/>
      <c r="CZ430" s="1930"/>
      <c r="DA430" s="1930"/>
      <c r="DB430" s="1930"/>
      <c r="DC430" s="1930"/>
      <c r="DD430" s="1930"/>
      <c r="DE430" s="1930"/>
      <c r="DF430" s="1930"/>
      <c r="DG430" s="1530"/>
      <c r="DH430" s="1530"/>
      <c r="DJ430" s="1427"/>
      <c r="DK430" s="1427"/>
      <c r="DL430" s="1427"/>
      <c r="DM430" s="1427"/>
      <c r="DN430" s="1427"/>
      <c r="DO430" s="1427"/>
      <c r="DP430" s="1427"/>
      <c r="DR430" s="1427"/>
      <c r="DS430" s="1427"/>
      <c r="DT430" s="1427"/>
      <c r="DU430" s="1427"/>
      <c r="DV430" s="1427"/>
      <c r="DW430" s="1427"/>
      <c r="DX430" s="1427"/>
      <c r="DY430" s="1427"/>
      <c r="DZ430" s="1427"/>
      <c r="EA430" s="1427"/>
      <c r="EB430" s="1427"/>
      <c r="EC430" s="1427"/>
      <c r="ED430" s="1427"/>
      <c r="EE430" s="1427"/>
      <c r="EF430" s="1427"/>
      <c r="EG430" s="1427"/>
      <c r="EH430" s="1427"/>
      <c r="EI430" s="1427"/>
      <c r="EJ430" s="1427"/>
      <c r="EK430" s="1427"/>
      <c r="EL430" s="1427"/>
      <c r="EM430" s="1427"/>
      <c r="EN430" s="1427"/>
      <c r="EO430" s="1427"/>
      <c r="EP430" s="1427"/>
      <c r="EQ430" s="1427"/>
      <c r="ER430" s="1427"/>
      <c r="ES430" s="1427"/>
      <c r="ET430" s="1427"/>
      <c r="EU430" s="1427"/>
    </row>
    <row r="431" spans="1:151" s="1440" customFormat="1">
      <c r="A431" s="1594"/>
      <c r="B431" s="2446" t="s">
        <v>1959</v>
      </c>
      <c r="C431" s="2446"/>
      <c r="D431" s="2446"/>
      <c r="E431" s="1422"/>
      <c r="F431" s="1422"/>
      <c r="G431" s="1422"/>
      <c r="L431" s="1475"/>
      <c r="M431" s="1475"/>
      <c r="N431" s="1430"/>
      <c r="O431" s="1430"/>
      <c r="P431" s="1430"/>
      <c r="Q431" s="1430"/>
      <c r="R431" s="1430"/>
      <c r="S431" s="1430"/>
      <c r="T431" s="1430"/>
      <c r="U431" s="1430"/>
      <c r="V431" s="1430"/>
      <c r="W431" s="1430"/>
      <c r="X431" s="1430"/>
      <c r="Y431" s="1430"/>
      <c r="Z431" s="1430"/>
      <c r="AA431" s="1430"/>
      <c r="AB431" s="1430"/>
      <c r="AC431" s="1430"/>
      <c r="AD431" s="1430"/>
      <c r="AE431" s="1430"/>
      <c r="AF431" s="1430"/>
      <c r="AG431" s="1430"/>
      <c r="AH431" s="1430"/>
      <c r="AI431" s="1430"/>
      <c r="AJ431" s="1430"/>
      <c r="AK431" s="1430"/>
      <c r="AL431" s="1430"/>
      <c r="AM431" s="1430"/>
      <c r="AN431" s="1430"/>
      <c r="AO431" s="1430"/>
      <c r="AP431" s="1430"/>
      <c r="AQ431" s="1430"/>
      <c r="AR431" s="1430"/>
      <c r="AS431" s="1430"/>
      <c r="AT431" s="1430"/>
      <c r="AU431" s="1430"/>
      <c r="AV431" s="1430"/>
      <c r="AW431" s="1430"/>
      <c r="AX431" s="1430"/>
      <c r="AY431" s="1430"/>
      <c r="AZ431" s="1430"/>
      <c r="BA431" s="1430"/>
      <c r="BB431" s="1430"/>
      <c r="BC431" s="1430"/>
      <c r="BD431" s="1422"/>
      <c r="BE431" s="1929"/>
      <c r="BF431" s="1929"/>
      <c r="BG431" s="1929"/>
      <c r="BH431" s="1530"/>
      <c r="BI431" s="1930"/>
      <c r="BJ431" s="1930"/>
      <c r="BK431" s="1930"/>
      <c r="BL431" s="1930"/>
      <c r="BM431" s="1930"/>
      <c r="BN431" s="1930"/>
      <c r="BO431" s="1930"/>
      <c r="BP431" s="1930"/>
      <c r="BQ431" s="1930"/>
      <c r="BR431" s="1930"/>
      <c r="BS431" s="1930"/>
      <c r="BT431" s="1930"/>
      <c r="BU431" s="1930"/>
      <c r="BV431" s="1930"/>
      <c r="BW431" s="1930"/>
      <c r="BX431" s="1930"/>
      <c r="BY431" s="1930"/>
      <c r="BZ431" s="1930"/>
      <c r="CA431" s="1930"/>
      <c r="CB431" s="1930"/>
      <c r="CC431" s="1930"/>
      <c r="CD431" s="1930"/>
      <c r="CE431" s="1930"/>
      <c r="CF431" s="1930"/>
      <c r="CG431" s="1930"/>
      <c r="CH431" s="1930"/>
      <c r="CI431" s="1930"/>
      <c r="CJ431" s="1930"/>
      <c r="CK431" s="1930"/>
      <c r="CL431" s="1930"/>
      <c r="CM431" s="1930"/>
      <c r="CN431" s="1930"/>
      <c r="CO431" s="1930"/>
      <c r="CP431" s="1930"/>
      <c r="CQ431" s="1930"/>
      <c r="CR431" s="1930"/>
      <c r="CS431" s="1930"/>
      <c r="CT431" s="1930"/>
      <c r="CU431" s="1930"/>
      <c r="CV431" s="1930"/>
      <c r="CW431" s="1930"/>
      <c r="CX431" s="1930"/>
      <c r="CY431" s="1930"/>
      <c r="CZ431" s="1930"/>
      <c r="DA431" s="1930"/>
      <c r="DB431" s="1930"/>
      <c r="DC431" s="1930"/>
      <c r="DD431" s="1930"/>
      <c r="DE431" s="1930"/>
      <c r="DF431" s="1930"/>
      <c r="DG431" s="1530"/>
      <c r="DH431" s="1530"/>
      <c r="DJ431" s="1427"/>
      <c r="DK431" s="1427"/>
      <c r="DL431" s="1427"/>
      <c r="DM431" s="1427"/>
      <c r="DN431" s="1427"/>
      <c r="DO431" s="1427"/>
      <c r="DP431" s="1427"/>
      <c r="DR431" s="1427"/>
      <c r="DS431" s="1427"/>
      <c r="DT431" s="1427"/>
      <c r="DU431" s="1427"/>
      <c r="DV431" s="1427"/>
      <c r="DW431" s="1427"/>
      <c r="DX431" s="1427"/>
      <c r="DY431" s="1427"/>
      <c r="DZ431" s="1427"/>
      <c r="EA431" s="1427"/>
      <c r="EB431" s="1427"/>
      <c r="EC431" s="1427"/>
      <c r="ED431" s="1427"/>
      <c r="EE431" s="1427"/>
      <c r="EF431" s="1427"/>
      <c r="EG431" s="1427"/>
      <c r="EH431" s="1427"/>
      <c r="EI431" s="1427"/>
      <c r="EJ431" s="1427"/>
      <c r="EK431" s="1427"/>
      <c r="EL431" s="1427"/>
      <c r="EM431" s="1427"/>
      <c r="EN431" s="1427"/>
      <c r="EO431" s="1427"/>
      <c r="EP431" s="1427"/>
      <c r="EQ431" s="1427"/>
      <c r="ER431" s="1427"/>
      <c r="ES431" s="1427"/>
      <c r="ET431" s="1427"/>
      <c r="EU431" s="1427"/>
    </row>
    <row r="432" spans="1:151" s="1440" customFormat="1" ht="24.75">
      <c r="A432" s="1594"/>
      <c r="B432" s="1596"/>
      <c r="C432" s="1596" t="s">
        <v>1886</v>
      </c>
      <c r="D432" s="1596" t="s">
        <v>1887</v>
      </c>
      <c r="E432" s="1596" t="s">
        <v>1943</v>
      </c>
      <c r="F432" s="2447" t="s">
        <v>1888</v>
      </c>
      <c r="G432" s="1422"/>
      <c r="L432" s="1475"/>
      <c r="M432" s="1475"/>
      <c r="N432" s="1430"/>
      <c r="O432" s="1430"/>
      <c r="P432" s="1430"/>
      <c r="Q432" s="1430"/>
      <c r="R432" s="1430"/>
      <c r="S432" s="1430"/>
      <c r="T432" s="1430"/>
      <c r="U432" s="1430"/>
      <c r="V432" s="1430"/>
      <c r="W432" s="1430"/>
      <c r="X432" s="1430"/>
      <c r="Y432" s="1430"/>
      <c r="Z432" s="1430"/>
      <c r="AA432" s="1430"/>
      <c r="AB432" s="1430"/>
      <c r="AC432" s="1430"/>
      <c r="AD432" s="1430"/>
      <c r="AE432" s="1430"/>
      <c r="AF432" s="1430"/>
      <c r="AG432" s="1430"/>
      <c r="AH432" s="1430"/>
      <c r="AI432" s="1430"/>
      <c r="AJ432" s="1430"/>
      <c r="AK432" s="1430"/>
      <c r="AL432" s="1430"/>
      <c r="AM432" s="1430"/>
      <c r="AN432" s="1430"/>
      <c r="AO432" s="1430"/>
      <c r="AP432" s="1430"/>
      <c r="AQ432" s="1430"/>
      <c r="AR432" s="1430"/>
      <c r="AS432" s="1430"/>
      <c r="AT432" s="1430"/>
      <c r="AU432" s="1430"/>
      <c r="AV432" s="1430"/>
      <c r="AW432" s="1430"/>
      <c r="AX432" s="1430"/>
      <c r="AY432" s="1430"/>
      <c r="AZ432" s="1430"/>
      <c r="BA432" s="1430"/>
      <c r="BB432" s="1430"/>
      <c r="BC432" s="1430"/>
      <c r="BD432" s="1422"/>
      <c r="BE432" s="1929"/>
      <c r="BF432" s="1929"/>
      <c r="BG432" s="1929"/>
      <c r="BH432" s="1530"/>
      <c r="BI432" s="1930"/>
      <c r="BJ432" s="1930"/>
      <c r="BK432" s="1930"/>
      <c r="BL432" s="1930"/>
      <c r="BM432" s="1930"/>
      <c r="BN432" s="1930"/>
      <c r="BO432" s="1930"/>
      <c r="BP432" s="1930"/>
      <c r="BQ432" s="1930"/>
      <c r="BR432" s="1930"/>
      <c r="BS432" s="1930"/>
      <c r="BT432" s="1930"/>
      <c r="BU432" s="1930"/>
      <c r="BV432" s="1930"/>
      <c r="BW432" s="1930"/>
      <c r="BX432" s="1930"/>
      <c r="BY432" s="1930"/>
      <c r="BZ432" s="1930"/>
      <c r="CA432" s="1930"/>
      <c r="CB432" s="1930"/>
      <c r="CC432" s="1930"/>
      <c r="CD432" s="1930"/>
      <c r="CE432" s="1930"/>
      <c r="CF432" s="1930"/>
      <c r="CG432" s="1930"/>
      <c r="CH432" s="1930"/>
      <c r="CI432" s="1930"/>
      <c r="CJ432" s="1930"/>
      <c r="CK432" s="1930"/>
      <c r="CL432" s="1930"/>
      <c r="CM432" s="1930"/>
      <c r="CN432" s="1930"/>
      <c r="CO432" s="1930"/>
      <c r="CP432" s="1930"/>
      <c r="CQ432" s="1930"/>
      <c r="CR432" s="1930"/>
      <c r="CS432" s="1930"/>
      <c r="CT432" s="1930"/>
      <c r="CU432" s="1930"/>
      <c r="CV432" s="1930"/>
      <c r="CW432" s="1930"/>
      <c r="CX432" s="1930"/>
      <c r="CY432" s="1930"/>
      <c r="CZ432" s="1930"/>
      <c r="DA432" s="1930"/>
      <c r="DB432" s="1930"/>
      <c r="DC432" s="1930"/>
      <c r="DD432" s="1930"/>
      <c r="DE432" s="1930"/>
      <c r="DF432" s="1930"/>
      <c r="DG432" s="1530"/>
      <c r="DH432" s="1530"/>
      <c r="DJ432" s="1427"/>
      <c r="DK432" s="1427"/>
      <c r="DL432" s="1427"/>
      <c r="DM432" s="1427"/>
      <c r="DN432" s="1427"/>
      <c r="DO432" s="1427"/>
      <c r="DP432" s="1427"/>
      <c r="DR432" s="1427"/>
      <c r="DS432" s="1427"/>
      <c r="DT432" s="1427"/>
      <c r="DU432" s="1427"/>
      <c r="DV432" s="1427"/>
      <c r="DW432" s="1427"/>
      <c r="DX432" s="1427"/>
      <c r="DY432" s="1427"/>
      <c r="DZ432" s="1427"/>
      <c r="EA432" s="1427"/>
      <c r="EB432" s="1427"/>
      <c r="EC432" s="1427"/>
      <c r="ED432" s="1427"/>
      <c r="EE432" s="1427"/>
      <c r="EF432" s="1427"/>
      <c r="EG432" s="1427"/>
      <c r="EH432" s="1427"/>
      <c r="EI432" s="1427"/>
      <c r="EJ432" s="1427"/>
      <c r="EK432" s="1427"/>
      <c r="EL432" s="1427"/>
      <c r="EM432" s="1427"/>
      <c r="EN432" s="1427"/>
      <c r="EO432" s="1427"/>
      <c r="EP432" s="1427"/>
      <c r="EQ432" s="1427"/>
      <c r="ER432" s="1427"/>
      <c r="ES432" s="1427"/>
      <c r="ET432" s="1427"/>
      <c r="EU432" s="1427"/>
    </row>
    <row r="433" spans="1:151" s="1440" customFormat="1">
      <c r="A433" s="1594"/>
      <c r="B433" s="1667" t="s">
        <v>516</v>
      </c>
      <c r="C433" s="1953"/>
      <c r="D433" s="1953"/>
      <c r="E433" s="1953"/>
      <c r="F433" s="2447"/>
      <c r="G433" s="1422"/>
      <c r="L433" s="1475"/>
      <c r="M433" s="1475"/>
      <c r="N433" s="1430"/>
      <c r="O433" s="1430"/>
      <c r="P433" s="1430"/>
      <c r="Q433" s="1430"/>
      <c r="R433" s="1430"/>
      <c r="S433" s="1430"/>
      <c r="T433" s="1430"/>
      <c r="U433" s="1430"/>
      <c r="V433" s="1430"/>
      <c r="W433" s="1430"/>
      <c r="X433" s="1430"/>
      <c r="Y433" s="1430"/>
      <c r="Z433" s="1430"/>
      <c r="AA433" s="1430"/>
      <c r="AB433" s="1430"/>
      <c r="AC433" s="1430"/>
      <c r="AD433" s="1430"/>
      <c r="AE433" s="1430"/>
      <c r="AF433" s="1430"/>
      <c r="AG433" s="1430"/>
      <c r="AH433" s="1430"/>
      <c r="AI433" s="1430"/>
      <c r="AJ433" s="1430"/>
      <c r="AK433" s="1430"/>
      <c r="AL433" s="1430"/>
      <c r="AM433" s="1430"/>
      <c r="AN433" s="1430"/>
      <c r="AO433" s="1430"/>
      <c r="AP433" s="1430"/>
      <c r="AQ433" s="1430"/>
      <c r="AR433" s="1430"/>
      <c r="AS433" s="1430"/>
      <c r="AT433" s="1430"/>
      <c r="AU433" s="1430"/>
      <c r="AV433" s="1430"/>
      <c r="AW433" s="1430"/>
      <c r="AX433" s="1430"/>
      <c r="AY433" s="1430"/>
      <c r="AZ433" s="1430"/>
      <c r="BA433" s="1430"/>
      <c r="BB433" s="1430"/>
      <c r="BC433" s="1430"/>
      <c r="BD433" s="1422"/>
      <c r="BE433" s="1929"/>
      <c r="BF433" s="1929"/>
      <c r="BG433" s="1929"/>
      <c r="BH433" s="1530"/>
      <c r="BI433" s="1930"/>
      <c r="BJ433" s="1930"/>
      <c r="BK433" s="1930"/>
      <c r="BL433" s="1930"/>
      <c r="BM433" s="1930"/>
      <c r="BN433" s="1930"/>
      <c r="BO433" s="1930"/>
      <c r="BP433" s="1930"/>
      <c r="BQ433" s="1930"/>
      <c r="BR433" s="1930"/>
      <c r="BS433" s="1930"/>
      <c r="BT433" s="1930"/>
      <c r="BU433" s="1930"/>
      <c r="BV433" s="1930"/>
      <c r="BW433" s="1930"/>
      <c r="BX433" s="1930"/>
      <c r="BY433" s="1930"/>
      <c r="BZ433" s="1930"/>
      <c r="CA433" s="1930"/>
      <c r="CB433" s="1930"/>
      <c r="CC433" s="1930"/>
      <c r="CD433" s="1930"/>
      <c r="CE433" s="1930"/>
      <c r="CF433" s="1930"/>
      <c r="CG433" s="1930"/>
      <c r="CH433" s="1930"/>
      <c r="CI433" s="1930"/>
      <c r="CJ433" s="1930"/>
      <c r="CK433" s="1930"/>
      <c r="CL433" s="1930"/>
      <c r="CM433" s="1930"/>
      <c r="CN433" s="1930"/>
      <c r="CO433" s="1930"/>
      <c r="CP433" s="1930"/>
      <c r="CQ433" s="1930"/>
      <c r="CR433" s="1930"/>
      <c r="CS433" s="1930"/>
      <c r="CT433" s="1930"/>
      <c r="CU433" s="1930"/>
      <c r="CV433" s="1930"/>
      <c r="CW433" s="1930"/>
      <c r="CX433" s="1930"/>
      <c r="CY433" s="1930"/>
      <c r="CZ433" s="1930"/>
      <c r="DA433" s="1930"/>
      <c r="DB433" s="1930"/>
      <c r="DC433" s="1930"/>
      <c r="DD433" s="1930"/>
      <c r="DE433" s="1930"/>
      <c r="DF433" s="1930"/>
      <c r="DG433" s="1530"/>
      <c r="DH433" s="1530"/>
      <c r="DJ433" s="1427"/>
      <c r="DK433" s="1427"/>
      <c r="DL433" s="1427"/>
      <c r="DM433" s="1427"/>
      <c r="DN433" s="1427"/>
      <c r="DO433" s="1427"/>
      <c r="DP433" s="1427"/>
      <c r="DR433" s="1427"/>
      <c r="DS433" s="1427"/>
      <c r="DT433" s="1427"/>
      <c r="DU433" s="1427"/>
      <c r="DV433" s="1427"/>
      <c r="DW433" s="1427"/>
      <c r="DX433" s="1427"/>
      <c r="DY433" s="1427"/>
      <c r="DZ433" s="1427"/>
      <c r="EA433" s="1427"/>
      <c r="EB433" s="1427"/>
      <c r="EC433" s="1427"/>
      <c r="ED433" s="1427"/>
      <c r="EE433" s="1427"/>
      <c r="EF433" s="1427"/>
      <c r="EG433" s="1427"/>
      <c r="EH433" s="1427"/>
      <c r="EI433" s="1427"/>
      <c r="EJ433" s="1427"/>
      <c r="EK433" s="1427"/>
      <c r="EL433" s="1427"/>
      <c r="EM433" s="1427"/>
      <c r="EN433" s="1427"/>
      <c r="EO433" s="1427"/>
      <c r="EP433" s="1427"/>
      <c r="EQ433" s="1427"/>
      <c r="ER433" s="1427"/>
      <c r="ES433" s="1427"/>
      <c r="ET433" s="1427"/>
      <c r="EU433" s="1427"/>
    </row>
    <row r="434" spans="1:151" s="1440" customFormat="1">
      <c r="A434" s="1954"/>
      <c r="B434" s="1600" t="s">
        <v>800</v>
      </c>
      <c r="C434" s="1953"/>
      <c r="D434" s="1953"/>
      <c r="E434" s="1953"/>
      <c r="F434" s="1737">
        <f>SUM(C434:E434)</f>
        <v>0</v>
      </c>
      <c r="G434" s="1422"/>
      <c r="L434" s="1475"/>
      <c r="M434" s="1475"/>
      <c r="N434" s="1430"/>
      <c r="O434" s="1430"/>
      <c r="P434" s="1430"/>
      <c r="Q434" s="1430"/>
      <c r="R434" s="1430"/>
      <c r="S434" s="1430"/>
      <c r="T434" s="1430"/>
      <c r="U434" s="1430"/>
      <c r="V434" s="1430"/>
      <c r="W434" s="1430"/>
      <c r="X434" s="1430"/>
      <c r="Y434" s="1430"/>
      <c r="Z434" s="1430"/>
      <c r="AA434" s="1430"/>
      <c r="AB434" s="1430"/>
      <c r="AC434" s="1430"/>
      <c r="AD434" s="1430"/>
      <c r="AE434" s="1430"/>
      <c r="AF434" s="1430"/>
      <c r="AG434" s="1430"/>
      <c r="AH434" s="1430"/>
      <c r="AI434" s="1430"/>
      <c r="AJ434" s="1430"/>
      <c r="AK434" s="1430"/>
      <c r="AL434" s="1430"/>
      <c r="AM434" s="1430"/>
      <c r="AN434" s="1430"/>
      <c r="AO434" s="1430"/>
      <c r="AP434" s="1430"/>
      <c r="AQ434" s="1430"/>
      <c r="AR434" s="1430"/>
      <c r="AS434" s="1430"/>
      <c r="AT434" s="1430"/>
      <c r="AU434" s="1430"/>
      <c r="AV434" s="1430"/>
      <c r="AW434" s="1430"/>
      <c r="AX434" s="1430"/>
      <c r="AY434" s="1430"/>
      <c r="AZ434" s="1430"/>
      <c r="BA434" s="1430"/>
      <c r="BB434" s="1430"/>
      <c r="BC434" s="1430"/>
      <c r="BD434" s="1422"/>
      <c r="BE434" s="1929"/>
      <c r="BF434" s="1929"/>
      <c r="BG434" s="1929"/>
      <c r="BH434" s="1530"/>
      <c r="BI434" s="1930"/>
      <c r="BJ434" s="1930"/>
      <c r="BK434" s="1930"/>
      <c r="BL434" s="1930"/>
      <c r="BM434" s="1930"/>
      <c r="BN434" s="1930"/>
      <c r="BO434" s="1930"/>
      <c r="BP434" s="1930"/>
      <c r="BQ434" s="1930"/>
      <c r="BR434" s="1930"/>
      <c r="BS434" s="1930"/>
      <c r="BT434" s="1930"/>
      <c r="BU434" s="1930"/>
      <c r="BV434" s="1930"/>
      <c r="BW434" s="1930"/>
      <c r="BX434" s="1930"/>
      <c r="BY434" s="1930"/>
      <c r="BZ434" s="1930"/>
      <c r="CA434" s="1930"/>
      <c r="CB434" s="1930"/>
      <c r="CC434" s="1930"/>
      <c r="CD434" s="1930"/>
      <c r="CE434" s="1930"/>
      <c r="CF434" s="1930"/>
      <c r="CG434" s="1930"/>
      <c r="CH434" s="1930"/>
      <c r="CI434" s="1930"/>
      <c r="CJ434" s="1930"/>
      <c r="CK434" s="1930"/>
      <c r="CL434" s="1930"/>
      <c r="CM434" s="1930"/>
      <c r="CN434" s="1930"/>
      <c r="CO434" s="1930"/>
      <c r="CP434" s="1930"/>
      <c r="CQ434" s="1930"/>
      <c r="CR434" s="1930"/>
      <c r="CS434" s="1930"/>
      <c r="CT434" s="1930"/>
      <c r="CU434" s="1930"/>
      <c r="CV434" s="1930"/>
      <c r="CW434" s="1930"/>
      <c r="CX434" s="1930"/>
      <c r="CY434" s="1930"/>
      <c r="CZ434" s="1930"/>
      <c r="DA434" s="1930"/>
      <c r="DB434" s="1930"/>
      <c r="DC434" s="1930"/>
      <c r="DD434" s="1930"/>
      <c r="DE434" s="1930"/>
      <c r="DF434" s="1930"/>
      <c r="DG434" s="1530"/>
      <c r="DH434" s="1530"/>
      <c r="DJ434" s="1427"/>
      <c r="DK434" s="1427"/>
      <c r="DL434" s="1427"/>
      <c r="DM434" s="1427"/>
      <c r="DN434" s="1427"/>
      <c r="DO434" s="1427"/>
      <c r="DP434" s="1427"/>
      <c r="DR434" s="1427"/>
      <c r="DS434" s="1427"/>
      <c r="DT434" s="1427"/>
      <c r="DU434" s="1427"/>
      <c r="DV434" s="1427"/>
      <c r="DW434" s="1427"/>
      <c r="DX434" s="1427"/>
      <c r="DY434" s="1427"/>
      <c r="DZ434" s="1427"/>
      <c r="EA434" s="1427"/>
      <c r="EB434" s="1427"/>
      <c r="EC434" s="1427"/>
      <c r="ED434" s="1427"/>
      <c r="EE434" s="1427"/>
      <c r="EF434" s="1427"/>
      <c r="EG434" s="1427"/>
      <c r="EH434" s="1427"/>
      <c r="EI434" s="1427"/>
      <c r="EJ434" s="1427"/>
      <c r="EK434" s="1427"/>
      <c r="EL434" s="1427"/>
      <c r="EM434" s="1427"/>
      <c r="EN434" s="1427"/>
      <c r="EO434" s="1427"/>
      <c r="EP434" s="1427"/>
      <c r="EQ434" s="1427"/>
      <c r="ER434" s="1427"/>
      <c r="ES434" s="1427"/>
      <c r="ET434" s="1427"/>
      <c r="EU434" s="1427"/>
    </row>
    <row r="435" spans="1:151" s="1440" customFormat="1">
      <c r="A435" s="1954"/>
      <c r="B435" s="1600" t="s">
        <v>801</v>
      </c>
      <c r="C435" s="1953"/>
      <c r="D435" s="1953"/>
      <c r="E435" s="1953"/>
      <c r="F435" s="1737">
        <f t="shared" ref="F435:F445" si="591">SUM(C435:E435)</f>
        <v>0</v>
      </c>
      <c r="G435" s="1422"/>
      <c r="L435" s="1475"/>
      <c r="M435" s="1475"/>
      <c r="N435" s="1430"/>
      <c r="O435" s="1430"/>
      <c r="P435" s="1430"/>
      <c r="Q435" s="1430"/>
      <c r="R435" s="1430"/>
      <c r="S435" s="1430"/>
      <c r="T435" s="1430"/>
      <c r="U435" s="1430"/>
      <c r="V435" s="1430"/>
      <c r="W435" s="1430"/>
      <c r="X435" s="1430"/>
      <c r="Y435" s="1430"/>
      <c r="Z435" s="1430"/>
      <c r="AA435" s="1430"/>
      <c r="AB435" s="1430"/>
      <c r="AC435" s="1430"/>
      <c r="AD435" s="1430"/>
      <c r="AE435" s="1430"/>
      <c r="AF435" s="1430"/>
      <c r="AG435" s="1430"/>
      <c r="AH435" s="1430"/>
      <c r="AI435" s="1430"/>
      <c r="AJ435" s="1430"/>
      <c r="AK435" s="1430"/>
      <c r="AL435" s="1430"/>
      <c r="AM435" s="1430"/>
      <c r="AN435" s="1430"/>
      <c r="AO435" s="1430"/>
      <c r="AP435" s="1430"/>
      <c r="AQ435" s="1430"/>
      <c r="AR435" s="1430"/>
      <c r="AS435" s="1430"/>
      <c r="AT435" s="1430"/>
      <c r="AU435" s="1430"/>
      <c r="AV435" s="1430"/>
      <c r="AW435" s="1430"/>
      <c r="AX435" s="1430"/>
      <c r="AY435" s="1430"/>
      <c r="AZ435" s="1430"/>
      <c r="BA435" s="1430"/>
      <c r="BB435" s="1430"/>
      <c r="BC435" s="1430"/>
      <c r="BD435" s="1422"/>
      <c r="BE435" s="1929"/>
      <c r="BF435" s="1929"/>
      <c r="BG435" s="1929"/>
      <c r="BH435" s="1530"/>
      <c r="BI435" s="1930"/>
      <c r="BJ435" s="1930"/>
      <c r="BK435" s="1930"/>
      <c r="BL435" s="1930"/>
      <c r="BM435" s="1930"/>
      <c r="BN435" s="1930"/>
      <c r="BO435" s="1930"/>
      <c r="BP435" s="1930"/>
      <c r="BQ435" s="1930"/>
      <c r="BR435" s="1930"/>
      <c r="BS435" s="1930"/>
      <c r="BT435" s="1930"/>
      <c r="BU435" s="1930"/>
      <c r="BV435" s="1930"/>
      <c r="BW435" s="1930"/>
      <c r="BX435" s="1930"/>
      <c r="BY435" s="1930"/>
      <c r="BZ435" s="1930"/>
      <c r="CA435" s="1930"/>
      <c r="CB435" s="1930"/>
      <c r="CC435" s="1930"/>
      <c r="CD435" s="1930"/>
      <c r="CE435" s="1930"/>
      <c r="CF435" s="1930"/>
      <c r="CG435" s="1930"/>
      <c r="CH435" s="1930"/>
      <c r="CI435" s="1930"/>
      <c r="CJ435" s="1930"/>
      <c r="CK435" s="1930"/>
      <c r="CL435" s="1930"/>
      <c r="CM435" s="1930"/>
      <c r="CN435" s="1930"/>
      <c r="CO435" s="1930"/>
      <c r="CP435" s="1930"/>
      <c r="CQ435" s="1930"/>
      <c r="CR435" s="1930"/>
      <c r="CS435" s="1930"/>
      <c r="CT435" s="1930"/>
      <c r="CU435" s="1930"/>
      <c r="CV435" s="1930"/>
      <c r="CW435" s="1930"/>
      <c r="CX435" s="1930"/>
      <c r="CY435" s="1930"/>
      <c r="CZ435" s="1930"/>
      <c r="DA435" s="1930"/>
      <c r="DB435" s="1930"/>
      <c r="DC435" s="1930"/>
      <c r="DD435" s="1930"/>
      <c r="DE435" s="1930"/>
      <c r="DF435" s="1930"/>
      <c r="DG435" s="1530"/>
      <c r="DH435" s="1530"/>
      <c r="DJ435" s="1427"/>
      <c r="DK435" s="1427"/>
      <c r="DL435" s="1427"/>
      <c r="DM435" s="1427"/>
      <c r="DN435" s="1427"/>
      <c r="DO435" s="1427"/>
      <c r="DP435" s="1427"/>
      <c r="DR435" s="1427"/>
      <c r="DS435" s="1427"/>
      <c r="DT435" s="1427"/>
      <c r="DU435" s="1427"/>
      <c r="DV435" s="1427"/>
      <c r="DW435" s="1427"/>
      <c r="DX435" s="1427"/>
      <c r="DY435" s="1427"/>
      <c r="DZ435" s="1427"/>
      <c r="EA435" s="1427"/>
      <c r="EB435" s="1427"/>
      <c r="EC435" s="1427"/>
      <c r="ED435" s="1427"/>
      <c r="EE435" s="1427"/>
      <c r="EF435" s="1427"/>
      <c r="EG435" s="1427"/>
      <c r="EH435" s="1427"/>
      <c r="EI435" s="1427"/>
      <c r="EJ435" s="1427"/>
      <c r="EK435" s="1427"/>
      <c r="EL435" s="1427"/>
      <c r="EM435" s="1427"/>
      <c r="EN435" s="1427"/>
      <c r="EO435" s="1427"/>
      <c r="EP435" s="1427"/>
      <c r="EQ435" s="1427"/>
      <c r="ER435" s="1427"/>
      <c r="ES435" s="1427"/>
      <c r="ET435" s="1427"/>
      <c r="EU435" s="1427"/>
    </row>
    <row r="436" spans="1:151" s="1440" customFormat="1">
      <c r="A436" s="1954"/>
      <c r="B436" s="1600" t="s">
        <v>881</v>
      </c>
      <c r="C436" s="1953"/>
      <c r="D436" s="1953"/>
      <c r="E436" s="1953"/>
      <c r="F436" s="1737">
        <f t="shared" si="591"/>
        <v>0</v>
      </c>
      <c r="G436" s="1422"/>
      <c r="L436" s="1475"/>
      <c r="M436" s="1475"/>
      <c r="N436" s="1430"/>
      <c r="O436" s="1430"/>
      <c r="P436" s="1430"/>
      <c r="Q436" s="1430"/>
      <c r="R436" s="1430"/>
      <c r="S436" s="1430"/>
      <c r="T436" s="1430"/>
      <c r="U436" s="1430"/>
      <c r="V436" s="1430"/>
      <c r="W436" s="1430"/>
      <c r="X436" s="1430"/>
      <c r="Y436" s="1430"/>
      <c r="Z436" s="1430"/>
      <c r="AA436" s="1430"/>
      <c r="AB436" s="1430"/>
      <c r="AC436" s="1430"/>
      <c r="AD436" s="1430"/>
      <c r="AE436" s="1430"/>
      <c r="AF436" s="1430"/>
      <c r="AG436" s="1430"/>
      <c r="AH436" s="1430"/>
      <c r="AI436" s="1430"/>
      <c r="AJ436" s="1430"/>
      <c r="AK436" s="1430"/>
      <c r="AL436" s="1430"/>
      <c r="AM436" s="1430"/>
      <c r="AN436" s="1430"/>
      <c r="AO436" s="1430"/>
      <c r="AP436" s="1430"/>
      <c r="AQ436" s="1430"/>
      <c r="AR436" s="1430"/>
      <c r="AS436" s="1430"/>
      <c r="AT436" s="1430"/>
      <c r="AU436" s="1430"/>
      <c r="AV436" s="1430"/>
      <c r="AW436" s="1430"/>
      <c r="AX436" s="1430"/>
      <c r="AY436" s="1430"/>
      <c r="AZ436" s="1430"/>
      <c r="BA436" s="1430"/>
      <c r="BB436" s="1430"/>
      <c r="BC436" s="1430"/>
      <c r="BD436" s="1422"/>
      <c r="BE436" s="1929"/>
      <c r="BF436" s="1929"/>
      <c r="BG436" s="1929"/>
      <c r="BH436" s="1530"/>
      <c r="BI436" s="1930"/>
      <c r="BJ436" s="1930"/>
      <c r="BK436" s="1930"/>
      <c r="BL436" s="1930"/>
      <c r="BM436" s="1930"/>
      <c r="BN436" s="1930"/>
      <c r="BO436" s="1930"/>
      <c r="BP436" s="1930"/>
      <c r="BQ436" s="1930"/>
      <c r="BR436" s="1930"/>
      <c r="BS436" s="1930"/>
      <c r="BT436" s="1930"/>
      <c r="BU436" s="1930"/>
      <c r="BV436" s="1930"/>
      <c r="BW436" s="1930"/>
      <c r="BX436" s="1930"/>
      <c r="BY436" s="1930"/>
      <c r="BZ436" s="1930"/>
      <c r="CA436" s="1930"/>
      <c r="CB436" s="1930"/>
      <c r="CC436" s="1930"/>
      <c r="CD436" s="1930"/>
      <c r="CE436" s="1930"/>
      <c r="CF436" s="1930"/>
      <c r="CG436" s="1930"/>
      <c r="CH436" s="1930"/>
      <c r="CI436" s="1930"/>
      <c r="CJ436" s="1930"/>
      <c r="CK436" s="1930"/>
      <c r="CL436" s="1930"/>
      <c r="CM436" s="1930"/>
      <c r="CN436" s="1930"/>
      <c r="CO436" s="1930"/>
      <c r="CP436" s="1930"/>
      <c r="CQ436" s="1930"/>
      <c r="CR436" s="1930"/>
      <c r="CS436" s="1930"/>
      <c r="CT436" s="1930"/>
      <c r="CU436" s="1930"/>
      <c r="CV436" s="1930"/>
      <c r="CW436" s="1930"/>
      <c r="CX436" s="1930"/>
      <c r="CY436" s="1930"/>
      <c r="CZ436" s="1930"/>
      <c r="DA436" s="1930"/>
      <c r="DB436" s="1930"/>
      <c r="DC436" s="1930"/>
      <c r="DD436" s="1930"/>
      <c r="DE436" s="1930"/>
      <c r="DF436" s="1930"/>
      <c r="DG436" s="1530"/>
      <c r="DH436" s="1530"/>
      <c r="DJ436" s="1427"/>
      <c r="DK436" s="1427"/>
      <c r="DL436" s="1427"/>
      <c r="DM436" s="1427"/>
      <c r="DN436" s="1427"/>
      <c r="DO436" s="1427"/>
      <c r="DP436" s="1427"/>
      <c r="DR436" s="1427"/>
      <c r="DS436" s="1427"/>
      <c r="DT436" s="1427"/>
      <c r="DU436" s="1427"/>
      <c r="DV436" s="1427"/>
      <c r="DW436" s="1427"/>
      <c r="DX436" s="1427"/>
      <c r="DY436" s="1427"/>
      <c r="DZ436" s="1427"/>
      <c r="EA436" s="1427"/>
      <c r="EB436" s="1427"/>
      <c r="EC436" s="1427"/>
      <c r="ED436" s="1427"/>
      <c r="EE436" s="1427"/>
      <c r="EF436" s="1427"/>
      <c r="EG436" s="1427"/>
      <c r="EH436" s="1427"/>
      <c r="EI436" s="1427"/>
      <c r="EJ436" s="1427"/>
      <c r="EK436" s="1427"/>
      <c r="EL436" s="1427"/>
      <c r="EM436" s="1427"/>
      <c r="EN436" s="1427"/>
      <c r="EO436" s="1427"/>
      <c r="EP436" s="1427"/>
      <c r="EQ436" s="1427"/>
      <c r="ER436" s="1427"/>
      <c r="ES436" s="1427"/>
      <c r="ET436" s="1427"/>
      <c r="EU436" s="1427"/>
    </row>
    <row r="437" spans="1:151" s="1440" customFormat="1">
      <c r="A437" s="1504"/>
      <c r="B437" s="1600" t="s">
        <v>882</v>
      </c>
      <c r="C437" s="1953"/>
      <c r="D437" s="1953"/>
      <c r="E437" s="1953"/>
      <c r="F437" s="1737">
        <f t="shared" si="591"/>
        <v>0</v>
      </c>
      <c r="G437" s="1422"/>
      <c r="L437" s="1475"/>
      <c r="M437" s="1475"/>
      <c r="N437" s="1430"/>
      <c r="O437" s="1430"/>
      <c r="P437" s="1430"/>
      <c r="Q437" s="1430"/>
      <c r="R437" s="1430"/>
      <c r="S437" s="1430"/>
      <c r="T437" s="1430"/>
      <c r="U437" s="1430"/>
      <c r="V437" s="1430"/>
      <c r="W437" s="1430"/>
      <c r="X437" s="1430"/>
      <c r="Y437" s="1430"/>
      <c r="Z437" s="1430"/>
      <c r="AA437" s="1430"/>
      <c r="AB437" s="1430"/>
      <c r="AC437" s="1430"/>
      <c r="AD437" s="1430"/>
      <c r="AE437" s="1430"/>
      <c r="AF437" s="1430"/>
      <c r="AG437" s="1430"/>
      <c r="AH437" s="1430"/>
      <c r="AI437" s="1430"/>
      <c r="AJ437" s="1430"/>
      <c r="AK437" s="1430"/>
      <c r="AL437" s="1430"/>
      <c r="AM437" s="1430"/>
      <c r="AN437" s="1430"/>
      <c r="AO437" s="1430"/>
      <c r="AP437" s="1430"/>
      <c r="AQ437" s="1430"/>
      <c r="AR437" s="1430"/>
      <c r="AS437" s="1430"/>
      <c r="AT437" s="1430"/>
      <c r="AU437" s="1430"/>
      <c r="AV437" s="1430"/>
      <c r="AW437" s="1430"/>
      <c r="AX437" s="1430"/>
      <c r="AY437" s="1430"/>
      <c r="AZ437" s="1430"/>
      <c r="BA437" s="1430"/>
      <c r="BB437" s="1430"/>
      <c r="BC437" s="1430"/>
      <c r="BD437" s="1422"/>
      <c r="BE437" s="1929"/>
      <c r="BF437" s="1929"/>
      <c r="BG437" s="1929"/>
      <c r="BH437" s="1530"/>
      <c r="BI437" s="1930"/>
      <c r="BJ437" s="1930"/>
      <c r="BK437" s="1930"/>
      <c r="BL437" s="1930"/>
      <c r="BM437" s="1930"/>
      <c r="BN437" s="1930"/>
      <c r="BO437" s="1930"/>
      <c r="BP437" s="1930"/>
      <c r="BQ437" s="1930"/>
      <c r="BR437" s="1930"/>
      <c r="BS437" s="1930"/>
      <c r="BT437" s="1930"/>
      <c r="BU437" s="1930"/>
      <c r="BV437" s="1930"/>
      <c r="BW437" s="1930"/>
      <c r="BX437" s="1930"/>
      <c r="BY437" s="1930"/>
      <c r="BZ437" s="1930"/>
      <c r="CA437" s="1930"/>
      <c r="CB437" s="1930"/>
      <c r="CC437" s="1930"/>
      <c r="CD437" s="1930"/>
      <c r="CE437" s="1930"/>
      <c r="CF437" s="1930"/>
      <c r="CG437" s="1930"/>
      <c r="CH437" s="1930"/>
      <c r="CI437" s="1930"/>
      <c r="CJ437" s="1930"/>
      <c r="CK437" s="1930"/>
      <c r="CL437" s="1930"/>
      <c r="CM437" s="1930"/>
      <c r="CN437" s="1930"/>
      <c r="CO437" s="1930"/>
      <c r="CP437" s="1930"/>
      <c r="CQ437" s="1930"/>
      <c r="CR437" s="1930"/>
      <c r="CS437" s="1930"/>
      <c r="CT437" s="1930"/>
      <c r="CU437" s="1930"/>
      <c r="CV437" s="1930"/>
      <c r="CW437" s="1930"/>
      <c r="CX437" s="1930"/>
      <c r="CY437" s="1930"/>
      <c r="CZ437" s="1930"/>
      <c r="DA437" s="1930"/>
      <c r="DB437" s="1930"/>
      <c r="DC437" s="1930"/>
      <c r="DD437" s="1930"/>
      <c r="DE437" s="1930"/>
      <c r="DF437" s="1930"/>
      <c r="DG437" s="1530"/>
      <c r="DH437" s="1530"/>
      <c r="DJ437" s="1427"/>
      <c r="DK437" s="1427"/>
      <c r="DL437" s="1427"/>
      <c r="DM437" s="1427"/>
      <c r="DN437" s="1427"/>
      <c r="DO437" s="1427"/>
      <c r="DP437" s="1427"/>
      <c r="DR437" s="1427"/>
      <c r="DS437" s="1427"/>
      <c r="DT437" s="1427"/>
      <c r="DU437" s="1427"/>
      <c r="DV437" s="1427"/>
      <c r="DW437" s="1427"/>
      <c r="DX437" s="1427"/>
      <c r="DY437" s="1427"/>
      <c r="DZ437" s="1427"/>
      <c r="EA437" s="1427"/>
      <c r="EB437" s="1427"/>
      <c r="EC437" s="1427"/>
      <c r="ED437" s="1427"/>
      <c r="EE437" s="1427"/>
      <c r="EF437" s="1427"/>
      <c r="EG437" s="1427"/>
      <c r="EH437" s="1427"/>
      <c r="EI437" s="1427"/>
      <c r="EJ437" s="1427"/>
      <c r="EK437" s="1427"/>
      <c r="EL437" s="1427"/>
      <c r="EM437" s="1427"/>
      <c r="EN437" s="1427"/>
      <c r="EO437" s="1427"/>
      <c r="EP437" s="1427"/>
      <c r="EQ437" s="1427"/>
      <c r="ER437" s="1427"/>
      <c r="ES437" s="1427"/>
      <c r="ET437" s="1427"/>
      <c r="EU437" s="1427"/>
    </row>
    <row r="438" spans="1:151" s="1440" customFormat="1">
      <c r="A438" s="1504"/>
      <c r="B438" s="1600" t="s">
        <v>1212</v>
      </c>
      <c r="C438" s="1953"/>
      <c r="D438" s="1953"/>
      <c r="E438" s="1953"/>
      <c r="F438" s="1737">
        <f t="shared" si="591"/>
        <v>0</v>
      </c>
      <c r="G438" s="1422"/>
      <c r="L438" s="1475"/>
      <c r="M438" s="1475"/>
      <c r="N438" s="1430"/>
      <c r="O438" s="1430"/>
      <c r="P438" s="1430"/>
      <c r="Q438" s="1430"/>
      <c r="R438" s="1430"/>
      <c r="S438" s="1430"/>
      <c r="T438" s="1430"/>
      <c r="U438" s="1430"/>
      <c r="V438" s="1430"/>
      <c r="W438" s="1430"/>
      <c r="X438" s="1430"/>
      <c r="Y438" s="1430"/>
      <c r="Z438" s="1430"/>
      <c r="AA438" s="1430"/>
      <c r="AB438" s="1430"/>
      <c r="AC438" s="1430"/>
      <c r="AD438" s="1430"/>
      <c r="AE438" s="1430"/>
      <c r="AF438" s="1430"/>
      <c r="AG438" s="1430"/>
      <c r="AH438" s="1430"/>
      <c r="AI438" s="1430"/>
      <c r="AJ438" s="1430"/>
      <c r="AK438" s="1430"/>
      <c r="AL438" s="1430"/>
      <c r="AM438" s="1430"/>
      <c r="AN438" s="1430"/>
      <c r="AO438" s="1430"/>
      <c r="AP438" s="1430"/>
      <c r="AQ438" s="1430"/>
      <c r="AR438" s="1430"/>
      <c r="AS438" s="1430"/>
      <c r="AT438" s="1430"/>
      <c r="AU438" s="1430"/>
      <c r="AV438" s="1430"/>
      <c r="AW438" s="1430"/>
      <c r="AX438" s="1430"/>
      <c r="AY438" s="1430"/>
      <c r="AZ438" s="1430"/>
      <c r="BA438" s="1430"/>
      <c r="BB438" s="1430"/>
      <c r="BC438" s="1430"/>
      <c r="BD438" s="1422"/>
      <c r="BE438" s="1929"/>
      <c r="BF438" s="1929"/>
      <c r="BG438" s="1929"/>
      <c r="BH438" s="1530"/>
      <c r="BI438" s="1930"/>
      <c r="BJ438" s="1930"/>
      <c r="BK438" s="1930"/>
      <c r="BL438" s="1930"/>
      <c r="BM438" s="1930"/>
      <c r="BN438" s="1930"/>
      <c r="BO438" s="1930"/>
      <c r="BP438" s="1930"/>
      <c r="BQ438" s="1930"/>
      <c r="BR438" s="1930"/>
      <c r="BS438" s="1930"/>
      <c r="BT438" s="1930"/>
      <c r="BU438" s="1930"/>
      <c r="BV438" s="1930"/>
      <c r="BW438" s="1930"/>
      <c r="BX438" s="1930"/>
      <c r="BY438" s="1930"/>
      <c r="BZ438" s="1930"/>
      <c r="CA438" s="1930"/>
      <c r="CB438" s="1930"/>
      <c r="CC438" s="1930"/>
      <c r="CD438" s="1930"/>
      <c r="CE438" s="1930"/>
      <c r="CF438" s="1930"/>
      <c r="CG438" s="1930"/>
      <c r="CH438" s="1930"/>
      <c r="CI438" s="1930"/>
      <c r="CJ438" s="1930"/>
      <c r="CK438" s="1930"/>
      <c r="CL438" s="1930"/>
      <c r="CM438" s="1930"/>
      <c r="CN438" s="1930"/>
      <c r="CO438" s="1930"/>
      <c r="CP438" s="1930"/>
      <c r="CQ438" s="1930"/>
      <c r="CR438" s="1930"/>
      <c r="CS438" s="1930"/>
      <c r="CT438" s="1930"/>
      <c r="CU438" s="1930"/>
      <c r="CV438" s="1930"/>
      <c r="CW438" s="1930"/>
      <c r="CX438" s="1930"/>
      <c r="CY438" s="1930"/>
      <c r="CZ438" s="1930"/>
      <c r="DA438" s="1930"/>
      <c r="DB438" s="1930"/>
      <c r="DC438" s="1930"/>
      <c r="DD438" s="1930"/>
      <c r="DE438" s="1930"/>
      <c r="DF438" s="1930"/>
      <c r="DG438" s="1530"/>
      <c r="DH438" s="1530"/>
      <c r="DJ438" s="1427"/>
      <c r="DK438" s="1427"/>
      <c r="DL438" s="1427"/>
      <c r="DM438" s="1427"/>
      <c r="DN438" s="1427"/>
      <c r="DO438" s="1427"/>
      <c r="DP438" s="1427"/>
      <c r="DR438" s="1427"/>
      <c r="DS438" s="1427"/>
      <c r="DT438" s="1427"/>
      <c r="DU438" s="1427"/>
      <c r="DV438" s="1427"/>
      <c r="DW438" s="1427"/>
      <c r="DX438" s="1427"/>
      <c r="DY438" s="1427"/>
      <c r="DZ438" s="1427"/>
      <c r="EA438" s="1427"/>
      <c r="EB438" s="1427"/>
      <c r="EC438" s="1427"/>
      <c r="ED438" s="1427"/>
      <c r="EE438" s="1427"/>
      <c r="EF438" s="1427"/>
      <c r="EG438" s="1427"/>
      <c r="EH438" s="1427"/>
      <c r="EI438" s="1427"/>
      <c r="EJ438" s="1427"/>
      <c r="EK438" s="1427"/>
      <c r="EL438" s="1427"/>
      <c r="EM438" s="1427"/>
      <c r="EN438" s="1427"/>
      <c r="EO438" s="1427"/>
      <c r="EP438" s="1427"/>
      <c r="EQ438" s="1427"/>
      <c r="ER438" s="1427"/>
      <c r="ES438" s="1427"/>
      <c r="ET438" s="1427"/>
      <c r="EU438" s="1427"/>
    </row>
    <row r="439" spans="1:151" s="1440" customFormat="1">
      <c r="A439" s="1504"/>
      <c r="B439" s="1600" t="s">
        <v>883</v>
      </c>
      <c r="C439" s="1953"/>
      <c r="D439" s="1953"/>
      <c r="E439" s="1953"/>
      <c r="F439" s="1737">
        <f t="shared" si="591"/>
        <v>0</v>
      </c>
      <c r="G439" s="1422"/>
      <c r="L439" s="1475"/>
      <c r="M439" s="1475"/>
      <c r="N439" s="1430"/>
      <c r="O439" s="1430"/>
      <c r="P439" s="1430"/>
      <c r="Q439" s="1430"/>
      <c r="R439" s="1430"/>
      <c r="S439" s="1430"/>
      <c r="T439" s="1430"/>
      <c r="U439" s="1430"/>
      <c r="V439" s="1430"/>
      <c r="W439" s="1430"/>
      <c r="X439" s="1430"/>
      <c r="Y439" s="1430"/>
      <c r="Z439" s="1430"/>
      <c r="AA439" s="1430"/>
      <c r="AB439" s="1430"/>
      <c r="AC439" s="1430"/>
      <c r="AD439" s="1430"/>
      <c r="AE439" s="1430"/>
      <c r="AF439" s="1430"/>
      <c r="AG439" s="1430"/>
      <c r="AH439" s="1430"/>
      <c r="AI439" s="1430"/>
      <c r="AJ439" s="1430"/>
      <c r="AK439" s="1430"/>
      <c r="AL439" s="1430"/>
      <c r="AM439" s="1430"/>
      <c r="AN439" s="1430"/>
      <c r="AO439" s="1430"/>
      <c r="AP439" s="1430"/>
      <c r="AQ439" s="1430"/>
      <c r="AR439" s="1430"/>
      <c r="AS439" s="1430"/>
      <c r="AT439" s="1430"/>
      <c r="AU439" s="1430"/>
      <c r="AV439" s="1430"/>
      <c r="AW439" s="1430"/>
      <c r="AX439" s="1430"/>
      <c r="AY439" s="1430"/>
      <c r="AZ439" s="1430"/>
      <c r="BA439" s="1430"/>
      <c r="BB439" s="1430"/>
      <c r="BC439" s="1430"/>
      <c r="BD439" s="1422"/>
      <c r="BE439" s="1929"/>
      <c r="BF439" s="1929"/>
      <c r="BG439" s="1929"/>
      <c r="BH439" s="1530"/>
      <c r="BI439" s="1930"/>
      <c r="BJ439" s="1930"/>
      <c r="BK439" s="1930"/>
      <c r="BL439" s="1930"/>
      <c r="BM439" s="1930"/>
      <c r="BN439" s="1930"/>
      <c r="BO439" s="1930"/>
      <c r="BP439" s="1930"/>
      <c r="BQ439" s="1930"/>
      <c r="BR439" s="1930"/>
      <c r="BS439" s="1930"/>
      <c r="BT439" s="1930"/>
      <c r="BU439" s="1930"/>
      <c r="BV439" s="1930"/>
      <c r="BW439" s="1930"/>
      <c r="BX439" s="1930"/>
      <c r="BY439" s="1930"/>
      <c r="BZ439" s="1930"/>
      <c r="CA439" s="1930"/>
      <c r="CB439" s="1930"/>
      <c r="CC439" s="1930"/>
      <c r="CD439" s="1930"/>
      <c r="CE439" s="1930"/>
      <c r="CF439" s="1930"/>
      <c r="CG439" s="1930"/>
      <c r="CH439" s="1930"/>
      <c r="CI439" s="1930"/>
      <c r="CJ439" s="1930"/>
      <c r="CK439" s="1930"/>
      <c r="CL439" s="1930"/>
      <c r="CM439" s="1930"/>
      <c r="CN439" s="1930"/>
      <c r="CO439" s="1930"/>
      <c r="CP439" s="1930"/>
      <c r="CQ439" s="1930"/>
      <c r="CR439" s="1930"/>
      <c r="CS439" s="1930"/>
      <c r="CT439" s="1930"/>
      <c r="CU439" s="1930"/>
      <c r="CV439" s="1930"/>
      <c r="CW439" s="1930"/>
      <c r="CX439" s="1930"/>
      <c r="CY439" s="1930"/>
      <c r="CZ439" s="1930"/>
      <c r="DA439" s="1930"/>
      <c r="DB439" s="1930"/>
      <c r="DC439" s="1930"/>
      <c r="DD439" s="1930"/>
      <c r="DE439" s="1930"/>
      <c r="DF439" s="1930"/>
      <c r="DG439" s="1530"/>
      <c r="DH439" s="1530"/>
      <c r="DJ439" s="1427"/>
      <c r="DK439" s="1427"/>
      <c r="DL439" s="1427"/>
      <c r="DM439" s="1427"/>
      <c r="DN439" s="1427"/>
      <c r="DO439" s="1427"/>
      <c r="DP439" s="1427"/>
      <c r="DR439" s="1427"/>
      <c r="DS439" s="1427"/>
      <c r="DT439" s="1427"/>
      <c r="DU439" s="1427"/>
      <c r="DV439" s="1427"/>
      <c r="DW439" s="1427"/>
      <c r="DX439" s="1427"/>
      <c r="DY439" s="1427"/>
      <c r="DZ439" s="1427"/>
      <c r="EA439" s="1427"/>
      <c r="EB439" s="1427"/>
      <c r="EC439" s="1427"/>
      <c r="ED439" s="1427"/>
      <c r="EE439" s="1427"/>
      <c r="EF439" s="1427"/>
      <c r="EG439" s="1427"/>
      <c r="EH439" s="1427"/>
      <c r="EI439" s="1427"/>
      <c r="EJ439" s="1427"/>
      <c r="EK439" s="1427"/>
      <c r="EL439" s="1427"/>
      <c r="EM439" s="1427"/>
      <c r="EN439" s="1427"/>
      <c r="EO439" s="1427"/>
      <c r="EP439" s="1427"/>
      <c r="EQ439" s="1427"/>
      <c r="ER439" s="1427"/>
      <c r="ES439" s="1427"/>
      <c r="ET439" s="1427"/>
      <c r="EU439" s="1427"/>
    </row>
    <row r="440" spans="1:151" s="1440" customFormat="1" ht="18.75" customHeight="1">
      <c r="A440" s="1504"/>
      <c r="B440" s="1600" t="s">
        <v>884</v>
      </c>
      <c r="C440" s="1953"/>
      <c r="D440" s="1953"/>
      <c r="E440" s="1953"/>
      <c r="F440" s="1737">
        <f t="shared" si="591"/>
        <v>0</v>
      </c>
      <c r="G440" s="1422"/>
      <c r="L440" s="1475"/>
      <c r="M440" s="1475"/>
      <c r="N440" s="1430"/>
      <c r="O440" s="1430"/>
      <c r="P440" s="1430"/>
      <c r="Q440" s="1430"/>
      <c r="R440" s="1430"/>
      <c r="S440" s="1430"/>
      <c r="T440" s="1430"/>
      <c r="U440" s="1430"/>
      <c r="V440" s="1430"/>
      <c r="W440" s="1430"/>
      <c r="X440" s="1430"/>
      <c r="Y440" s="1430"/>
      <c r="Z440" s="1430"/>
      <c r="AA440" s="1430"/>
      <c r="AB440" s="1430"/>
      <c r="AC440" s="1430"/>
      <c r="AD440" s="1430"/>
      <c r="AE440" s="1430"/>
      <c r="AF440" s="1430"/>
      <c r="AG440" s="1430"/>
      <c r="AH440" s="1430"/>
      <c r="AI440" s="1430"/>
      <c r="AJ440" s="1430"/>
      <c r="AK440" s="1430"/>
      <c r="AL440" s="1430"/>
      <c r="AM440" s="1430"/>
      <c r="AN440" s="1430"/>
      <c r="AO440" s="1430"/>
      <c r="AP440" s="1430"/>
      <c r="AQ440" s="1430"/>
      <c r="AR440" s="1430"/>
      <c r="AS440" s="1430"/>
      <c r="AT440" s="1430"/>
      <c r="AU440" s="1430"/>
      <c r="AV440" s="1430"/>
      <c r="AW440" s="1430"/>
      <c r="AX440" s="1430"/>
      <c r="AY440" s="1430"/>
      <c r="AZ440" s="1430"/>
      <c r="BA440" s="1430"/>
      <c r="BB440" s="1430"/>
      <c r="BC440" s="1430"/>
      <c r="BD440" s="1422"/>
      <c r="BE440" s="1929"/>
      <c r="BF440" s="1929"/>
      <c r="BG440" s="1929"/>
      <c r="BH440" s="1530"/>
      <c r="BI440" s="1930"/>
      <c r="BJ440" s="1930"/>
      <c r="BK440" s="1930"/>
      <c r="BL440" s="1930"/>
      <c r="BM440" s="1930"/>
      <c r="BN440" s="1930"/>
      <c r="BO440" s="1930"/>
      <c r="BP440" s="1930"/>
      <c r="BQ440" s="1930"/>
      <c r="BR440" s="1930"/>
      <c r="BS440" s="1930"/>
      <c r="BT440" s="1930"/>
      <c r="BU440" s="1930"/>
      <c r="BV440" s="1930"/>
      <c r="BW440" s="1930"/>
      <c r="BX440" s="1930"/>
      <c r="BY440" s="1930"/>
      <c r="BZ440" s="1930"/>
      <c r="CA440" s="1930"/>
      <c r="CB440" s="1930"/>
      <c r="CC440" s="1930"/>
      <c r="CD440" s="1930"/>
      <c r="CE440" s="1930"/>
      <c r="CF440" s="1930"/>
      <c r="CG440" s="1930"/>
      <c r="CH440" s="1930"/>
      <c r="CI440" s="1930"/>
      <c r="CJ440" s="1930"/>
      <c r="CK440" s="1930"/>
      <c r="CL440" s="1930"/>
      <c r="CM440" s="1930"/>
      <c r="CN440" s="1930"/>
      <c r="CO440" s="1930"/>
      <c r="CP440" s="1930"/>
      <c r="CQ440" s="1930"/>
      <c r="CR440" s="1930"/>
      <c r="CS440" s="1930"/>
      <c r="CT440" s="1930"/>
      <c r="CU440" s="1930"/>
      <c r="CV440" s="1930"/>
      <c r="CW440" s="1930"/>
      <c r="CX440" s="1930"/>
      <c r="CY440" s="1930"/>
      <c r="CZ440" s="1930"/>
      <c r="DA440" s="1930"/>
      <c r="DB440" s="1930"/>
      <c r="DC440" s="1930"/>
      <c r="DD440" s="1930"/>
      <c r="DE440" s="1930"/>
      <c r="DF440" s="1930"/>
      <c r="DG440" s="1530"/>
      <c r="DH440" s="1530"/>
      <c r="DJ440" s="1427"/>
      <c r="DK440" s="1427"/>
      <c r="DL440" s="1427"/>
      <c r="DM440" s="1427"/>
      <c r="DN440" s="1427"/>
      <c r="DO440" s="1427"/>
      <c r="DP440" s="1427"/>
      <c r="DR440" s="1427"/>
      <c r="DS440" s="1427"/>
      <c r="DT440" s="1427"/>
      <c r="DU440" s="1427"/>
      <c r="DV440" s="1427"/>
      <c r="DW440" s="1427"/>
      <c r="DX440" s="1427"/>
      <c r="DY440" s="1427"/>
      <c r="DZ440" s="1427"/>
      <c r="EA440" s="1427"/>
      <c r="EB440" s="1427"/>
      <c r="EC440" s="1427"/>
      <c r="ED440" s="1427"/>
      <c r="EE440" s="1427"/>
      <c r="EF440" s="1427"/>
      <c r="EG440" s="1427"/>
      <c r="EH440" s="1427"/>
      <c r="EI440" s="1427"/>
      <c r="EJ440" s="1427"/>
      <c r="EK440" s="1427"/>
      <c r="EL440" s="1427"/>
      <c r="EM440" s="1427"/>
      <c r="EN440" s="1427"/>
      <c r="EO440" s="1427"/>
      <c r="EP440" s="1427"/>
      <c r="EQ440" s="1427"/>
      <c r="ER440" s="1427"/>
      <c r="ES440" s="1427"/>
      <c r="ET440" s="1427"/>
      <c r="EU440" s="1427"/>
    </row>
    <row r="441" spans="1:151" ht="18.75" customHeight="1">
      <c r="A441" s="1504"/>
      <c r="B441" s="1600" t="s">
        <v>885</v>
      </c>
      <c r="C441" s="1953"/>
      <c r="D441" s="1953"/>
      <c r="E441" s="1953"/>
      <c r="F441" s="1737">
        <f t="shared" si="591"/>
        <v>0</v>
      </c>
      <c r="H441" s="1440"/>
      <c r="L441" s="1475"/>
      <c r="M441" s="1475"/>
      <c r="BE441" s="1929"/>
      <c r="BF441" s="1929"/>
      <c r="BG441" s="1929"/>
      <c r="DI441" s="1440"/>
      <c r="DJ441" s="1427"/>
      <c r="DK441" s="1427"/>
      <c r="DL441" s="1427"/>
      <c r="DM441" s="1427"/>
      <c r="DN441" s="1427"/>
      <c r="DO441" s="1427"/>
      <c r="DP441" s="1427"/>
      <c r="DQ441" s="1440"/>
      <c r="DR441" s="1427"/>
      <c r="DS441" s="1427"/>
      <c r="DT441" s="1427"/>
      <c r="DU441" s="1427"/>
      <c r="DV441" s="1427"/>
      <c r="DW441" s="1427"/>
      <c r="DX441" s="1427"/>
      <c r="DY441" s="1427"/>
      <c r="DZ441" s="1427"/>
      <c r="EA441" s="1427"/>
      <c r="EB441" s="1427"/>
      <c r="EC441" s="1427"/>
      <c r="ED441" s="1427"/>
      <c r="EE441" s="1427"/>
      <c r="EF441" s="1427"/>
      <c r="EG441" s="1427"/>
      <c r="EH441" s="1427"/>
      <c r="EI441" s="1427"/>
      <c r="EJ441" s="1427"/>
      <c r="EK441" s="1427"/>
      <c r="EL441" s="1427"/>
      <c r="EM441" s="1427"/>
      <c r="EN441" s="1427"/>
      <c r="EO441" s="1427"/>
      <c r="EP441" s="1427"/>
      <c r="EQ441" s="1427"/>
      <c r="ER441" s="1427"/>
      <c r="ES441" s="1427"/>
      <c r="ET441" s="1427"/>
      <c r="EU441" s="1427"/>
    </row>
    <row r="442" spans="1:151">
      <c r="A442" s="1504"/>
      <c r="B442" s="1600" t="s">
        <v>802</v>
      </c>
      <c r="C442" s="1953"/>
      <c r="D442" s="1953"/>
      <c r="E442" s="1953"/>
      <c r="F442" s="1737">
        <f t="shared" si="591"/>
        <v>0</v>
      </c>
      <c r="H442" s="1440"/>
      <c r="L442" s="1475"/>
      <c r="M442" s="1475"/>
      <c r="BE442" s="1929"/>
      <c r="BF442" s="1929"/>
      <c r="BG442" s="1929"/>
      <c r="DI442" s="1440"/>
      <c r="DJ442" s="1427"/>
      <c r="DK442" s="1427"/>
      <c r="DL442" s="1427"/>
      <c r="DM442" s="1427"/>
      <c r="DN442" s="1427"/>
      <c r="DO442" s="1427"/>
      <c r="DP442" s="1427"/>
      <c r="DQ442" s="1440"/>
      <c r="DR442" s="1427"/>
      <c r="DS442" s="1427"/>
      <c r="DT442" s="1427"/>
      <c r="DU442" s="1427"/>
      <c r="DV442" s="1427"/>
      <c r="DW442" s="1427"/>
      <c r="DX442" s="1427"/>
      <c r="DY442" s="1427"/>
      <c r="DZ442" s="1427"/>
      <c r="EA442" s="1427"/>
      <c r="EB442" s="1427"/>
      <c r="EC442" s="1427"/>
      <c r="ED442" s="1427"/>
      <c r="EE442" s="1427"/>
      <c r="EF442" s="1427"/>
      <c r="EG442" s="1427"/>
      <c r="EH442" s="1427"/>
      <c r="EI442" s="1427"/>
      <c r="EJ442" s="1427"/>
      <c r="EK442" s="1427"/>
      <c r="EL442" s="1427"/>
      <c r="EM442" s="1427"/>
      <c r="EN442" s="1427"/>
      <c r="EO442" s="1427"/>
      <c r="EP442" s="1427"/>
      <c r="EQ442" s="1427"/>
      <c r="ER442" s="1427"/>
      <c r="ES442" s="1427"/>
      <c r="ET442" s="1427"/>
      <c r="EU442" s="1427"/>
    </row>
    <row r="443" spans="1:151">
      <c r="A443" s="1504"/>
      <c r="B443" s="1600" t="s">
        <v>803</v>
      </c>
      <c r="C443" s="1953"/>
      <c r="D443" s="1953"/>
      <c r="E443" s="1953"/>
      <c r="F443" s="1737">
        <f t="shared" si="591"/>
        <v>0</v>
      </c>
      <c r="H443" s="1440"/>
      <c r="L443" s="1475"/>
      <c r="M443" s="1475"/>
      <c r="BE443" s="1929"/>
      <c r="BF443" s="1929"/>
      <c r="BG443" s="1929"/>
      <c r="DI443" s="1440"/>
      <c r="DJ443" s="1427"/>
      <c r="DK443" s="1427"/>
      <c r="DL443" s="1427"/>
      <c r="DM443" s="1427"/>
      <c r="DN443" s="1427"/>
      <c r="DO443" s="1427"/>
      <c r="DP443" s="1427"/>
      <c r="DQ443" s="1440"/>
      <c r="DR443" s="1427"/>
      <c r="DS443" s="1427"/>
      <c r="DT443" s="1427"/>
      <c r="DU443" s="1427"/>
      <c r="DV443" s="1427"/>
      <c r="DW443" s="1427"/>
      <c r="DX443" s="1427"/>
      <c r="DY443" s="1427"/>
      <c r="DZ443" s="1427"/>
      <c r="EA443" s="1427"/>
      <c r="EB443" s="1427"/>
      <c r="EC443" s="1427"/>
      <c r="ED443" s="1427"/>
      <c r="EE443" s="1427"/>
      <c r="EF443" s="1427"/>
      <c r="EG443" s="1427"/>
      <c r="EH443" s="1427"/>
      <c r="EI443" s="1427"/>
      <c r="EJ443" s="1427"/>
      <c r="EK443" s="1427"/>
      <c r="EL443" s="1427"/>
      <c r="EM443" s="1427"/>
      <c r="EN443" s="1427"/>
      <c r="EO443" s="1427"/>
      <c r="EP443" s="1427"/>
      <c r="EQ443" s="1427"/>
      <c r="ER443" s="1427"/>
      <c r="ES443" s="1427"/>
      <c r="ET443" s="1427"/>
      <c r="EU443" s="1427"/>
    </row>
    <row r="444" spans="1:151" ht="22.5" customHeight="1">
      <c r="A444" s="1504"/>
      <c r="B444" s="1600" t="s">
        <v>804</v>
      </c>
      <c r="C444" s="1953"/>
      <c r="D444" s="1953"/>
      <c r="E444" s="1953"/>
      <c r="F444" s="1737">
        <f t="shared" si="591"/>
        <v>0</v>
      </c>
      <c r="H444" s="1440"/>
      <c r="L444" s="1475"/>
      <c r="M444" s="1475"/>
      <c r="BE444" s="1929"/>
      <c r="BF444" s="1929"/>
      <c r="BG444" s="1929"/>
      <c r="DI444" s="1440"/>
      <c r="DJ444" s="1427"/>
      <c r="DK444" s="1427"/>
      <c r="DL444" s="1427"/>
      <c r="DM444" s="1427"/>
      <c r="DN444" s="1427"/>
      <c r="DO444" s="1427"/>
      <c r="DP444" s="1427"/>
      <c r="DQ444" s="1440"/>
      <c r="DR444" s="1427"/>
      <c r="DS444" s="1427"/>
      <c r="DT444" s="1427"/>
      <c r="DU444" s="1427"/>
      <c r="DV444" s="1427"/>
      <c r="DW444" s="1427"/>
      <c r="DX444" s="1427"/>
      <c r="DY444" s="1427"/>
      <c r="DZ444" s="1427"/>
      <c r="EA444" s="1427"/>
      <c r="EB444" s="1427"/>
      <c r="EC444" s="1427"/>
      <c r="ED444" s="1427"/>
      <c r="EE444" s="1427"/>
      <c r="EF444" s="1427"/>
      <c r="EG444" s="1427"/>
      <c r="EH444" s="1427"/>
      <c r="EI444" s="1427"/>
      <c r="EJ444" s="1427"/>
      <c r="EK444" s="1427"/>
      <c r="EL444" s="1427"/>
      <c r="EM444" s="1427"/>
      <c r="EN444" s="1427"/>
      <c r="EO444" s="1427"/>
      <c r="EP444" s="1427"/>
      <c r="EQ444" s="1427"/>
      <c r="ER444" s="1427"/>
      <c r="ES444" s="1427"/>
      <c r="ET444" s="1427"/>
      <c r="EU444" s="1427"/>
    </row>
    <row r="445" spans="1:151" ht="22.5" customHeight="1">
      <c r="A445" s="1504"/>
      <c r="B445" s="1600" t="s">
        <v>1603</v>
      </c>
      <c r="C445" s="1953"/>
      <c r="D445" s="1953"/>
      <c r="E445" s="1953"/>
      <c r="F445" s="1737">
        <f t="shared" si="591"/>
        <v>0</v>
      </c>
      <c r="H445" s="1440"/>
      <c r="L445" s="1475"/>
      <c r="M445" s="1475"/>
      <c r="BE445" s="1929"/>
      <c r="BF445" s="1929"/>
      <c r="BG445" s="1929"/>
      <c r="DI445" s="1440"/>
      <c r="DJ445" s="1427"/>
      <c r="DK445" s="1427"/>
      <c r="DL445" s="1427"/>
      <c r="DM445" s="1427"/>
      <c r="DN445" s="1427"/>
      <c r="DO445" s="1427"/>
      <c r="DP445" s="1427"/>
      <c r="DQ445" s="1440"/>
      <c r="DR445" s="1427"/>
      <c r="DS445" s="1427"/>
      <c r="DT445" s="1427"/>
      <c r="DU445" s="1427"/>
      <c r="DV445" s="1427"/>
      <c r="DW445" s="1427"/>
      <c r="DX445" s="1427"/>
      <c r="DY445" s="1427"/>
      <c r="DZ445" s="1427"/>
      <c r="EA445" s="1427"/>
      <c r="EB445" s="1427"/>
      <c r="EC445" s="1427"/>
      <c r="ED445" s="1427"/>
      <c r="EE445" s="1427"/>
      <c r="EF445" s="1427"/>
      <c r="EG445" s="1427"/>
      <c r="EH445" s="1427"/>
      <c r="EI445" s="1427"/>
      <c r="EJ445" s="1427"/>
      <c r="EK445" s="1427"/>
      <c r="EL445" s="1427"/>
      <c r="EM445" s="1427"/>
      <c r="EN445" s="1427"/>
      <c r="EO445" s="1427"/>
      <c r="EP445" s="1427"/>
      <c r="EQ445" s="1427"/>
      <c r="ER445" s="1427"/>
      <c r="ES445" s="1427"/>
      <c r="ET445" s="1427"/>
      <c r="EU445" s="1427"/>
    </row>
    <row r="446" spans="1:151" ht="18.75" customHeight="1">
      <c r="A446" s="1954"/>
      <c r="B446" s="2448" t="s">
        <v>32</v>
      </c>
      <c r="C446" s="2448"/>
      <c r="D446" s="2448"/>
      <c r="E446" s="2448"/>
      <c r="F446" s="1955">
        <f>SUM(F434:F445)*N391</f>
        <v>0</v>
      </c>
      <c r="H446" s="1440"/>
      <c r="L446" s="1475"/>
      <c r="M446" s="1475"/>
      <c r="BE446" s="1929"/>
      <c r="BF446" s="1929"/>
      <c r="BG446" s="1929"/>
      <c r="DI446" s="1440"/>
      <c r="DJ446" s="1427"/>
      <c r="DK446" s="1427"/>
      <c r="DL446" s="1427"/>
      <c r="DM446" s="1427"/>
      <c r="DN446" s="1427"/>
      <c r="DO446" s="1427"/>
      <c r="DP446" s="1427"/>
      <c r="DQ446" s="1440"/>
      <c r="DR446" s="1427"/>
      <c r="DS446" s="1427"/>
      <c r="DT446" s="1427"/>
      <c r="DU446" s="1427"/>
      <c r="DV446" s="1427"/>
      <c r="DW446" s="1427"/>
      <c r="DX446" s="1427"/>
      <c r="DY446" s="1427"/>
      <c r="DZ446" s="1427"/>
      <c r="EA446" s="1427"/>
      <c r="EB446" s="1427"/>
      <c r="EC446" s="1427"/>
      <c r="ED446" s="1427"/>
      <c r="EE446" s="1427"/>
      <c r="EF446" s="1427"/>
      <c r="EG446" s="1427"/>
      <c r="EH446" s="1427"/>
      <c r="EI446" s="1427"/>
      <c r="EJ446" s="1427"/>
      <c r="EK446" s="1427"/>
      <c r="EL446" s="1427"/>
      <c r="EM446" s="1427"/>
      <c r="EN446" s="1427"/>
      <c r="EO446" s="1427"/>
      <c r="EP446" s="1427"/>
      <c r="EQ446" s="1427"/>
      <c r="ER446" s="1427"/>
      <c r="ES446" s="1427"/>
      <c r="ET446" s="1625"/>
      <c r="EU446" s="1625"/>
    </row>
    <row r="447" spans="1:151">
      <c r="A447" s="1594"/>
      <c r="B447" s="2446" t="s">
        <v>1960</v>
      </c>
      <c r="C447" s="2446"/>
      <c r="D447" s="2446"/>
      <c r="E447" s="1440"/>
      <c r="H447" s="1440"/>
      <c r="L447" s="1475"/>
      <c r="M447" s="1475"/>
      <c r="BE447" s="1929"/>
      <c r="BF447" s="1929"/>
      <c r="BG447" s="1929"/>
      <c r="DI447" s="1440"/>
      <c r="DJ447" s="1427"/>
      <c r="DK447" s="1427"/>
      <c r="DL447" s="1427"/>
      <c r="DM447" s="1427"/>
      <c r="DN447" s="1427"/>
      <c r="DO447" s="1427"/>
      <c r="DP447" s="1427"/>
      <c r="DQ447" s="1440"/>
      <c r="DR447" s="1427"/>
      <c r="DS447" s="1427"/>
      <c r="DT447" s="1427"/>
      <c r="DU447" s="1427"/>
      <c r="DV447" s="1427"/>
      <c r="DW447" s="1427"/>
      <c r="DX447" s="1427"/>
      <c r="DY447" s="1427"/>
      <c r="DZ447" s="1427"/>
      <c r="EA447" s="1427"/>
      <c r="EB447" s="1427"/>
      <c r="EC447" s="1427"/>
      <c r="ED447" s="1427"/>
      <c r="EE447" s="1427"/>
      <c r="EF447" s="1427"/>
      <c r="EG447" s="1427"/>
      <c r="EH447" s="1427"/>
      <c r="EI447" s="1427"/>
      <c r="EJ447" s="1427"/>
      <c r="EK447" s="1427"/>
      <c r="EL447" s="1427"/>
      <c r="EM447" s="1427"/>
      <c r="EN447" s="1427"/>
      <c r="EO447" s="1427"/>
      <c r="EP447" s="1427"/>
      <c r="EQ447" s="1427"/>
      <c r="ER447" s="1427"/>
      <c r="ES447" s="1427"/>
      <c r="ET447" s="1427"/>
      <c r="EU447" s="1427"/>
    </row>
    <row r="448" spans="1:151" ht="21.75" customHeight="1">
      <c r="B448" s="1440"/>
      <c r="C448" s="2449" t="s">
        <v>1961</v>
      </c>
      <c r="D448" s="2449" t="s">
        <v>2308</v>
      </c>
      <c r="E448" s="2449" t="s">
        <v>2309</v>
      </c>
      <c r="F448" s="2449" t="s">
        <v>1897</v>
      </c>
      <c r="H448" s="1440"/>
      <c r="L448" s="1475"/>
      <c r="M448" s="1475"/>
      <c r="BE448" s="1929"/>
      <c r="BF448" s="1929"/>
      <c r="BG448" s="1929"/>
      <c r="DI448" s="1440"/>
      <c r="DJ448" s="1427"/>
      <c r="DK448" s="1427"/>
      <c r="DL448" s="1427"/>
      <c r="DM448" s="1427"/>
      <c r="DN448" s="1427"/>
      <c r="DO448" s="1427"/>
      <c r="DP448" s="1427"/>
      <c r="DQ448" s="1440"/>
      <c r="DR448" s="1427"/>
      <c r="DS448" s="1427"/>
      <c r="DT448" s="1427"/>
      <c r="DU448" s="1427"/>
      <c r="DV448" s="1427"/>
      <c r="DW448" s="1427"/>
      <c r="DX448" s="1427"/>
      <c r="DY448" s="1427"/>
      <c r="DZ448" s="1427"/>
      <c r="EA448" s="1427"/>
      <c r="EB448" s="1427"/>
      <c r="EC448" s="1427"/>
      <c r="ED448" s="1427"/>
      <c r="EE448" s="1427"/>
      <c r="EF448" s="1427"/>
      <c r="EG448" s="1427"/>
      <c r="EH448" s="1427"/>
      <c r="EI448" s="1427"/>
      <c r="EJ448" s="1427"/>
      <c r="EK448" s="1427"/>
      <c r="EL448" s="1427"/>
      <c r="EM448" s="1427"/>
      <c r="EN448" s="1427"/>
      <c r="EO448" s="1427"/>
      <c r="EP448" s="1427"/>
      <c r="EQ448" s="1427"/>
      <c r="ER448" s="1427"/>
      <c r="ES448" s="1427"/>
      <c r="ET448" s="1427"/>
      <c r="EU448" s="1427"/>
    </row>
    <row r="449" spans="1:151" ht="29.25" customHeight="1">
      <c r="B449" s="1440"/>
      <c r="C449" s="2450"/>
      <c r="D449" s="2450"/>
      <c r="E449" s="2450"/>
      <c r="F449" s="2449"/>
      <c r="L449" s="1475"/>
      <c r="M449" s="1475"/>
      <c r="BE449" s="1929"/>
      <c r="BF449" s="1929"/>
      <c r="BG449" s="1929"/>
      <c r="DI449" s="1440"/>
      <c r="DJ449" s="1427"/>
      <c r="DK449" s="1427"/>
      <c r="DL449" s="1427"/>
      <c r="DM449" s="1427"/>
      <c r="DN449" s="1427"/>
      <c r="DO449" s="1427"/>
      <c r="DP449" s="1427"/>
      <c r="DQ449" s="1440"/>
      <c r="DR449" s="1427"/>
      <c r="DS449" s="1427"/>
      <c r="DT449" s="1427"/>
      <c r="DU449" s="1427"/>
      <c r="DV449" s="1427"/>
      <c r="DW449" s="1427"/>
      <c r="DX449" s="1427"/>
      <c r="DY449" s="1427"/>
      <c r="DZ449" s="1427"/>
      <c r="EA449" s="1427"/>
      <c r="EB449" s="1427"/>
      <c r="EC449" s="1427"/>
      <c r="ED449" s="1427"/>
      <c r="EE449" s="1427"/>
      <c r="EF449" s="1427"/>
      <c r="EG449" s="1427"/>
      <c r="EH449" s="1427"/>
      <c r="EI449" s="1427"/>
      <c r="EJ449" s="1427"/>
      <c r="EK449" s="1427"/>
      <c r="EL449" s="1427"/>
      <c r="EM449" s="1427"/>
      <c r="EN449" s="1427"/>
      <c r="EO449" s="1427"/>
      <c r="EP449" s="1427"/>
      <c r="EQ449" s="1427"/>
      <c r="ER449" s="1427"/>
      <c r="ES449" s="1427"/>
      <c r="ET449" s="1427"/>
      <c r="EU449" s="1427"/>
    </row>
    <row r="450" spans="1:151" ht="15" customHeight="1">
      <c r="A450" s="1627"/>
      <c r="B450" s="1596" t="str">
        <f>B415</f>
        <v>Toilets</v>
      </c>
      <c r="C450" s="1662"/>
      <c r="D450" s="1662"/>
      <c r="E450" s="1662"/>
      <c r="F450" s="1758">
        <f t="shared" ref="F450:F461" si="592">IFERROR(MIN(AJ399*(AK$399/AJ$411),AJ399),0)</f>
        <v>0</v>
      </c>
      <c r="L450" s="1475"/>
      <c r="M450" s="1475"/>
      <c r="BE450" s="1929"/>
      <c r="BF450" s="1929"/>
      <c r="BG450" s="1929"/>
      <c r="DI450" s="1440"/>
      <c r="DJ450" s="1427"/>
      <c r="DK450" s="1427"/>
      <c r="DL450" s="1427"/>
      <c r="DM450" s="1427"/>
      <c r="DN450" s="1427"/>
      <c r="DO450" s="1427"/>
      <c r="DP450" s="1427"/>
      <c r="DQ450" s="1440"/>
      <c r="DR450" s="1427"/>
      <c r="DS450" s="1427"/>
      <c r="DT450" s="1427"/>
      <c r="DU450" s="1427"/>
      <c r="DV450" s="1427"/>
      <c r="DW450" s="1427"/>
      <c r="DX450" s="1427"/>
      <c r="DY450" s="1427"/>
      <c r="DZ450" s="1427"/>
      <c r="EA450" s="1427"/>
      <c r="EB450" s="1427"/>
      <c r="EC450" s="1427"/>
      <c r="ED450" s="1427"/>
      <c r="EE450" s="1427"/>
      <c r="EF450" s="1427"/>
      <c r="EG450" s="1427"/>
      <c r="EH450" s="1427"/>
      <c r="EI450" s="1427"/>
      <c r="EJ450" s="1427"/>
      <c r="EK450" s="1427"/>
      <c r="EL450" s="1427"/>
      <c r="EM450" s="1427"/>
      <c r="EN450" s="1427"/>
      <c r="EO450" s="1427"/>
      <c r="EP450" s="1427"/>
      <c r="EQ450" s="1427"/>
      <c r="ER450" s="1427"/>
      <c r="ES450" s="1427"/>
      <c r="ET450" s="1427"/>
      <c r="EU450" s="1427"/>
    </row>
    <row r="451" spans="1:151" ht="15" customHeight="1">
      <c r="A451" s="1587"/>
      <c r="B451" s="1596" t="str">
        <f t="shared" ref="B451:B461" si="593">B416</f>
        <v>Urinals</v>
      </c>
      <c r="C451" s="1662"/>
      <c r="D451" s="1662"/>
      <c r="E451" s="1662"/>
      <c r="F451" s="1758">
        <f t="shared" si="592"/>
        <v>0</v>
      </c>
      <c r="G451" s="1764"/>
      <c r="H451" s="1764"/>
      <c r="L451" s="1475"/>
      <c r="M451" s="1764"/>
      <c r="BE451" s="1929"/>
      <c r="BF451" s="1929"/>
      <c r="BG451" s="1929"/>
      <c r="DI451" s="1440"/>
      <c r="DJ451" s="1427"/>
      <c r="DK451" s="1427"/>
      <c r="DL451" s="1427"/>
      <c r="DM451" s="1427"/>
      <c r="DN451" s="1427"/>
      <c r="DO451" s="1427"/>
      <c r="DP451" s="1427"/>
      <c r="DQ451" s="1440"/>
      <c r="DR451" s="1625"/>
      <c r="DS451" s="1427"/>
      <c r="DT451" s="1427"/>
      <c r="DU451" s="1427"/>
      <c r="DV451" s="1427"/>
      <c r="DW451" s="1427"/>
      <c r="DX451" s="1427"/>
      <c r="DY451" s="1427"/>
      <c r="DZ451" s="1427"/>
      <c r="EA451" s="1427"/>
      <c r="EB451" s="1427"/>
      <c r="EC451" s="1427"/>
      <c r="ED451" s="1427"/>
      <c r="EE451" s="1427"/>
      <c r="EF451" s="1427"/>
      <c r="EG451" s="1427"/>
      <c r="EH451" s="1427"/>
      <c r="EI451" s="1427"/>
      <c r="EJ451" s="1427"/>
      <c r="EK451" s="1427"/>
      <c r="EL451" s="1427"/>
      <c r="EM451" s="1427"/>
      <c r="EN451" s="1427"/>
      <c r="EO451" s="1427"/>
      <c r="EP451" s="1427"/>
      <c r="EQ451" s="1427"/>
      <c r="ER451" s="1427"/>
      <c r="ES451" s="1427"/>
      <c r="ET451" s="1427"/>
      <c r="EU451" s="1427"/>
    </row>
    <row r="452" spans="1:151" ht="15" customHeight="1">
      <c r="A452" s="1603"/>
      <c r="B452" s="1596" t="str">
        <f t="shared" si="593"/>
        <v>Indoor Taps</v>
      </c>
      <c r="C452" s="1662"/>
      <c r="D452" s="1662"/>
      <c r="E452" s="1662"/>
      <c r="F452" s="1758">
        <f t="shared" si="592"/>
        <v>0</v>
      </c>
      <c r="G452" s="1475"/>
      <c r="H452" s="1475"/>
      <c r="L452" s="1475"/>
      <c r="M452" s="1475"/>
      <c r="BE452" s="1929"/>
      <c r="BF452" s="1929"/>
      <c r="BG452" s="1929"/>
      <c r="DI452" s="1440"/>
      <c r="DJ452" s="1427"/>
      <c r="DK452" s="1427"/>
      <c r="DL452" s="1427"/>
      <c r="DM452" s="1427"/>
      <c r="DN452" s="1427"/>
      <c r="DO452" s="1427"/>
      <c r="DP452" s="1427"/>
      <c r="DQ452" s="1440"/>
      <c r="DR452" s="1625"/>
      <c r="DS452" s="1427"/>
      <c r="DT452" s="1427"/>
      <c r="DU452" s="1427"/>
      <c r="DV452" s="1427"/>
      <c r="DW452" s="1427"/>
      <c r="DX452" s="1427"/>
      <c r="DY452" s="1427"/>
      <c r="DZ452" s="1427"/>
      <c r="EA452" s="1427"/>
      <c r="EB452" s="1427"/>
      <c r="EC452" s="1427"/>
      <c r="ED452" s="1427"/>
      <c r="EE452" s="1427"/>
      <c r="EF452" s="1427"/>
      <c r="EG452" s="1427"/>
      <c r="EH452" s="1427"/>
      <c r="EI452" s="1427"/>
      <c r="EJ452" s="1427"/>
      <c r="EK452" s="1427"/>
      <c r="EL452" s="1427"/>
      <c r="EM452" s="1427"/>
      <c r="EN452" s="1427"/>
      <c r="EO452" s="1427"/>
      <c r="EP452" s="1427"/>
      <c r="EQ452" s="1427"/>
      <c r="ER452" s="1427"/>
      <c r="ES452" s="1427"/>
      <c r="ET452" s="1427"/>
      <c r="EU452" s="1427"/>
    </row>
    <row r="453" spans="1:151" ht="15" customHeight="1">
      <c r="A453" s="1603"/>
      <c r="B453" s="1596" t="str">
        <f t="shared" si="593"/>
        <v>Showers</v>
      </c>
      <c r="C453" s="1662"/>
      <c r="D453" s="1662"/>
      <c r="E453" s="1662"/>
      <c r="F453" s="1758">
        <f t="shared" si="592"/>
        <v>0</v>
      </c>
      <c r="L453" s="1475"/>
      <c r="BE453" s="1929"/>
      <c r="BF453" s="1929"/>
      <c r="BG453" s="1929"/>
      <c r="DI453" s="1440"/>
      <c r="DJ453" s="1427"/>
      <c r="DK453" s="1427"/>
      <c r="DL453" s="1427"/>
      <c r="DM453" s="1427"/>
      <c r="DN453" s="1427"/>
      <c r="DO453" s="1427"/>
      <c r="DP453" s="1427"/>
      <c r="DQ453" s="1440"/>
      <c r="DR453" s="1625"/>
      <c r="DS453" s="1427"/>
      <c r="DT453" s="1427"/>
      <c r="DU453" s="1427"/>
      <c r="DV453" s="1427"/>
      <c r="DW453" s="1427"/>
      <c r="DX453" s="1427"/>
      <c r="DY453" s="1427"/>
      <c r="DZ453" s="1427"/>
      <c r="EA453" s="1427"/>
      <c r="EB453" s="1427"/>
      <c r="EC453" s="1427"/>
      <c r="ED453" s="1427"/>
      <c r="EE453" s="1427"/>
      <c r="EF453" s="1427"/>
      <c r="EG453" s="1427"/>
      <c r="EH453" s="1427"/>
      <c r="EI453" s="1427"/>
      <c r="EJ453" s="1427"/>
      <c r="EK453" s="1427"/>
      <c r="EL453" s="1427"/>
      <c r="EM453" s="1427"/>
      <c r="EN453" s="1427"/>
      <c r="EO453" s="1427"/>
      <c r="EP453" s="1427"/>
      <c r="EQ453" s="1427"/>
      <c r="ER453" s="1427"/>
      <c r="ES453" s="1427"/>
      <c r="ET453" s="1427"/>
      <c r="EU453" s="1427"/>
    </row>
    <row r="454" spans="1:151" ht="18.75" customHeight="1">
      <c r="A454" s="1603"/>
      <c r="B454" s="1596" t="str">
        <f t="shared" si="593"/>
        <v>Heat Rejection</v>
      </c>
      <c r="C454" s="1662"/>
      <c r="D454" s="1662"/>
      <c r="E454" s="1662"/>
      <c r="F454" s="1758">
        <f t="shared" si="592"/>
        <v>0</v>
      </c>
      <c r="L454" s="1475"/>
      <c r="BE454" s="1929"/>
      <c r="BF454" s="1929"/>
      <c r="BG454" s="1929"/>
      <c r="DI454" s="1440"/>
      <c r="DJ454" s="1427"/>
      <c r="DK454" s="1427"/>
      <c r="DL454" s="1427"/>
      <c r="DM454" s="1427"/>
      <c r="DN454" s="1427"/>
      <c r="DO454" s="1427"/>
      <c r="DP454" s="1427"/>
      <c r="DQ454" s="1440"/>
      <c r="DR454" s="1427"/>
      <c r="DS454" s="1427"/>
      <c r="DT454" s="1427"/>
      <c r="DU454" s="1427"/>
      <c r="DV454" s="1427"/>
      <c r="DW454" s="1427"/>
      <c r="DX454" s="1427"/>
      <c r="DY454" s="1427"/>
      <c r="DZ454" s="1427"/>
      <c r="EA454" s="1427"/>
      <c r="EB454" s="1427"/>
      <c r="EC454" s="1427"/>
      <c r="ED454" s="1427"/>
      <c r="EE454" s="1427"/>
      <c r="EF454" s="1427"/>
      <c r="EG454" s="1427"/>
      <c r="EH454" s="1427"/>
      <c r="EI454" s="1427"/>
      <c r="EJ454" s="1427"/>
      <c r="EK454" s="1427"/>
      <c r="EL454" s="1427"/>
      <c r="EM454" s="1427"/>
      <c r="EN454" s="1427"/>
      <c r="EO454" s="1427"/>
      <c r="EP454" s="1427"/>
      <c r="EQ454" s="1427"/>
      <c r="ER454" s="1427"/>
      <c r="ES454" s="1427"/>
      <c r="ET454" s="1427"/>
      <c r="EU454" s="1427"/>
    </row>
    <row r="455" spans="1:151" ht="18.75" customHeight="1">
      <c r="A455" s="1603"/>
      <c r="B455" s="1596" t="str">
        <f t="shared" si="593"/>
        <v>Irrigation</v>
      </c>
      <c r="C455" s="1662"/>
      <c r="D455" s="1662"/>
      <c r="E455" s="1662"/>
      <c r="F455" s="1758">
        <f t="shared" si="592"/>
        <v>0</v>
      </c>
      <c r="L455" s="1475"/>
      <c r="BE455" s="1929"/>
      <c r="BF455" s="1929"/>
      <c r="BG455" s="1929"/>
      <c r="DI455" s="1956"/>
      <c r="DJ455" s="1427"/>
      <c r="DK455" s="1427"/>
      <c r="DL455" s="1427"/>
      <c r="DM455" s="1427"/>
      <c r="DN455" s="1427"/>
      <c r="DO455" s="1427"/>
      <c r="DP455" s="1625"/>
      <c r="DQ455" s="1956"/>
      <c r="DR455" s="1427"/>
      <c r="DS455" s="1625"/>
      <c r="DT455" s="1625"/>
      <c r="DU455" s="1625"/>
      <c r="DV455" s="1625"/>
      <c r="DW455" s="1625"/>
      <c r="DX455" s="1625"/>
      <c r="DY455" s="1625"/>
      <c r="DZ455" s="1625"/>
      <c r="EA455" s="1625"/>
      <c r="EB455" s="1625"/>
      <c r="EC455" s="1625"/>
      <c r="ED455" s="1625"/>
      <c r="EE455" s="1625"/>
      <c r="EF455" s="1625"/>
      <c r="EG455" s="1625"/>
      <c r="EH455" s="1625"/>
      <c r="EI455" s="1625"/>
      <c r="EJ455" s="1625"/>
      <c r="EK455" s="1625"/>
      <c r="EL455" s="1625"/>
      <c r="EM455" s="1625"/>
      <c r="EN455" s="1625"/>
      <c r="EO455" s="1625"/>
      <c r="EP455" s="1625"/>
      <c r="EQ455" s="1625"/>
      <c r="ER455" s="1625"/>
      <c r="ES455" s="1625"/>
      <c r="ET455" s="1427"/>
      <c r="EU455" s="1427"/>
    </row>
    <row r="456" spans="1:151">
      <c r="A456" s="1603"/>
      <c r="B456" s="1596" t="str">
        <f t="shared" si="593"/>
        <v>Swimming pool make up</v>
      </c>
      <c r="C456" s="1662"/>
      <c r="D456" s="1662"/>
      <c r="E456" s="1662"/>
      <c r="F456" s="1758">
        <f t="shared" si="592"/>
        <v>0</v>
      </c>
      <c r="L456" s="1475"/>
      <c r="BE456" s="1929"/>
      <c r="BF456" s="1929"/>
      <c r="BG456" s="1929"/>
      <c r="DI456" s="1440"/>
      <c r="DJ456" s="1427"/>
      <c r="DK456" s="1427"/>
      <c r="DL456" s="1427"/>
      <c r="DM456" s="1625"/>
      <c r="DN456" s="1625"/>
      <c r="DO456" s="1625"/>
      <c r="DP456" s="1427"/>
      <c r="DQ456" s="1440"/>
      <c r="DR456" s="1427"/>
      <c r="DS456" s="1427"/>
      <c r="DT456" s="1427"/>
      <c r="DU456" s="1427"/>
      <c r="DV456" s="1427"/>
      <c r="DW456" s="1427"/>
      <c r="DX456" s="1427"/>
      <c r="DY456" s="1427"/>
      <c r="DZ456" s="1427"/>
      <c r="EA456" s="1427"/>
      <c r="EB456" s="1427"/>
      <c r="EC456" s="1427"/>
      <c r="ED456" s="1427"/>
      <c r="EE456" s="1427"/>
      <c r="EF456" s="1427"/>
      <c r="EG456" s="1427"/>
      <c r="EH456" s="1427"/>
      <c r="EI456" s="1427"/>
      <c r="EJ456" s="1427"/>
      <c r="EK456" s="1427"/>
      <c r="EL456" s="1427"/>
      <c r="EM456" s="1427"/>
      <c r="EN456" s="1427"/>
      <c r="EO456" s="1427"/>
      <c r="EP456" s="1427"/>
      <c r="EQ456" s="1427"/>
      <c r="ER456" s="1427"/>
      <c r="ES456" s="1427"/>
      <c r="ET456" s="1427"/>
      <c r="EU456" s="1427"/>
    </row>
    <row r="457" spans="1:151">
      <c r="A457" s="1603"/>
      <c r="B457" s="1596" t="str">
        <f t="shared" si="593"/>
        <v>Laundry Facilities</v>
      </c>
      <c r="C457" s="1662"/>
      <c r="D457" s="1662"/>
      <c r="E457" s="1662"/>
      <c r="F457" s="1758">
        <f t="shared" si="592"/>
        <v>0</v>
      </c>
      <c r="L457" s="1475"/>
      <c r="BE457" s="1929"/>
      <c r="BF457" s="1929"/>
      <c r="BG457" s="1929"/>
      <c r="DI457" s="1440"/>
      <c r="DJ457" s="1625"/>
      <c r="DK457" s="1625"/>
      <c r="DL457" s="1625"/>
      <c r="DM457" s="1427"/>
      <c r="DN457" s="1427"/>
      <c r="DO457" s="1427"/>
      <c r="DP457" s="1427"/>
      <c r="DQ457" s="1440"/>
      <c r="DR457" s="1427"/>
      <c r="DS457" s="1427"/>
      <c r="DT457" s="1427"/>
      <c r="DU457" s="1427"/>
      <c r="DV457" s="1427"/>
      <c r="DW457" s="1427"/>
      <c r="DX457" s="1427"/>
      <c r="DY457" s="1427"/>
      <c r="DZ457" s="1427"/>
      <c r="EA457" s="1427"/>
      <c r="EB457" s="1427"/>
      <c r="EC457" s="1427"/>
      <c r="ED457" s="1427"/>
      <c r="EE457" s="1427"/>
      <c r="EF457" s="1427"/>
      <c r="EG457" s="1427"/>
      <c r="EH457" s="1427"/>
      <c r="EI457" s="1427"/>
      <c r="EJ457" s="1427"/>
      <c r="EK457" s="1427"/>
      <c r="EL457" s="1427"/>
      <c r="EM457" s="1427"/>
      <c r="EN457" s="1427"/>
      <c r="EO457" s="1427"/>
      <c r="EP457" s="1427"/>
      <c r="EQ457" s="1427"/>
      <c r="ER457" s="1427"/>
      <c r="ES457" s="1427"/>
      <c r="ET457" s="1427"/>
      <c r="EU457" s="1427"/>
    </row>
    <row r="458" spans="1:151">
      <c r="A458" s="1603"/>
      <c r="B458" s="1596" t="str">
        <f t="shared" si="593"/>
        <v>Large Kitchens</v>
      </c>
      <c r="C458" s="1662"/>
      <c r="D458" s="1662"/>
      <c r="E458" s="1662"/>
      <c r="F458" s="1758">
        <f t="shared" si="592"/>
        <v>0</v>
      </c>
      <c r="L458" s="1475"/>
      <c r="BE458" s="1929"/>
      <c r="BF458" s="1929"/>
      <c r="BG458" s="1929"/>
      <c r="DI458" s="1440"/>
      <c r="DJ458" s="1427"/>
      <c r="DK458" s="1427"/>
      <c r="DL458" s="1427"/>
      <c r="DM458" s="1427"/>
      <c r="DN458" s="1427"/>
      <c r="DO458" s="1427"/>
      <c r="DP458" s="1427"/>
      <c r="DQ458" s="1440"/>
      <c r="DR458" s="1427"/>
      <c r="DS458" s="1427"/>
      <c r="DT458" s="1427"/>
      <c r="DU458" s="1427"/>
      <c r="DV458" s="1427"/>
      <c r="DW458" s="1427"/>
      <c r="DX458" s="1427"/>
      <c r="DY458" s="1427"/>
      <c r="DZ458" s="1427"/>
      <c r="EA458" s="1427"/>
      <c r="EB458" s="1427"/>
      <c r="EC458" s="1427"/>
      <c r="ED458" s="1427"/>
      <c r="EE458" s="1427"/>
      <c r="EF458" s="1427"/>
      <c r="EG458" s="1427"/>
      <c r="EH458" s="1427"/>
      <c r="EI458" s="1427"/>
      <c r="EJ458" s="1427"/>
      <c r="EK458" s="1427"/>
      <c r="EL458" s="1427"/>
      <c r="EM458" s="1427"/>
      <c r="EN458" s="1427"/>
      <c r="EO458" s="1427"/>
      <c r="EP458" s="1427"/>
      <c r="EQ458" s="1427"/>
      <c r="ER458" s="1427"/>
      <c r="ES458" s="1427"/>
      <c r="ET458" s="1427"/>
      <c r="EU458" s="1427"/>
    </row>
    <row r="459" spans="1:151">
      <c r="A459" s="1678"/>
      <c r="B459" s="1596" t="str">
        <f t="shared" si="593"/>
        <v>{Other Water Use 1}</v>
      </c>
      <c r="C459" s="1662"/>
      <c r="D459" s="1662"/>
      <c r="E459" s="1662"/>
      <c r="F459" s="1758">
        <f t="shared" si="592"/>
        <v>0</v>
      </c>
      <c r="L459" s="1475"/>
      <c r="BE459" s="1929"/>
      <c r="BF459" s="1929"/>
      <c r="BG459" s="1929"/>
      <c r="DI459" s="1440"/>
      <c r="DJ459" s="1427"/>
      <c r="DK459" s="1427"/>
      <c r="DL459" s="1427"/>
      <c r="DM459" s="1427"/>
      <c r="DN459" s="1427"/>
      <c r="DO459" s="1427"/>
      <c r="DP459" s="1427"/>
      <c r="DQ459" s="1440"/>
      <c r="DR459" s="1427"/>
      <c r="DS459" s="1427"/>
      <c r="DT459" s="1427"/>
      <c r="DU459" s="1427"/>
      <c r="DV459" s="1427"/>
      <c r="DW459" s="1427"/>
      <c r="DX459" s="1427"/>
      <c r="DY459" s="1427"/>
      <c r="DZ459" s="1427"/>
      <c r="EA459" s="1427"/>
      <c r="EB459" s="1427"/>
      <c r="EC459" s="1427"/>
      <c r="ED459" s="1427"/>
      <c r="EE459" s="1427"/>
      <c r="EF459" s="1427"/>
      <c r="EG459" s="1427"/>
      <c r="EH459" s="1427"/>
      <c r="EI459" s="1427"/>
      <c r="EJ459" s="1427"/>
      <c r="EK459" s="1427"/>
      <c r="EL459" s="1427"/>
      <c r="EM459" s="1427"/>
      <c r="EN459" s="1427"/>
      <c r="EO459" s="1427"/>
      <c r="EP459" s="1427"/>
      <c r="EQ459" s="1427"/>
      <c r="ER459" s="1427"/>
      <c r="ES459" s="1427"/>
      <c r="ET459" s="1427"/>
      <c r="EU459" s="1427"/>
    </row>
    <row r="460" spans="1:151">
      <c r="A460" s="1678"/>
      <c r="B460" s="1596" t="str">
        <f t="shared" si="593"/>
        <v>{Other Water Use 2}</v>
      </c>
      <c r="C460" s="1662"/>
      <c r="D460" s="1662"/>
      <c r="E460" s="1662"/>
      <c r="F460" s="1758">
        <f t="shared" si="592"/>
        <v>0</v>
      </c>
      <c r="L460" s="1475"/>
      <c r="BE460" s="1929"/>
      <c r="BF460" s="1929"/>
      <c r="BG460" s="1929"/>
      <c r="DI460" s="1440"/>
      <c r="DJ460" s="1427"/>
      <c r="DK460" s="1427"/>
      <c r="DL460" s="1427"/>
      <c r="DM460" s="1427"/>
      <c r="DN460" s="1427"/>
      <c r="DO460" s="1427"/>
      <c r="DP460" s="1427"/>
      <c r="DQ460" s="1440"/>
      <c r="DR460" s="1427"/>
      <c r="DS460" s="1427"/>
      <c r="DT460" s="1427"/>
      <c r="DU460" s="1427"/>
      <c r="DV460" s="1427"/>
      <c r="DW460" s="1427"/>
      <c r="DX460" s="1427"/>
      <c r="DY460" s="1427"/>
      <c r="DZ460" s="1427"/>
      <c r="EA460" s="1427"/>
      <c r="EB460" s="1427"/>
      <c r="EC460" s="1427"/>
      <c r="ED460" s="1427"/>
      <c r="EE460" s="1427"/>
      <c r="EF460" s="1427"/>
      <c r="EG460" s="1427"/>
      <c r="EH460" s="1427"/>
      <c r="EI460" s="1427"/>
      <c r="EJ460" s="1427"/>
      <c r="EK460" s="1427"/>
      <c r="EL460" s="1427"/>
      <c r="EM460" s="1427"/>
      <c r="EN460" s="1427"/>
      <c r="EO460" s="1427"/>
      <c r="EP460" s="1427"/>
      <c r="EQ460" s="1427"/>
      <c r="ER460" s="1427"/>
      <c r="ES460" s="1427"/>
      <c r="ET460" s="1427"/>
      <c r="EU460" s="1427"/>
    </row>
    <row r="461" spans="1:151">
      <c r="A461" s="1678"/>
      <c r="B461" s="1596" t="str">
        <f t="shared" si="593"/>
        <v>{Other Water Use 3}</v>
      </c>
      <c r="C461" s="1662"/>
      <c r="D461" s="1662"/>
      <c r="E461" s="1662"/>
      <c r="F461" s="1758">
        <f t="shared" si="592"/>
        <v>0</v>
      </c>
      <c r="L461" s="1475"/>
      <c r="BE461" s="1929"/>
      <c r="BF461" s="1929"/>
      <c r="BG461" s="1929"/>
      <c r="DI461" s="1440"/>
      <c r="DJ461" s="1427"/>
      <c r="DK461" s="1427"/>
      <c r="DL461" s="1427"/>
      <c r="DM461" s="1427"/>
      <c r="DN461" s="1427"/>
      <c r="DO461" s="1427"/>
      <c r="DP461" s="1427"/>
      <c r="DQ461" s="1440"/>
      <c r="DR461" s="1427"/>
      <c r="DS461" s="1427"/>
      <c r="DT461" s="1427"/>
      <c r="DU461" s="1427"/>
      <c r="DV461" s="1427"/>
      <c r="DW461" s="1427"/>
      <c r="DX461" s="1427"/>
      <c r="DY461" s="1427"/>
      <c r="DZ461" s="1427"/>
      <c r="EA461" s="1427"/>
      <c r="EB461" s="1427"/>
      <c r="EC461" s="1427"/>
      <c r="ED461" s="1427"/>
      <c r="EE461" s="1427"/>
      <c r="EF461" s="1427"/>
      <c r="EG461" s="1427"/>
      <c r="EH461" s="1427"/>
      <c r="EI461" s="1427"/>
      <c r="EJ461" s="1427"/>
      <c r="EK461" s="1427"/>
      <c r="EL461" s="1427"/>
      <c r="EM461" s="1427"/>
      <c r="EN461" s="1427"/>
      <c r="EO461" s="1427"/>
      <c r="EP461" s="1427"/>
      <c r="EQ461" s="1427"/>
      <c r="ER461" s="1427"/>
      <c r="ES461" s="1427"/>
      <c r="ET461" s="1427"/>
      <c r="EU461" s="1427"/>
    </row>
    <row r="462" spans="1:151">
      <c r="B462" s="2444" t="s">
        <v>1962</v>
      </c>
      <c r="C462" s="2444"/>
      <c r="D462" s="1957"/>
      <c r="E462" s="1957"/>
      <c r="F462" s="1958">
        <f>SUM(F450:F461)</f>
        <v>0</v>
      </c>
      <c r="L462" s="1475"/>
      <c r="M462" s="1959"/>
      <c r="N462" s="1960"/>
      <c r="O462" s="1960"/>
      <c r="P462" s="1960"/>
      <c r="Q462" s="1960"/>
      <c r="R462" s="1960"/>
      <c r="S462" s="1960"/>
      <c r="T462" s="1960"/>
      <c r="U462" s="1960"/>
      <c r="V462" s="1960"/>
      <c r="W462" s="1960"/>
      <c r="X462" s="1960"/>
      <c r="Y462" s="1960"/>
      <c r="Z462" s="1960"/>
      <c r="AA462" s="1960"/>
      <c r="AB462" s="1960"/>
      <c r="AC462" s="1960"/>
      <c r="AD462" s="1960"/>
      <c r="AE462" s="1960"/>
      <c r="AF462" s="1960"/>
      <c r="AG462" s="1960"/>
      <c r="AH462" s="1960"/>
      <c r="AI462" s="1960"/>
      <c r="AJ462" s="1960"/>
      <c r="AK462" s="1960"/>
      <c r="AL462" s="1960"/>
      <c r="AM462" s="1960"/>
      <c r="AN462" s="1960"/>
      <c r="AO462" s="1960"/>
      <c r="AP462" s="1960"/>
      <c r="AQ462" s="1960"/>
      <c r="AR462" s="1960"/>
      <c r="AS462" s="1960"/>
      <c r="AT462" s="1960"/>
      <c r="AU462" s="1960"/>
      <c r="AV462" s="1960"/>
      <c r="AW462" s="1960"/>
      <c r="AX462" s="1960"/>
      <c r="AY462" s="1960"/>
      <c r="AZ462" s="1960"/>
      <c r="BA462" s="1960"/>
      <c r="BB462" s="1960"/>
      <c r="BC462" s="1960"/>
      <c r="BE462" s="1929"/>
      <c r="BF462" s="1929"/>
      <c r="BG462" s="1929"/>
      <c r="DI462" s="1440"/>
      <c r="DJ462" s="1427"/>
      <c r="DK462" s="1427"/>
      <c r="DL462" s="1427"/>
      <c r="DM462" s="1427"/>
      <c r="DN462" s="1427"/>
      <c r="DO462" s="1427"/>
      <c r="DP462" s="1427"/>
      <c r="DQ462" s="1440"/>
      <c r="DR462" s="1427"/>
      <c r="DS462" s="1427"/>
      <c r="DT462" s="1427"/>
      <c r="DU462" s="1427"/>
      <c r="DV462" s="1427"/>
      <c r="DW462" s="1427"/>
      <c r="DX462" s="1427"/>
      <c r="DY462" s="1427"/>
      <c r="DZ462" s="1427"/>
      <c r="EA462" s="1427"/>
      <c r="EB462" s="1427"/>
      <c r="EC462" s="1427"/>
      <c r="ED462" s="1427"/>
      <c r="EE462" s="1427"/>
      <c r="EF462" s="1427"/>
      <c r="EG462" s="1427"/>
      <c r="EH462" s="1427"/>
      <c r="EI462" s="1427"/>
      <c r="EJ462" s="1427"/>
      <c r="EK462" s="1427"/>
      <c r="EL462" s="1427"/>
      <c r="EM462" s="1427"/>
      <c r="EN462" s="1427"/>
      <c r="EO462" s="1427"/>
      <c r="EP462" s="1427"/>
      <c r="EQ462" s="1427"/>
      <c r="ER462" s="1427"/>
      <c r="ES462" s="1427"/>
      <c r="ET462" s="1427"/>
      <c r="EU462" s="1427"/>
    </row>
    <row r="463" spans="1:151">
      <c r="L463" s="1475"/>
      <c r="M463" s="1959"/>
      <c r="O463" s="1960" t="s">
        <v>1901</v>
      </c>
      <c r="P463" s="1960"/>
      <c r="Q463" s="1960"/>
      <c r="BE463" s="1929"/>
      <c r="BF463" s="1929"/>
      <c r="BG463" s="1929"/>
      <c r="DI463" s="1440"/>
      <c r="DJ463" s="1427"/>
      <c r="DK463" s="1427"/>
      <c r="DL463" s="1427"/>
      <c r="DM463" s="1427"/>
      <c r="DN463" s="1427"/>
      <c r="DO463" s="1427"/>
      <c r="DP463" s="1427"/>
      <c r="DQ463" s="1440"/>
      <c r="DR463" s="1427"/>
      <c r="DS463" s="1427"/>
      <c r="DT463" s="1427"/>
      <c r="DU463" s="1427"/>
      <c r="DV463" s="1427"/>
      <c r="DW463" s="1427"/>
      <c r="DX463" s="1427"/>
      <c r="DY463" s="1427"/>
      <c r="DZ463" s="1427"/>
      <c r="EA463" s="1427"/>
      <c r="EB463" s="1427"/>
      <c r="EC463" s="1427"/>
      <c r="ED463" s="1427"/>
      <c r="EE463" s="1427"/>
      <c r="EF463" s="1427"/>
      <c r="EG463" s="1427"/>
      <c r="EH463" s="1427"/>
      <c r="EI463" s="1427"/>
      <c r="EJ463" s="1427"/>
      <c r="EK463" s="1427"/>
      <c r="EL463" s="1427"/>
      <c r="EM463" s="1427"/>
      <c r="EN463" s="1427"/>
      <c r="EO463" s="1427"/>
      <c r="EP463" s="1427"/>
      <c r="EQ463" s="1427"/>
      <c r="ER463" s="1427"/>
      <c r="ES463" s="1427"/>
      <c r="ET463" s="1427"/>
      <c r="EU463" s="1427"/>
    </row>
    <row r="464" spans="1:151">
      <c r="I464" s="1422"/>
      <c r="J464" s="1422"/>
      <c r="K464" s="1422"/>
      <c r="O464" s="1960" t="s">
        <v>1903</v>
      </c>
      <c r="P464" s="1425"/>
      <c r="Q464" s="1425"/>
      <c r="BE464" s="1929"/>
      <c r="BF464" s="1929"/>
      <c r="BG464" s="1929"/>
      <c r="DI464" s="1440"/>
      <c r="DJ464" s="1427"/>
      <c r="DK464" s="1427"/>
      <c r="DL464" s="1427"/>
      <c r="DM464" s="1427"/>
      <c r="DN464" s="1427"/>
      <c r="DO464" s="1427"/>
      <c r="DP464" s="1427"/>
      <c r="DQ464" s="1440"/>
      <c r="DR464" s="1427"/>
      <c r="DS464" s="1427"/>
      <c r="DT464" s="1427"/>
      <c r="DU464" s="1427"/>
      <c r="DV464" s="1427"/>
      <c r="DW464" s="1427"/>
      <c r="DX464" s="1427"/>
      <c r="DY464" s="1427"/>
      <c r="DZ464" s="1427"/>
      <c r="EA464" s="1427"/>
      <c r="EB464" s="1427"/>
      <c r="EC464" s="1427"/>
      <c r="ED464" s="1427"/>
      <c r="EE464" s="1427"/>
      <c r="EF464" s="1427"/>
      <c r="EG464" s="1427"/>
      <c r="EH464" s="1427"/>
      <c r="EI464" s="1427"/>
      <c r="EJ464" s="1427"/>
      <c r="EK464" s="1427"/>
      <c r="EL464" s="1427"/>
      <c r="EM464" s="1427"/>
      <c r="EN464" s="1427"/>
      <c r="EO464" s="1427"/>
      <c r="EP464" s="1427"/>
      <c r="EQ464" s="1427"/>
      <c r="ER464" s="1427"/>
      <c r="ES464" s="1427"/>
      <c r="ET464" s="1427"/>
      <c r="EU464" s="1427"/>
    </row>
    <row r="465" spans="2:151" ht="15.75">
      <c r="B465" s="1447" t="s">
        <v>2330</v>
      </c>
      <c r="C465" s="1960"/>
      <c r="D465" s="1960"/>
      <c r="E465" s="1960"/>
      <c r="F465" s="1960"/>
      <c r="G465" s="1960"/>
      <c r="H465" s="1960"/>
      <c r="I465" s="1960"/>
      <c r="J465" s="1960"/>
      <c r="K465" s="1960"/>
      <c r="L465" s="1960"/>
      <c r="M465" s="1960"/>
      <c r="O465" s="1640"/>
      <c r="P465" s="1874" t="s">
        <v>1706</v>
      </c>
      <c r="Q465" s="1682" t="s">
        <v>1707</v>
      </c>
      <c r="BE465" s="1929"/>
      <c r="BF465" s="1929"/>
      <c r="BG465" s="1929"/>
      <c r="DI465" s="1440"/>
      <c r="DJ465" s="1427"/>
      <c r="DK465" s="1427"/>
      <c r="DL465" s="1427"/>
      <c r="DM465" s="1427"/>
      <c r="DN465" s="1427"/>
      <c r="DO465" s="1427"/>
      <c r="DP465" s="1427"/>
      <c r="DQ465" s="1440"/>
      <c r="DR465" s="1427"/>
      <c r="DS465" s="1427"/>
      <c r="DT465" s="1427"/>
      <c r="DU465" s="1427"/>
      <c r="DV465" s="1427"/>
      <c r="DW465" s="1427"/>
      <c r="DX465" s="1427"/>
      <c r="DY465" s="1427"/>
      <c r="DZ465" s="1427"/>
      <c r="EA465" s="1427"/>
      <c r="EB465" s="1427"/>
      <c r="EC465" s="1427"/>
      <c r="ED465" s="1427"/>
      <c r="EE465" s="1427"/>
      <c r="EF465" s="1427"/>
      <c r="EG465" s="1427"/>
      <c r="EH465" s="1427"/>
      <c r="EI465" s="1427"/>
      <c r="EJ465" s="1427"/>
      <c r="EK465" s="1427"/>
      <c r="EL465" s="1427"/>
      <c r="EM465" s="1427"/>
      <c r="EN465" s="1427"/>
      <c r="EO465" s="1427"/>
      <c r="EP465" s="1427"/>
      <c r="EQ465" s="1427"/>
      <c r="ER465" s="1427"/>
      <c r="ES465" s="1427"/>
      <c r="ET465" s="1427"/>
      <c r="EU465" s="1427"/>
    </row>
    <row r="466" spans="2:151">
      <c r="B466" s="1455"/>
      <c r="C466" s="1455"/>
      <c r="D466" s="1455"/>
      <c r="E466" s="1455"/>
      <c r="F466" s="1455"/>
      <c r="G466" s="1455"/>
      <c r="H466" s="1455"/>
      <c r="I466" s="1455"/>
      <c r="J466" s="1455"/>
      <c r="K466" s="1455"/>
      <c r="L466" s="1455"/>
      <c r="M466" s="1455"/>
      <c r="O466" s="1640" t="s">
        <v>1540</v>
      </c>
      <c r="P466" s="1436">
        <f>C105-F375</f>
        <v>0</v>
      </c>
      <c r="Q466" s="1436">
        <f>D337</f>
        <v>0</v>
      </c>
      <c r="BE466" s="1929"/>
      <c r="BF466" s="1929"/>
      <c r="BG466" s="1929"/>
      <c r="DI466" s="1440"/>
      <c r="DJ466" s="1427"/>
      <c r="DK466" s="1427"/>
      <c r="DL466" s="1427"/>
      <c r="DM466" s="1427"/>
      <c r="DN466" s="1427"/>
      <c r="DO466" s="1427"/>
      <c r="DP466" s="1427"/>
      <c r="DQ466" s="1440"/>
      <c r="DR466" s="1427"/>
      <c r="DS466" s="1427"/>
      <c r="DT466" s="1427"/>
      <c r="DU466" s="1427"/>
      <c r="DV466" s="1427"/>
      <c r="DW466" s="1427"/>
      <c r="DX466" s="1427"/>
      <c r="DY466" s="1427"/>
      <c r="DZ466" s="1427"/>
      <c r="EA466" s="1427"/>
      <c r="EB466" s="1427"/>
      <c r="EC466" s="1427"/>
      <c r="ED466" s="1427"/>
      <c r="EE466" s="1427"/>
      <c r="EF466" s="1427"/>
      <c r="EG466" s="1427"/>
      <c r="EH466" s="1427"/>
      <c r="EI466" s="1427"/>
      <c r="EJ466" s="1427"/>
      <c r="EK466" s="1427"/>
      <c r="EL466" s="1427"/>
      <c r="EM466" s="1427"/>
      <c r="EN466" s="1427"/>
      <c r="EO466" s="1427"/>
      <c r="EP466" s="1427"/>
      <c r="EQ466" s="1427"/>
      <c r="ER466" s="1427"/>
      <c r="ES466" s="1427"/>
      <c r="ET466" s="1427"/>
      <c r="EU466" s="1427"/>
    </row>
    <row r="467" spans="2:151">
      <c r="B467" s="1475"/>
      <c r="C467" s="1586"/>
      <c r="D467" s="1874" t="str">
        <f>$Q$193</f>
        <v>Actual building</v>
      </c>
      <c r="E467" s="1682" t="str">
        <f>$AI$193</f>
        <v>Notional building</v>
      </c>
      <c r="F467" s="1475"/>
      <c r="G467" s="1475"/>
      <c r="H467" s="1475"/>
      <c r="I467" s="1737" t="s">
        <v>1899</v>
      </c>
      <c r="J467" s="1737" t="s">
        <v>1900</v>
      </c>
      <c r="L467" s="1440"/>
      <c r="M467" s="1440"/>
      <c r="O467" s="1640" t="s">
        <v>457</v>
      </c>
      <c r="P467" s="1436">
        <f>C106-F376</f>
        <v>0</v>
      </c>
      <c r="Q467" s="1436">
        <f>D338</f>
        <v>0</v>
      </c>
      <c r="BE467" s="1929"/>
      <c r="BF467" s="1929"/>
      <c r="BG467" s="1929"/>
      <c r="DI467" s="1440"/>
      <c r="DJ467" s="1427"/>
      <c r="DK467" s="1427"/>
      <c r="DL467" s="1427"/>
      <c r="DM467" s="1427"/>
      <c r="DN467" s="1427"/>
      <c r="DO467" s="1427"/>
      <c r="DP467" s="1427"/>
      <c r="DQ467" s="1440"/>
      <c r="DR467" s="1427"/>
      <c r="DS467" s="1427"/>
      <c r="DT467" s="1427"/>
      <c r="DU467" s="1427"/>
      <c r="DV467" s="1427"/>
      <c r="DW467" s="1427"/>
      <c r="DX467" s="1427"/>
      <c r="DY467" s="1427"/>
      <c r="DZ467" s="1427"/>
      <c r="EA467" s="1427"/>
      <c r="EB467" s="1427"/>
      <c r="EC467" s="1427"/>
      <c r="ED467" s="1427"/>
      <c r="EE467" s="1427"/>
      <c r="EF467" s="1427"/>
      <c r="EG467" s="1427"/>
      <c r="EH467" s="1427"/>
      <c r="EI467" s="1427"/>
      <c r="EJ467" s="1427"/>
      <c r="EK467" s="1427"/>
      <c r="EL467" s="1427"/>
      <c r="EM467" s="1427"/>
      <c r="EN467" s="1427"/>
      <c r="EO467" s="1427"/>
      <c r="EP467" s="1427"/>
      <c r="EQ467" s="1427"/>
      <c r="ER467" s="1427"/>
      <c r="ES467" s="1427"/>
      <c r="ET467" s="1427"/>
      <c r="EU467" s="1427"/>
    </row>
    <row r="468" spans="2:151">
      <c r="B468" s="2441" t="s">
        <v>1902</v>
      </c>
      <c r="C468" s="2442"/>
      <c r="D468" s="1737">
        <f>C363</f>
        <v>0</v>
      </c>
      <c r="E468" s="1737">
        <f>D363</f>
        <v>0</v>
      </c>
      <c r="F468" s="1475"/>
      <c r="G468" s="1475"/>
      <c r="H468" s="1475"/>
      <c r="I468" s="1961">
        <v>0</v>
      </c>
      <c r="J468" s="1737">
        <v>0</v>
      </c>
      <c r="L468" s="1440"/>
      <c r="M468" s="1440"/>
      <c r="O468" s="1640" t="s">
        <v>1907</v>
      </c>
      <c r="P468" s="1436">
        <f>C107-F377</f>
        <v>0</v>
      </c>
      <c r="Q468" s="1436">
        <f>D339</f>
        <v>0</v>
      </c>
      <c r="BE468" s="1929"/>
      <c r="BF468" s="1929"/>
      <c r="BG468" s="1929"/>
      <c r="DI468" s="1440"/>
      <c r="DJ468" s="1427"/>
      <c r="DK468" s="1427"/>
      <c r="DL468" s="1427"/>
      <c r="DM468" s="1427"/>
      <c r="DN468" s="1427"/>
      <c r="DO468" s="1427"/>
      <c r="DP468" s="1427"/>
      <c r="DQ468" s="1440"/>
      <c r="DR468" s="1427"/>
      <c r="DS468" s="1427"/>
      <c r="DT468" s="1427"/>
      <c r="DU468" s="1427"/>
      <c r="DV468" s="1427"/>
      <c r="DW468" s="1427"/>
      <c r="DX468" s="1427"/>
      <c r="DY468" s="1427"/>
      <c r="DZ468" s="1427"/>
      <c r="EA468" s="1427"/>
      <c r="EB468" s="1427"/>
      <c r="EC468" s="1427"/>
      <c r="ED468" s="1427"/>
      <c r="EE468" s="1427"/>
      <c r="EF468" s="1427"/>
      <c r="EG468" s="1427"/>
      <c r="EH468" s="1427"/>
      <c r="EI468" s="1427"/>
      <c r="EJ468" s="1427"/>
      <c r="EK468" s="1427"/>
      <c r="EL468" s="1427"/>
      <c r="EM468" s="1427"/>
      <c r="EN468" s="1427"/>
      <c r="EO468" s="1427"/>
      <c r="EP468" s="1427"/>
      <c r="EQ468" s="1427"/>
      <c r="ER468" s="1427"/>
      <c r="ES468" s="1427"/>
      <c r="ET468" s="1427"/>
      <c r="EU468" s="1427"/>
    </row>
    <row r="469" spans="2:151">
      <c r="B469" s="2441" t="s">
        <v>1904</v>
      </c>
      <c r="C469" s="2442"/>
      <c r="D469" s="1737">
        <f>SUM(D470:D472)</f>
        <v>0</v>
      </c>
      <c r="E469" s="1737">
        <v>0</v>
      </c>
      <c r="F469" s="1475"/>
      <c r="G469" s="1475"/>
      <c r="H469" s="1475"/>
      <c r="I469" s="1961">
        <v>0.05</v>
      </c>
      <c r="J469" s="1737">
        <v>1</v>
      </c>
      <c r="L469" s="1440"/>
      <c r="M469" s="1440"/>
      <c r="O469" s="1640" t="s">
        <v>1542</v>
      </c>
      <c r="P469" s="1436">
        <f>C108-F378</f>
        <v>0</v>
      </c>
      <c r="Q469" s="1436">
        <f>D340</f>
        <v>0</v>
      </c>
      <c r="BE469" s="1929"/>
      <c r="BF469" s="1929"/>
      <c r="BG469" s="1929"/>
      <c r="DI469" s="1440"/>
      <c r="DJ469" s="1427"/>
      <c r="DK469" s="1427"/>
      <c r="DL469" s="1427"/>
      <c r="DM469" s="1427"/>
      <c r="DN469" s="1427"/>
      <c r="DO469" s="1427"/>
      <c r="DP469" s="1427"/>
      <c r="DQ469" s="1440"/>
      <c r="DR469" s="1427"/>
      <c r="DS469" s="1427"/>
      <c r="DT469" s="1427"/>
      <c r="DU469" s="1427"/>
      <c r="DV469" s="1427"/>
      <c r="DW469" s="1427"/>
      <c r="DX469" s="1427"/>
      <c r="DY469" s="1427"/>
      <c r="DZ469" s="1427"/>
      <c r="EA469" s="1427"/>
      <c r="EB469" s="1427"/>
      <c r="EC469" s="1427"/>
      <c r="ED469" s="1427"/>
      <c r="EE469" s="1427"/>
      <c r="EF469" s="1427"/>
      <c r="EG469" s="1427"/>
      <c r="EH469" s="1427"/>
      <c r="EI469" s="1427"/>
      <c r="EJ469" s="1427"/>
      <c r="EK469" s="1427"/>
      <c r="EL469" s="1427"/>
      <c r="EM469" s="1427"/>
      <c r="EN469" s="1427"/>
      <c r="EO469" s="1427"/>
      <c r="EP469" s="1427"/>
      <c r="EQ469" s="1427"/>
      <c r="ER469" s="1427"/>
      <c r="ES469" s="1427"/>
      <c r="ET469" s="1427"/>
      <c r="EU469" s="1427"/>
    </row>
    <row r="470" spans="2:151">
      <c r="B470" s="2445" t="s">
        <v>1894</v>
      </c>
      <c r="C470" s="2442"/>
      <c r="D470" s="1962">
        <f>D401</f>
        <v>0</v>
      </c>
      <c r="E470" s="1962">
        <v>0</v>
      </c>
      <c r="F470" s="1475"/>
      <c r="G470" s="1475"/>
      <c r="H470" s="1475"/>
      <c r="I470" s="1961">
        <v>0.15</v>
      </c>
      <c r="J470" s="1737">
        <v>2</v>
      </c>
      <c r="L470" s="1440"/>
      <c r="M470" s="1440"/>
      <c r="O470" s="1640" t="s">
        <v>1878</v>
      </c>
      <c r="P470" s="1436">
        <f>S156-F379</f>
        <v>0</v>
      </c>
      <c r="Q470" s="1436">
        <f>D341</f>
        <v>0</v>
      </c>
      <c r="BE470" s="1929"/>
      <c r="BF470" s="1929"/>
      <c r="BG470" s="1929"/>
      <c r="DI470" s="1440"/>
      <c r="DJ470" s="1427"/>
      <c r="DK470" s="1427"/>
      <c r="DL470" s="1427"/>
      <c r="DM470" s="1427"/>
      <c r="DN470" s="1427"/>
      <c r="DO470" s="1427"/>
      <c r="DP470" s="1427"/>
      <c r="DQ470" s="1440"/>
      <c r="DR470" s="1427"/>
      <c r="DS470" s="1427"/>
      <c r="DT470" s="1427"/>
      <c r="DU470" s="1427"/>
      <c r="DV470" s="1427"/>
      <c r="DW470" s="1427"/>
      <c r="DX470" s="1427"/>
      <c r="DY470" s="1427"/>
      <c r="DZ470" s="1427"/>
      <c r="EA470" s="1427"/>
      <c r="EB470" s="1427"/>
      <c r="EC470" s="1427"/>
      <c r="ED470" s="1427"/>
      <c r="EE470" s="1427"/>
      <c r="EF470" s="1427"/>
      <c r="EG470" s="1427"/>
      <c r="EH470" s="1427"/>
      <c r="EI470" s="1427"/>
      <c r="EJ470" s="1427"/>
      <c r="EK470" s="1427"/>
      <c r="EL470" s="1427"/>
      <c r="EM470" s="1427"/>
      <c r="EN470" s="1427"/>
      <c r="EO470" s="1427"/>
      <c r="EP470" s="1427"/>
      <c r="EQ470" s="1427"/>
      <c r="ER470" s="1427"/>
      <c r="ES470" s="1427"/>
      <c r="ET470" s="1427"/>
      <c r="EU470" s="1427"/>
    </row>
    <row r="471" spans="2:151">
      <c r="B471" s="2445" t="s">
        <v>1905</v>
      </c>
      <c r="C471" s="2442"/>
      <c r="D471" s="1962">
        <f>E427</f>
        <v>0</v>
      </c>
      <c r="E471" s="1962">
        <v>0</v>
      </c>
      <c r="F471" s="1475"/>
      <c r="G471" s="1475"/>
      <c r="H471" s="1475"/>
      <c r="I471" s="1961">
        <v>0.25</v>
      </c>
      <c r="J471" s="1737">
        <v>3</v>
      </c>
      <c r="L471" s="1440"/>
      <c r="M471" s="1440"/>
      <c r="O471" s="1640" t="s">
        <v>1910</v>
      </c>
      <c r="P471" s="1436">
        <f>D243-F380</f>
        <v>0</v>
      </c>
      <c r="Q471" s="1436">
        <f>E243-G380</f>
        <v>0</v>
      </c>
      <c r="BE471" s="1929"/>
      <c r="BF471" s="1929"/>
      <c r="BG471" s="1929"/>
      <c r="DI471" s="1440"/>
      <c r="DJ471" s="1427"/>
      <c r="DK471" s="1427"/>
      <c r="DL471" s="1427"/>
      <c r="DM471" s="1427"/>
      <c r="DN471" s="1427"/>
      <c r="DO471" s="1427"/>
      <c r="DP471" s="1427"/>
      <c r="DQ471" s="1440"/>
      <c r="DR471" s="1427"/>
      <c r="DS471" s="1427"/>
      <c r="DT471" s="1427"/>
      <c r="DU471" s="1427"/>
      <c r="DV471" s="1427"/>
      <c r="DW471" s="1427"/>
      <c r="DX471" s="1427"/>
      <c r="DY471" s="1427"/>
      <c r="DZ471" s="1427"/>
      <c r="EA471" s="1427"/>
      <c r="EB471" s="1427"/>
      <c r="EC471" s="1427"/>
      <c r="ED471" s="1427"/>
      <c r="EE471" s="1427"/>
      <c r="EF471" s="1427"/>
      <c r="EG471" s="1427"/>
      <c r="EH471" s="1427"/>
      <c r="EI471" s="1427"/>
      <c r="EJ471" s="1427"/>
      <c r="EK471" s="1427"/>
      <c r="EL471" s="1427"/>
      <c r="EM471" s="1427"/>
      <c r="EN471" s="1427"/>
      <c r="EO471" s="1427"/>
      <c r="EP471" s="1427"/>
      <c r="EQ471" s="1427"/>
      <c r="ER471" s="1427"/>
      <c r="ES471" s="1427"/>
      <c r="ET471" s="1427"/>
      <c r="EU471" s="1427"/>
    </row>
    <row r="472" spans="2:151">
      <c r="B472" s="2445" t="s">
        <v>1906</v>
      </c>
      <c r="C472" s="2442"/>
      <c r="D472" s="1962">
        <f>F462</f>
        <v>0</v>
      </c>
      <c r="E472" s="1962">
        <v>0</v>
      </c>
      <c r="F472" s="1475"/>
      <c r="G472" s="1475"/>
      <c r="H472" s="1475"/>
      <c r="I472" s="1961">
        <v>0.35</v>
      </c>
      <c r="J472" s="1737">
        <v>4</v>
      </c>
      <c r="L472" s="1440"/>
      <c r="M472" s="1440"/>
      <c r="P472" s="1684">
        <f>SUM(P466:P471)</f>
        <v>0</v>
      </c>
      <c r="Q472" s="1684">
        <f>SUM(Q466:Q471)</f>
        <v>0</v>
      </c>
      <c r="BE472" s="1929"/>
      <c r="BF472" s="1929"/>
      <c r="BG472" s="1929"/>
      <c r="DI472" s="1440"/>
      <c r="DJ472" s="1427"/>
      <c r="DK472" s="1427"/>
      <c r="DL472" s="1427"/>
      <c r="DM472" s="1427"/>
      <c r="DN472" s="1427"/>
      <c r="DO472" s="1427"/>
      <c r="DP472" s="1427"/>
      <c r="DQ472" s="1440"/>
      <c r="DR472" s="1427"/>
      <c r="DS472" s="1427"/>
      <c r="DT472" s="1427"/>
      <c r="DU472" s="1427"/>
      <c r="DV472" s="1427"/>
      <c r="DW472" s="1427"/>
      <c r="DX472" s="1427"/>
      <c r="DY472" s="1427"/>
      <c r="DZ472" s="1427"/>
      <c r="EA472" s="1427"/>
      <c r="EB472" s="1427"/>
      <c r="EC472" s="1427"/>
      <c r="ED472" s="1427"/>
      <c r="EE472" s="1427"/>
      <c r="EF472" s="1427"/>
      <c r="EG472" s="1427"/>
      <c r="EH472" s="1427"/>
      <c r="EI472" s="1427"/>
      <c r="EJ472" s="1427"/>
      <c r="EK472" s="1427"/>
      <c r="EL472" s="1427"/>
      <c r="EM472" s="1427"/>
      <c r="EN472" s="1427"/>
      <c r="EO472" s="1427"/>
      <c r="EP472" s="1427"/>
      <c r="EQ472" s="1427"/>
      <c r="ER472" s="1427"/>
      <c r="ES472" s="1427"/>
      <c r="ET472" s="1427"/>
      <c r="EU472" s="1427"/>
    </row>
    <row r="473" spans="2:151">
      <c r="B473" s="2441" t="s">
        <v>1908</v>
      </c>
      <c r="C473" s="2442"/>
      <c r="D473" s="1737">
        <f>D468-D470-D471-D472</f>
        <v>0</v>
      </c>
      <c r="E473" s="1737">
        <f>E468</f>
        <v>0</v>
      </c>
      <c r="F473" s="1475"/>
      <c r="G473" s="1475"/>
      <c r="H473" s="1475"/>
      <c r="I473" s="1961">
        <v>0.45</v>
      </c>
      <c r="J473" s="1737">
        <v>5</v>
      </c>
      <c r="L473" s="1440"/>
      <c r="M473" s="1440"/>
      <c r="O473" s="1430" t="s">
        <v>1899</v>
      </c>
      <c r="P473" s="1963">
        <f>IFERROR(1-P472/Q472,0)</f>
        <v>0</v>
      </c>
      <c r="BE473" s="1929"/>
      <c r="BF473" s="1929"/>
      <c r="BG473" s="1929"/>
      <c r="DI473" s="1440"/>
      <c r="DJ473" s="1427"/>
      <c r="DK473" s="1427"/>
      <c r="DL473" s="1427"/>
      <c r="DM473" s="1427"/>
      <c r="DN473" s="1427"/>
      <c r="DO473" s="1427"/>
      <c r="DP473" s="1427"/>
      <c r="DQ473" s="1440"/>
      <c r="DR473" s="1427"/>
      <c r="DS473" s="1427"/>
      <c r="DT473" s="1427"/>
      <c r="DU473" s="1427"/>
      <c r="DV473" s="1427"/>
      <c r="DW473" s="1427"/>
      <c r="DX473" s="1427"/>
      <c r="DY473" s="1427"/>
      <c r="DZ473" s="1427"/>
      <c r="EA473" s="1427"/>
      <c r="EB473" s="1427"/>
      <c r="EC473" s="1427"/>
      <c r="ED473" s="1427"/>
      <c r="EE473" s="1427"/>
      <c r="EF473" s="1427"/>
      <c r="EG473" s="1427"/>
      <c r="EH473" s="1427"/>
      <c r="EI473" s="1427"/>
      <c r="EJ473" s="1427"/>
      <c r="EK473" s="1427"/>
      <c r="EL473" s="1427"/>
      <c r="EM473" s="1427"/>
      <c r="EN473" s="1427"/>
      <c r="EO473" s="1427"/>
      <c r="EP473" s="1427"/>
      <c r="EQ473" s="1427"/>
      <c r="ER473" s="1427"/>
      <c r="ES473" s="1427"/>
      <c r="ET473" s="1427"/>
      <c r="EU473" s="1427"/>
    </row>
    <row r="474" spans="2:151">
      <c r="B474" s="1586"/>
      <c r="C474" s="1586"/>
      <c r="D474" s="1586"/>
      <c r="E474" s="1586"/>
      <c r="F474" s="1475"/>
      <c r="G474" s="1475"/>
      <c r="H474" s="1475"/>
      <c r="I474" s="1961">
        <v>0.55000000000000004</v>
      </c>
      <c r="J474" s="1737">
        <v>6</v>
      </c>
      <c r="L474" s="1440"/>
      <c r="M474" s="1440"/>
      <c r="BE474" s="1929"/>
      <c r="BF474" s="1929"/>
      <c r="BG474" s="1929"/>
      <c r="DI474" s="1440"/>
      <c r="DJ474" s="1427"/>
      <c r="DK474" s="1427"/>
      <c r="DL474" s="1427"/>
      <c r="DM474" s="1427"/>
      <c r="DN474" s="1427"/>
      <c r="DO474" s="1427"/>
      <c r="DP474" s="1427"/>
      <c r="DQ474" s="1440"/>
      <c r="DR474" s="1427"/>
      <c r="DS474" s="1427"/>
      <c r="DT474" s="1427"/>
      <c r="DU474" s="1427"/>
      <c r="DV474" s="1427"/>
      <c r="DW474" s="1427"/>
      <c r="DX474" s="1427"/>
      <c r="DY474" s="1427"/>
      <c r="DZ474" s="1427"/>
      <c r="EA474" s="1427"/>
      <c r="EB474" s="1427"/>
      <c r="EC474" s="1427"/>
      <c r="ED474" s="1427"/>
      <c r="EE474" s="1427"/>
      <c r="EF474" s="1427"/>
      <c r="EG474" s="1427"/>
      <c r="EH474" s="1427"/>
      <c r="EI474" s="1427"/>
      <c r="EJ474" s="1427"/>
      <c r="EK474" s="1427"/>
      <c r="EL474" s="1427"/>
      <c r="EM474" s="1427"/>
      <c r="EN474" s="1427"/>
      <c r="EO474" s="1427"/>
      <c r="EP474" s="1427"/>
      <c r="EQ474" s="1427"/>
      <c r="ER474" s="1427"/>
      <c r="ES474" s="1427"/>
    </row>
    <row r="475" spans="2:151">
      <c r="B475" s="2443" t="s">
        <v>1909</v>
      </c>
      <c r="C475" s="2442"/>
      <c r="D475" s="1964">
        <f>IF(E473=0,0,(1-D473/E473))</f>
        <v>0</v>
      </c>
      <c r="E475" s="1586"/>
      <c r="F475" s="1475"/>
      <c r="G475" s="1475"/>
      <c r="H475" s="1475"/>
      <c r="I475" s="1961">
        <v>0.65</v>
      </c>
      <c r="J475" s="1737">
        <v>7</v>
      </c>
      <c r="L475" s="1440"/>
      <c r="M475" s="1440"/>
      <c r="BE475" s="1929"/>
      <c r="BF475" s="1929"/>
      <c r="BG475" s="1929"/>
      <c r="DI475" s="1440"/>
      <c r="DJ475" s="1427"/>
      <c r="DK475" s="1427"/>
      <c r="DL475" s="1427"/>
      <c r="DM475" s="1427"/>
      <c r="DN475" s="1427"/>
      <c r="DO475" s="1427"/>
      <c r="DP475" s="1427"/>
      <c r="DQ475" s="1440"/>
      <c r="DR475" s="1427"/>
      <c r="DS475" s="1427"/>
      <c r="DT475" s="1427"/>
      <c r="DU475" s="1427"/>
      <c r="DV475" s="1427"/>
      <c r="DW475" s="1427"/>
      <c r="DX475" s="1427"/>
      <c r="DY475" s="1427"/>
      <c r="DZ475" s="1427"/>
      <c r="EA475" s="1427"/>
      <c r="EB475" s="1427"/>
      <c r="EC475" s="1427"/>
      <c r="ED475" s="1427"/>
      <c r="EE475" s="1427"/>
      <c r="EF475" s="1427"/>
      <c r="EG475" s="1427"/>
      <c r="EH475" s="1427"/>
      <c r="EI475" s="1427"/>
      <c r="EJ475" s="1427"/>
      <c r="EK475" s="1427"/>
      <c r="EL475" s="1427"/>
      <c r="EM475" s="1427"/>
      <c r="EN475" s="1427"/>
      <c r="EO475" s="1427"/>
      <c r="EP475" s="1427"/>
      <c r="EQ475" s="1427"/>
      <c r="ER475" s="1427"/>
      <c r="ES475" s="1427"/>
    </row>
    <row r="476" spans="2:151">
      <c r="B476" s="1586"/>
      <c r="C476" s="1586"/>
      <c r="D476" s="1586"/>
      <c r="E476" s="1586"/>
      <c r="F476" s="1475"/>
      <c r="G476" s="1475"/>
      <c r="H476" s="1475"/>
      <c r="I476" s="1961">
        <v>0.75</v>
      </c>
      <c r="J476" s="1737">
        <v>8</v>
      </c>
      <c r="L476" s="1440"/>
      <c r="M476" s="1440"/>
      <c r="BE476" s="1929"/>
      <c r="BF476" s="1929"/>
      <c r="BG476" s="1929"/>
      <c r="DI476" s="1440"/>
      <c r="DJ476" s="1427"/>
      <c r="DK476" s="1427"/>
      <c r="DL476" s="1427"/>
      <c r="DM476" s="1427"/>
      <c r="DN476" s="1427"/>
      <c r="DO476" s="1427"/>
      <c r="DP476" s="1427"/>
      <c r="DQ476" s="1440"/>
      <c r="DS476" s="1427"/>
      <c r="DT476" s="1427"/>
      <c r="DU476" s="1427"/>
      <c r="DV476" s="1427"/>
      <c r="DW476" s="1427"/>
      <c r="DX476" s="1427"/>
      <c r="DY476" s="1427"/>
      <c r="DZ476" s="1427"/>
      <c r="EA476" s="1427"/>
      <c r="EB476" s="1427"/>
      <c r="EC476" s="1427"/>
      <c r="ED476" s="1427"/>
      <c r="EE476" s="1427"/>
      <c r="EF476" s="1427"/>
      <c r="EG476" s="1427"/>
      <c r="EH476" s="1427"/>
      <c r="EI476" s="1427"/>
      <c r="EJ476" s="1427"/>
      <c r="EK476" s="1427"/>
      <c r="EL476" s="1427"/>
      <c r="EM476" s="1427"/>
      <c r="EN476" s="1427"/>
      <c r="EO476" s="1427"/>
      <c r="EP476" s="1427"/>
      <c r="EQ476" s="1427"/>
      <c r="ER476" s="1427"/>
      <c r="ES476" s="1427"/>
    </row>
    <row r="477" spans="2:151">
      <c r="B477" s="2443" t="s">
        <v>1911</v>
      </c>
      <c r="C477" s="2442"/>
      <c r="D477" s="1927">
        <f>IFERROR(VLOOKUP(D475,I468:J480,2,TRUE),0)</f>
        <v>0</v>
      </c>
      <c r="E477" s="1586"/>
      <c r="F477" s="1475"/>
      <c r="G477" s="1475"/>
      <c r="H477" s="1475"/>
      <c r="I477" s="1961">
        <v>0.8</v>
      </c>
      <c r="J477" s="1737">
        <v>9</v>
      </c>
      <c r="L477" s="1440"/>
      <c r="M477" s="1440"/>
      <c r="BE477" s="1929"/>
      <c r="BF477" s="1929"/>
      <c r="BG477" s="1929"/>
      <c r="DI477" s="1440"/>
      <c r="DJ477" s="1427"/>
      <c r="DK477" s="1427"/>
      <c r="DL477" s="1427"/>
      <c r="DM477" s="1427"/>
      <c r="DN477" s="1427"/>
      <c r="DO477" s="1427"/>
      <c r="DP477" s="1427"/>
      <c r="DQ477" s="1440"/>
      <c r="DS477" s="1427"/>
      <c r="DT477" s="1427"/>
      <c r="DU477" s="1427"/>
      <c r="DV477" s="1427"/>
      <c r="DW477" s="1427"/>
      <c r="DX477" s="1427"/>
      <c r="DY477" s="1427"/>
      <c r="DZ477" s="1427"/>
      <c r="EA477" s="1427"/>
      <c r="EB477" s="1427"/>
      <c r="EC477" s="1427"/>
      <c r="ED477" s="1427"/>
      <c r="EE477" s="1427"/>
      <c r="EF477" s="1427"/>
      <c r="EG477" s="1427"/>
      <c r="EH477" s="1427"/>
      <c r="EI477" s="1427"/>
      <c r="EJ477" s="1427"/>
      <c r="EK477" s="1427"/>
      <c r="EL477" s="1427"/>
      <c r="EM477" s="1427"/>
      <c r="EN477" s="1427"/>
      <c r="EO477" s="1427"/>
      <c r="EP477" s="1427"/>
      <c r="EQ477" s="1427"/>
      <c r="ER477" s="1427"/>
      <c r="ES477" s="1427"/>
    </row>
    <row r="478" spans="2:151">
      <c r="B478" s="1475"/>
      <c r="C478" s="1475"/>
      <c r="D478" s="1475"/>
      <c r="E478" s="1475"/>
      <c r="F478" s="1475"/>
      <c r="G478" s="1475"/>
      <c r="H478" s="1475"/>
      <c r="I478" s="1961">
        <v>0.85</v>
      </c>
      <c r="J478" s="1737">
        <v>10</v>
      </c>
      <c r="L478" s="1440"/>
      <c r="M478" s="1440"/>
      <c r="BE478" s="1929"/>
      <c r="BF478" s="1929"/>
      <c r="BG478" s="1929"/>
      <c r="DJ478" s="1427"/>
      <c r="DK478" s="1427"/>
      <c r="DL478" s="1427"/>
      <c r="DM478" s="1427"/>
      <c r="DN478" s="1427"/>
      <c r="DO478" s="1427"/>
    </row>
    <row r="479" spans="2:151">
      <c r="B479" s="1475"/>
      <c r="C479" s="1475"/>
      <c r="D479" s="1475"/>
      <c r="E479" s="1475"/>
      <c r="F479" s="1475"/>
      <c r="G479" s="1475"/>
      <c r="H479" s="1475"/>
      <c r="I479" s="1961">
        <v>0.9</v>
      </c>
      <c r="J479" s="1737">
        <v>11</v>
      </c>
      <c r="L479" s="1440"/>
      <c r="M479" s="1440"/>
      <c r="BE479" s="1929"/>
      <c r="BF479" s="1929"/>
      <c r="BG479" s="1929"/>
      <c r="DJ479" s="1427"/>
      <c r="DK479" s="1427"/>
      <c r="DL479" s="1427"/>
    </row>
    <row r="480" spans="2:151">
      <c r="B480" s="1586"/>
      <c r="C480" s="1586"/>
      <c r="D480" s="1586"/>
      <c r="E480" s="1586"/>
      <c r="F480" s="1965"/>
      <c r="G480" s="1586"/>
      <c r="H480" s="1586"/>
      <c r="I480" s="1961">
        <v>0.95</v>
      </c>
      <c r="J480" s="1737">
        <v>12</v>
      </c>
      <c r="L480" s="1440"/>
      <c r="M480" s="1440"/>
      <c r="BE480" s="1929"/>
      <c r="BF480" s="1929"/>
      <c r="BG480" s="1929"/>
    </row>
    <row r="481" spans="2:59">
      <c r="B481" s="1586"/>
      <c r="C481" s="1586"/>
      <c r="D481" s="1965"/>
      <c r="E481" s="1586"/>
      <c r="F481" s="1586"/>
      <c r="G481" s="1586"/>
      <c r="H481" s="1586"/>
      <c r="I481" s="1586"/>
      <c r="J481" s="1586"/>
      <c r="L481" s="1440"/>
      <c r="M481" s="1440"/>
      <c r="BE481" s="1929"/>
      <c r="BF481" s="1929"/>
      <c r="BG481" s="1929"/>
    </row>
    <row r="482" spans="2:59">
      <c r="F482" s="1440"/>
      <c r="G482" s="1440"/>
      <c r="H482" s="1440"/>
      <c r="L482" s="1440"/>
      <c r="M482" s="1440"/>
      <c r="BE482" s="1929"/>
      <c r="BF482" s="1929"/>
      <c r="BG482" s="1929"/>
    </row>
    <row r="483" spans="2:59">
      <c r="F483" s="1440"/>
      <c r="G483" s="1440"/>
      <c r="H483" s="1440"/>
      <c r="L483" s="1440"/>
      <c r="M483" s="1440"/>
      <c r="BE483" s="1929"/>
      <c r="BF483" s="1929"/>
      <c r="BG483" s="1929"/>
    </row>
    <row r="484" spans="2:59">
      <c r="F484" s="1440"/>
      <c r="G484" s="1440"/>
      <c r="H484" s="1440"/>
      <c r="L484" s="1440"/>
      <c r="M484" s="1440"/>
      <c r="O484" s="1966"/>
      <c r="P484" s="1966"/>
      <c r="Q484" s="1966"/>
      <c r="R484" s="1966"/>
      <c r="S484" s="1966"/>
      <c r="T484" s="1966"/>
      <c r="U484" s="1966"/>
      <c r="V484" s="1966"/>
      <c r="W484" s="1966"/>
      <c r="BE484" s="1929"/>
      <c r="BF484" s="1929"/>
      <c r="BG484" s="1929"/>
    </row>
    <row r="485" spans="2:59">
      <c r="F485" s="1440"/>
      <c r="G485" s="1440"/>
      <c r="H485" s="1440"/>
      <c r="L485" s="1440"/>
      <c r="M485" s="1440"/>
      <c r="BE485" s="1929"/>
      <c r="BF485" s="1929"/>
      <c r="BG485" s="1929"/>
    </row>
    <row r="486" spans="2:59">
      <c r="F486" s="1440"/>
      <c r="G486" s="1440"/>
      <c r="H486" s="1440"/>
      <c r="L486" s="1440"/>
      <c r="M486" s="1440"/>
      <c r="BE486" s="1929"/>
      <c r="BF486" s="1929"/>
      <c r="BG486" s="1929"/>
    </row>
    <row r="487" spans="2:59">
      <c r="F487" s="1440"/>
      <c r="G487" s="1440"/>
      <c r="H487" s="1440"/>
      <c r="L487" s="1440"/>
      <c r="M487" s="1440"/>
      <c r="BE487" s="1929"/>
      <c r="BF487" s="1929"/>
      <c r="BG487" s="1929"/>
    </row>
    <row r="488" spans="2:59">
      <c r="F488" s="1440"/>
      <c r="G488" s="1440"/>
      <c r="H488" s="1440"/>
      <c r="L488" s="1440"/>
      <c r="M488" s="1440"/>
      <c r="BE488" s="1929"/>
      <c r="BF488" s="1929"/>
      <c r="BG488" s="1929"/>
    </row>
    <row r="489" spans="2:59">
      <c r="BE489" s="1929"/>
      <c r="BF489" s="1929"/>
      <c r="BG489" s="1929"/>
    </row>
    <row r="490" spans="2:59">
      <c r="BE490" s="1929"/>
      <c r="BF490" s="1929"/>
      <c r="BG490" s="1929"/>
    </row>
    <row r="491" spans="2:59">
      <c r="BE491" s="1929"/>
      <c r="BF491" s="1929"/>
      <c r="BG491" s="1929"/>
    </row>
    <row r="492" spans="2:59">
      <c r="BE492" s="1929"/>
      <c r="BF492" s="1929"/>
      <c r="BG492" s="1929"/>
    </row>
    <row r="493" spans="2:59">
      <c r="BE493" s="1929"/>
      <c r="BF493" s="1929"/>
      <c r="BG493" s="1929"/>
    </row>
    <row r="494" spans="2:59">
      <c r="BE494" s="1929"/>
      <c r="BF494" s="1929"/>
      <c r="BG494" s="1929"/>
    </row>
    <row r="495" spans="2:59">
      <c r="BE495" s="1929"/>
      <c r="BF495" s="1929"/>
      <c r="BG495" s="1929"/>
    </row>
    <row r="496" spans="2:59">
      <c r="BE496" s="1929"/>
      <c r="BF496" s="1929"/>
      <c r="BG496" s="1929"/>
    </row>
    <row r="497" spans="1:151">
      <c r="BE497" s="1929"/>
      <c r="BF497" s="1929"/>
      <c r="BG497" s="1929"/>
    </row>
    <row r="498" spans="1:151">
      <c r="BE498" s="1929"/>
      <c r="BF498" s="1929"/>
      <c r="BG498" s="1929"/>
    </row>
    <row r="499" spans="1:151">
      <c r="BE499" s="1929"/>
      <c r="BF499" s="1929"/>
      <c r="BG499" s="1929"/>
    </row>
    <row r="500" spans="1:151">
      <c r="BE500" s="1929"/>
      <c r="BF500" s="1929"/>
      <c r="BG500" s="1929"/>
    </row>
    <row r="501" spans="1:151">
      <c r="BE501" s="1929"/>
      <c r="BF501" s="1929"/>
      <c r="BG501" s="1929"/>
    </row>
    <row r="502" spans="1:151">
      <c r="BE502" s="1929"/>
      <c r="BF502" s="1929"/>
      <c r="BG502" s="1929"/>
    </row>
    <row r="503" spans="1:151">
      <c r="BE503" s="1929"/>
      <c r="BF503" s="1929"/>
      <c r="BG503" s="1929"/>
    </row>
    <row r="504" spans="1:151">
      <c r="BE504" s="1929"/>
      <c r="BF504" s="1929"/>
      <c r="BG504" s="1929"/>
    </row>
    <row r="505" spans="1:151">
      <c r="BE505" s="1929"/>
      <c r="BF505" s="1929"/>
      <c r="BG505" s="1929"/>
    </row>
    <row r="506" spans="1:151">
      <c r="BE506" s="1929"/>
      <c r="BF506" s="1929"/>
      <c r="BG506" s="1929"/>
    </row>
    <row r="507" spans="1:151">
      <c r="BE507" s="1929"/>
      <c r="BF507" s="1929"/>
      <c r="BG507" s="1929"/>
    </row>
    <row r="508" spans="1:151">
      <c r="BE508" s="1929"/>
      <c r="BF508" s="1929"/>
      <c r="BG508" s="1929"/>
    </row>
    <row r="509" spans="1:151">
      <c r="BE509" s="1929"/>
      <c r="BF509" s="1929"/>
      <c r="BG509" s="1929"/>
    </row>
    <row r="510" spans="1:151">
      <c r="BE510" s="1929"/>
      <c r="BF510" s="1929"/>
      <c r="BG510" s="1929"/>
    </row>
    <row r="511" spans="1:151">
      <c r="BE511" s="1929"/>
      <c r="BF511" s="1929"/>
      <c r="BG511" s="1929"/>
    </row>
    <row r="512" spans="1:151" s="1720" customFormat="1">
      <c r="A512" s="1455"/>
      <c r="B512" s="1422"/>
      <c r="C512" s="1422"/>
      <c r="D512" s="1422"/>
      <c r="E512" s="1422"/>
      <c r="F512" s="1422"/>
      <c r="G512" s="1422"/>
      <c r="H512" s="1422"/>
      <c r="I512" s="1440"/>
      <c r="J512" s="1440"/>
      <c r="K512" s="1440"/>
      <c r="L512" s="1422"/>
      <c r="M512" s="1422"/>
      <c r="N512" s="1430"/>
      <c r="O512" s="1430"/>
      <c r="P512" s="1430"/>
      <c r="Q512" s="1430"/>
      <c r="R512" s="1430"/>
      <c r="S512" s="1430"/>
      <c r="T512" s="1430"/>
      <c r="U512" s="1430"/>
      <c r="V512" s="1430"/>
      <c r="W512" s="1430"/>
      <c r="X512" s="1430"/>
      <c r="Y512" s="1430"/>
      <c r="Z512" s="1430"/>
      <c r="AA512" s="1430"/>
      <c r="AB512" s="1430"/>
      <c r="AC512" s="1430"/>
      <c r="AD512" s="1430"/>
      <c r="AE512" s="1430"/>
      <c r="AF512" s="1430"/>
      <c r="AG512" s="1430"/>
      <c r="AH512" s="1430"/>
      <c r="AI512" s="1430"/>
      <c r="AJ512" s="1430"/>
      <c r="AK512" s="1430"/>
      <c r="AL512" s="1430"/>
      <c r="AM512" s="1430"/>
      <c r="AN512" s="1430"/>
      <c r="AO512" s="1430"/>
      <c r="AP512" s="1430"/>
      <c r="AQ512" s="1430"/>
      <c r="AR512" s="1430"/>
      <c r="AS512" s="1430"/>
      <c r="AT512" s="1430"/>
      <c r="AU512" s="1430"/>
      <c r="AV512" s="1430"/>
      <c r="AW512" s="1430"/>
      <c r="AX512" s="1430"/>
      <c r="AY512" s="1430"/>
      <c r="AZ512" s="1430"/>
      <c r="BA512" s="1430"/>
      <c r="BB512" s="1430"/>
      <c r="BC512" s="1430"/>
      <c r="BD512" s="1422"/>
      <c r="BE512" s="1929"/>
      <c r="BF512" s="1929"/>
      <c r="BG512" s="1929"/>
      <c r="BH512" s="1530"/>
      <c r="BI512" s="1930"/>
      <c r="BJ512" s="1930"/>
      <c r="BK512" s="1930"/>
      <c r="BL512" s="1930"/>
      <c r="BM512" s="1930"/>
      <c r="BN512" s="1930"/>
      <c r="BO512" s="1930"/>
      <c r="BP512" s="1930"/>
      <c r="BQ512" s="1930"/>
      <c r="BR512" s="1930"/>
      <c r="BS512" s="1930"/>
      <c r="BT512" s="1930"/>
      <c r="BU512" s="1930"/>
      <c r="BV512" s="1930"/>
      <c r="BW512" s="1930"/>
      <c r="BX512" s="1930"/>
      <c r="BY512" s="1930"/>
      <c r="BZ512" s="1930"/>
      <c r="CA512" s="1930"/>
      <c r="CB512" s="1930"/>
      <c r="CC512" s="1930"/>
      <c r="CD512" s="1930"/>
      <c r="CE512" s="1930"/>
      <c r="CF512" s="1930"/>
      <c r="CG512" s="1930"/>
      <c r="CH512" s="1930"/>
      <c r="CI512" s="1930"/>
      <c r="CJ512" s="1930"/>
      <c r="CK512" s="1930"/>
      <c r="CL512" s="1930"/>
      <c r="CM512" s="1930"/>
      <c r="CN512" s="1930"/>
      <c r="CO512" s="1930"/>
      <c r="CP512" s="1930"/>
      <c r="CQ512" s="1930"/>
      <c r="CR512" s="1930"/>
      <c r="CS512" s="1930"/>
      <c r="CT512" s="1930"/>
      <c r="CU512" s="1930"/>
      <c r="CV512" s="1930"/>
      <c r="CW512" s="1930"/>
      <c r="CX512" s="1930"/>
      <c r="CY512" s="1930"/>
      <c r="CZ512" s="1930"/>
      <c r="DA512" s="1930"/>
      <c r="DB512" s="1930"/>
      <c r="DC512" s="1930"/>
      <c r="DD512" s="1930"/>
      <c r="DE512" s="1930"/>
      <c r="DF512" s="1930"/>
      <c r="DG512" s="1530"/>
      <c r="DH512" s="1530"/>
      <c r="DI512" s="1422"/>
      <c r="DJ512" s="1428"/>
      <c r="DK512" s="1428"/>
      <c r="DL512" s="1428"/>
      <c r="DM512" s="1428"/>
      <c r="DN512" s="1428"/>
      <c r="DO512" s="1428"/>
      <c r="DP512" s="1428"/>
      <c r="DQ512" s="1422"/>
      <c r="DR512" s="1428"/>
      <c r="DS512" s="1428"/>
      <c r="DT512" s="1428"/>
      <c r="DU512" s="1428"/>
      <c r="DV512" s="1428"/>
      <c r="DW512" s="1428"/>
      <c r="DX512" s="1428"/>
      <c r="DY512" s="1428"/>
      <c r="DZ512" s="1428"/>
      <c r="EA512" s="1428"/>
      <c r="EB512" s="1428"/>
      <c r="EC512" s="1428"/>
      <c r="ED512" s="1428"/>
      <c r="EE512" s="1428"/>
      <c r="EF512" s="1428"/>
      <c r="EG512" s="1428"/>
      <c r="EH512" s="1428"/>
      <c r="EI512" s="1428"/>
      <c r="EJ512" s="1428"/>
      <c r="EK512" s="1428"/>
      <c r="EL512" s="1428"/>
      <c r="EM512" s="1428"/>
      <c r="EN512" s="1428"/>
      <c r="EO512" s="1428"/>
      <c r="EP512" s="1428"/>
      <c r="EQ512" s="1428"/>
      <c r="ER512" s="1428"/>
      <c r="ES512" s="1428"/>
      <c r="ET512" s="1428"/>
      <c r="EU512" s="1428"/>
    </row>
    <row r="513" spans="1:151" s="1720" customFormat="1">
      <c r="A513" s="1455"/>
      <c r="B513" s="1422"/>
      <c r="C513" s="1422"/>
      <c r="D513" s="1422"/>
      <c r="E513" s="1422"/>
      <c r="F513" s="1422"/>
      <c r="G513" s="1422"/>
      <c r="H513" s="1422"/>
      <c r="I513" s="1440"/>
      <c r="J513" s="1440"/>
      <c r="K513" s="1440"/>
      <c r="L513" s="1422"/>
      <c r="M513" s="1422"/>
      <c r="N513" s="1430"/>
      <c r="O513" s="1430"/>
      <c r="P513" s="1430"/>
      <c r="Q513" s="1430"/>
      <c r="R513" s="1430"/>
      <c r="S513" s="1430"/>
      <c r="T513" s="1430"/>
      <c r="U513" s="1430"/>
      <c r="V513" s="1430"/>
      <c r="W513" s="1430"/>
      <c r="X513" s="1430"/>
      <c r="Y513" s="1430"/>
      <c r="Z513" s="1430"/>
      <c r="AA513" s="1430"/>
      <c r="AB513" s="1430"/>
      <c r="AC513" s="1430"/>
      <c r="AD513" s="1430"/>
      <c r="AE513" s="1430"/>
      <c r="AF513" s="1430"/>
      <c r="AG513" s="1430"/>
      <c r="AH513" s="1430"/>
      <c r="AI513" s="1430"/>
      <c r="AJ513" s="1430"/>
      <c r="AK513" s="1430"/>
      <c r="AL513" s="1430"/>
      <c r="AM513" s="1430"/>
      <c r="AN513" s="1430"/>
      <c r="AO513" s="1430"/>
      <c r="AP513" s="1430"/>
      <c r="AQ513" s="1430"/>
      <c r="AR513" s="1430"/>
      <c r="AS513" s="1430"/>
      <c r="AT513" s="1430"/>
      <c r="AU513" s="1430"/>
      <c r="AV513" s="1430"/>
      <c r="AW513" s="1430"/>
      <c r="AX513" s="1430"/>
      <c r="AY513" s="1430"/>
      <c r="AZ513" s="1430"/>
      <c r="BA513" s="1430"/>
      <c r="BB513" s="1430"/>
      <c r="BC513" s="1430"/>
      <c r="BD513" s="1422"/>
      <c r="BE513" s="1929"/>
      <c r="BF513" s="1929"/>
      <c r="BG513" s="1929"/>
      <c r="BH513" s="1530"/>
      <c r="BI513" s="1930"/>
      <c r="BJ513" s="1930"/>
      <c r="BK513" s="1930"/>
      <c r="BL513" s="1930"/>
      <c r="BM513" s="1930"/>
      <c r="BN513" s="1930"/>
      <c r="BO513" s="1930"/>
      <c r="BP513" s="1930"/>
      <c r="BQ513" s="1930"/>
      <c r="BR513" s="1930"/>
      <c r="BS513" s="1930"/>
      <c r="BT513" s="1930"/>
      <c r="BU513" s="1930"/>
      <c r="BV513" s="1930"/>
      <c r="BW513" s="1930"/>
      <c r="BX513" s="1930"/>
      <c r="BY513" s="1930"/>
      <c r="BZ513" s="1930"/>
      <c r="CA513" s="1930"/>
      <c r="CB513" s="1930"/>
      <c r="CC513" s="1930"/>
      <c r="CD513" s="1930"/>
      <c r="CE513" s="1930"/>
      <c r="CF513" s="1930"/>
      <c r="CG513" s="1930"/>
      <c r="CH513" s="1930"/>
      <c r="CI513" s="1930"/>
      <c r="CJ513" s="1930"/>
      <c r="CK513" s="1930"/>
      <c r="CL513" s="1930"/>
      <c r="CM513" s="1930"/>
      <c r="CN513" s="1930"/>
      <c r="CO513" s="1930"/>
      <c r="CP513" s="1930"/>
      <c r="CQ513" s="1930"/>
      <c r="CR513" s="1930"/>
      <c r="CS513" s="1930"/>
      <c r="CT513" s="1930"/>
      <c r="CU513" s="1930"/>
      <c r="CV513" s="1930"/>
      <c r="CW513" s="1930"/>
      <c r="CX513" s="1930"/>
      <c r="CY513" s="1930"/>
      <c r="CZ513" s="1930"/>
      <c r="DA513" s="1930"/>
      <c r="DB513" s="1930"/>
      <c r="DC513" s="1930"/>
      <c r="DD513" s="1930"/>
      <c r="DE513" s="1930"/>
      <c r="DF513" s="1930"/>
      <c r="DG513" s="1530"/>
      <c r="DH513" s="1530"/>
      <c r="DI513" s="1422"/>
      <c r="DJ513" s="1428"/>
      <c r="DK513" s="1428"/>
      <c r="DL513" s="1428"/>
      <c r="DM513" s="1428"/>
      <c r="DN513" s="1428"/>
      <c r="DO513" s="1428"/>
      <c r="DP513" s="1428"/>
      <c r="DQ513" s="1422"/>
      <c r="DR513" s="1428"/>
      <c r="DS513" s="1428"/>
      <c r="DT513" s="1428"/>
      <c r="DU513" s="1428"/>
      <c r="DV513" s="1428"/>
      <c r="DW513" s="1428"/>
      <c r="DX513" s="1428"/>
      <c r="DY513" s="1428"/>
      <c r="DZ513" s="1428"/>
      <c r="EA513" s="1428"/>
      <c r="EB513" s="1428"/>
      <c r="EC513" s="1428"/>
      <c r="ED513" s="1428"/>
      <c r="EE513" s="1428"/>
      <c r="EF513" s="1428"/>
      <c r="EG513" s="1428"/>
      <c r="EH513" s="1428"/>
      <c r="EI513" s="1428"/>
      <c r="EJ513" s="1428"/>
      <c r="EK513" s="1428"/>
      <c r="EL513" s="1428"/>
      <c r="EM513" s="1428"/>
      <c r="EN513" s="1428"/>
      <c r="EO513" s="1428"/>
      <c r="EP513" s="1428"/>
      <c r="EQ513" s="1428"/>
      <c r="ER513" s="1428"/>
      <c r="ES513" s="1428"/>
      <c r="ET513" s="1428"/>
      <c r="EU513" s="1428"/>
    </row>
    <row r="514" spans="1:151" s="1720" customFormat="1">
      <c r="A514" s="1455"/>
      <c r="B514" s="1422"/>
      <c r="C514" s="1422"/>
      <c r="D514" s="1422"/>
      <c r="E514" s="1422"/>
      <c r="F514" s="1422"/>
      <c r="G514" s="1422"/>
      <c r="H514" s="1422"/>
      <c r="I514" s="1440"/>
      <c r="J514" s="1440"/>
      <c r="K514" s="1440"/>
      <c r="L514" s="1422"/>
      <c r="M514" s="1422"/>
      <c r="N514" s="1430"/>
      <c r="O514" s="1430"/>
      <c r="P514" s="1430"/>
      <c r="Q514" s="1430"/>
      <c r="R514" s="1430"/>
      <c r="S514" s="1430"/>
      <c r="T514" s="1430"/>
      <c r="U514" s="1430"/>
      <c r="V514" s="1430"/>
      <c r="W514" s="1430"/>
      <c r="X514" s="1430"/>
      <c r="Y514" s="1430"/>
      <c r="Z514" s="1430"/>
      <c r="AA514" s="1430"/>
      <c r="AB514" s="1430"/>
      <c r="AC514" s="1430"/>
      <c r="AD514" s="1430"/>
      <c r="AE514" s="1430"/>
      <c r="AF514" s="1430"/>
      <c r="AG514" s="1430"/>
      <c r="AH514" s="1430"/>
      <c r="AI514" s="1430"/>
      <c r="AJ514" s="1430"/>
      <c r="AK514" s="1430"/>
      <c r="AL514" s="1430"/>
      <c r="AM514" s="1430"/>
      <c r="AN514" s="1430"/>
      <c r="AO514" s="1430"/>
      <c r="AP514" s="1430"/>
      <c r="AQ514" s="1430"/>
      <c r="AR514" s="1430"/>
      <c r="AS514" s="1430"/>
      <c r="AT514" s="1430"/>
      <c r="AU514" s="1430"/>
      <c r="AV514" s="1430"/>
      <c r="AW514" s="1430"/>
      <c r="AX514" s="1430"/>
      <c r="AY514" s="1430"/>
      <c r="AZ514" s="1430"/>
      <c r="BA514" s="1430"/>
      <c r="BB514" s="1430"/>
      <c r="BC514" s="1430"/>
      <c r="BD514" s="1422"/>
      <c r="BE514" s="1929"/>
      <c r="BF514" s="1929"/>
      <c r="BG514" s="1929"/>
      <c r="BH514" s="1530"/>
      <c r="BI514" s="1930"/>
      <c r="BJ514" s="1930"/>
      <c r="BK514" s="1930"/>
      <c r="BL514" s="1930"/>
      <c r="BM514" s="1930"/>
      <c r="BN514" s="1930"/>
      <c r="BO514" s="1930"/>
      <c r="BP514" s="1930"/>
      <c r="BQ514" s="1930"/>
      <c r="BR514" s="1930"/>
      <c r="BS514" s="1930"/>
      <c r="BT514" s="1930"/>
      <c r="BU514" s="1930"/>
      <c r="BV514" s="1930"/>
      <c r="BW514" s="1930"/>
      <c r="BX514" s="1930"/>
      <c r="BY514" s="1930"/>
      <c r="BZ514" s="1930"/>
      <c r="CA514" s="1930"/>
      <c r="CB514" s="1930"/>
      <c r="CC514" s="1930"/>
      <c r="CD514" s="1930"/>
      <c r="CE514" s="1930"/>
      <c r="CF514" s="1930"/>
      <c r="CG514" s="1930"/>
      <c r="CH514" s="1930"/>
      <c r="CI514" s="1930"/>
      <c r="CJ514" s="1930"/>
      <c r="CK514" s="1930"/>
      <c r="CL514" s="1930"/>
      <c r="CM514" s="1930"/>
      <c r="CN514" s="1930"/>
      <c r="CO514" s="1930"/>
      <c r="CP514" s="1930"/>
      <c r="CQ514" s="1930"/>
      <c r="CR514" s="1930"/>
      <c r="CS514" s="1930"/>
      <c r="CT514" s="1930"/>
      <c r="CU514" s="1930"/>
      <c r="CV514" s="1930"/>
      <c r="CW514" s="1930"/>
      <c r="CX514" s="1930"/>
      <c r="CY514" s="1930"/>
      <c r="CZ514" s="1930"/>
      <c r="DA514" s="1930"/>
      <c r="DB514" s="1930"/>
      <c r="DC514" s="1930"/>
      <c r="DD514" s="1930"/>
      <c r="DE514" s="1930"/>
      <c r="DF514" s="1930"/>
      <c r="DG514" s="1530"/>
      <c r="DH514" s="1530"/>
      <c r="DI514" s="1422"/>
      <c r="DJ514" s="1428"/>
      <c r="DK514" s="1428"/>
      <c r="DL514" s="1428"/>
      <c r="DM514" s="1428"/>
      <c r="DN514" s="1428"/>
      <c r="DO514" s="1428"/>
      <c r="DP514" s="1428"/>
      <c r="DQ514" s="1422"/>
      <c r="DR514" s="1428"/>
      <c r="DS514" s="1428"/>
      <c r="DT514" s="1428"/>
      <c r="DU514" s="1428"/>
      <c r="DV514" s="1428"/>
      <c r="DW514" s="1428"/>
      <c r="DX514" s="1428"/>
      <c r="DY514" s="1428"/>
      <c r="DZ514" s="1428"/>
      <c r="EA514" s="1428"/>
      <c r="EB514" s="1428"/>
      <c r="EC514" s="1428"/>
      <c r="ED514" s="1428"/>
      <c r="EE514" s="1428"/>
      <c r="EF514" s="1428"/>
      <c r="EG514" s="1428"/>
      <c r="EH514" s="1428"/>
      <c r="EI514" s="1428"/>
      <c r="EJ514" s="1428"/>
      <c r="EK514" s="1428"/>
      <c r="EL514" s="1428"/>
      <c r="EM514" s="1428"/>
      <c r="EN514" s="1428"/>
      <c r="EO514" s="1428"/>
      <c r="EP514" s="1428"/>
      <c r="EQ514" s="1428"/>
      <c r="ER514" s="1428"/>
      <c r="ES514" s="1428"/>
      <c r="ET514" s="1428"/>
      <c r="EU514" s="1428"/>
    </row>
    <row r="515" spans="1:151" s="1720" customFormat="1">
      <c r="A515" s="1455"/>
      <c r="B515" s="1422"/>
      <c r="C515" s="1422"/>
      <c r="D515" s="1422"/>
      <c r="E515" s="1422"/>
      <c r="F515" s="1422"/>
      <c r="G515" s="1422"/>
      <c r="H515" s="1422"/>
      <c r="I515" s="1440"/>
      <c r="J515" s="1440"/>
      <c r="K515" s="1440"/>
      <c r="L515" s="1422"/>
      <c r="M515" s="1422"/>
      <c r="N515" s="1430"/>
      <c r="O515" s="1430"/>
      <c r="P515" s="1430"/>
      <c r="Q515" s="1430"/>
      <c r="R515" s="1430"/>
      <c r="S515" s="1430"/>
      <c r="T515" s="1430"/>
      <c r="U515" s="1430"/>
      <c r="V515" s="1430"/>
      <c r="W515" s="1430"/>
      <c r="X515" s="1430"/>
      <c r="Y515" s="1430"/>
      <c r="Z515" s="1430"/>
      <c r="AA515" s="1430"/>
      <c r="AB515" s="1430"/>
      <c r="AC515" s="1430"/>
      <c r="AD515" s="1430"/>
      <c r="AE515" s="1430"/>
      <c r="AF515" s="1430"/>
      <c r="AG515" s="1430"/>
      <c r="AH515" s="1430"/>
      <c r="AI515" s="1430"/>
      <c r="AJ515" s="1430"/>
      <c r="AK515" s="1430"/>
      <c r="AL515" s="1430"/>
      <c r="AM515" s="1430"/>
      <c r="AN515" s="1430"/>
      <c r="AO515" s="1430"/>
      <c r="AP515" s="1430"/>
      <c r="AQ515" s="1430"/>
      <c r="AR515" s="1430"/>
      <c r="AS515" s="1430"/>
      <c r="AT515" s="1430"/>
      <c r="AU515" s="1430"/>
      <c r="AV515" s="1430"/>
      <c r="AW515" s="1430"/>
      <c r="AX515" s="1430"/>
      <c r="AY515" s="1430"/>
      <c r="AZ515" s="1430"/>
      <c r="BA515" s="1430"/>
      <c r="BB515" s="1430"/>
      <c r="BC515" s="1430"/>
      <c r="BD515" s="1422"/>
      <c r="BE515" s="1929"/>
      <c r="BF515" s="1929"/>
      <c r="BG515" s="1929"/>
      <c r="BH515" s="1530"/>
      <c r="BI515" s="1930"/>
      <c r="BJ515" s="1930"/>
      <c r="BK515" s="1930"/>
      <c r="BL515" s="1930"/>
      <c r="BM515" s="1930"/>
      <c r="BN515" s="1930"/>
      <c r="BO515" s="1930"/>
      <c r="BP515" s="1930"/>
      <c r="BQ515" s="1930"/>
      <c r="BR515" s="1930"/>
      <c r="BS515" s="1930"/>
      <c r="BT515" s="1930"/>
      <c r="BU515" s="1930"/>
      <c r="BV515" s="1930"/>
      <c r="BW515" s="1930"/>
      <c r="BX515" s="1930"/>
      <c r="BY515" s="1930"/>
      <c r="BZ515" s="1930"/>
      <c r="CA515" s="1930"/>
      <c r="CB515" s="1930"/>
      <c r="CC515" s="1930"/>
      <c r="CD515" s="1930"/>
      <c r="CE515" s="1930"/>
      <c r="CF515" s="1930"/>
      <c r="CG515" s="1930"/>
      <c r="CH515" s="1930"/>
      <c r="CI515" s="1930"/>
      <c r="CJ515" s="1930"/>
      <c r="CK515" s="1930"/>
      <c r="CL515" s="1930"/>
      <c r="CM515" s="1930"/>
      <c r="CN515" s="1930"/>
      <c r="CO515" s="1930"/>
      <c r="CP515" s="1930"/>
      <c r="CQ515" s="1930"/>
      <c r="CR515" s="1930"/>
      <c r="CS515" s="1930"/>
      <c r="CT515" s="1930"/>
      <c r="CU515" s="1930"/>
      <c r="CV515" s="1930"/>
      <c r="CW515" s="1930"/>
      <c r="CX515" s="1930"/>
      <c r="CY515" s="1930"/>
      <c r="CZ515" s="1930"/>
      <c r="DA515" s="1930"/>
      <c r="DB515" s="1930"/>
      <c r="DC515" s="1930"/>
      <c r="DD515" s="1930"/>
      <c r="DE515" s="1930"/>
      <c r="DF515" s="1930"/>
      <c r="DG515" s="1530"/>
      <c r="DH515" s="1530"/>
      <c r="DI515" s="1422"/>
      <c r="DJ515" s="1428"/>
      <c r="DK515" s="1428"/>
      <c r="DL515" s="1428"/>
      <c r="DM515" s="1428"/>
      <c r="DN515" s="1428"/>
      <c r="DO515" s="1428"/>
      <c r="DP515" s="1428"/>
      <c r="DQ515" s="1422"/>
      <c r="DR515" s="1428"/>
      <c r="DS515" s="1428"/>
      <c r="DT515" s="1428"/>
      <c r="DU515" s="1428"/>
      <c r="DV515" s="1428"/>
      <c r="DW515" s="1428"/>
      <c r="DX515" s="1428"/>
      <c r="DY515" s="1428"/>
      <c r="DZ515" s="1428"/>
      <c r="EA515" s="1428"/>
      <c r="EB515" s="1428"/>
      <c r="EC515" s="1428"/>
      <c r="ED515" s="1428"/>
      <c r="EE515" s="1428"/>
      <c r="EF515" s="1428"/>
      <c r="EG515" s="1428"/>
      <c r="EH515" s="1428"/>
      <c r="EI515" s="1428"/>
      <c r="EJ515" s="1428"/>
      <c r="EK515" s="1428"/>
      <c r="EL515" s="1428"/>
      <c r="EM515" s="1428"/>
      <c r="EN515" s="1428"/>
      <c r="EO515" s="1428"/>
      <c r="EP515" s="1428"/>
      <c r="EQ515" s="1428"/>
      <c r="ER515" s="1428"/>
      <c r="ES515" s="1428"/>
      <c r="ET515" s="1428"/>
      <c r="EU515" s="1428"/>
    </row>
    <row r="516" spans="1:151" s="1720" customFormat="1">
      <c r="A516" s="1455"/>
      <c r="B516" s="1422"/>
      <c r="C516" s="1422"/>
      <c r="D516" s="1422"/>
      <c r="E516" s="1422"/>
      <c r="F516" s="1422"/>
      <c r="G516" s="1422"/>
      <c r="H516" s="1422"/>
      <c r="I516" s="1440"/>
      <c r="J516" s="1440"/>
      <c r="K516" s="1440"/>
      <c r="L516" s="1422"/>
      <c r="M516" s="1422"/>
      <c r="N516" s="1430"/>
      <c r="O516" s="1430"/>
      <c r="P516" s="1430"/>
      <c r="Q516" s="1430"/>
      <c r="R516" s="1430"/>
      <c r="S516" s="1430"/>
      <c r="T516" s="1430"/>
      <c r="U516" s="1430"/>
      <c r="V516" s="1430"/>
      <c r="W516" s="1430"/>
      <c r="X516" s="1430"/>
      <c r="Y516" s="1430"/>
      <c r="Z516" s="1430"/>
      <c r="AA516" s="1430"/>
      <c r="AB516" s="1430"/>
      <c r="AC516" s="1430"/>
      <c r="AD516" s="1430"/>
      <c r="AE516" s="1430"/>
      <c r="AF516" s="1430"/>
      <c r="AG516" s="1430"/>
      <c r="AH516" s="1430"/>
      <c r="AI516" s="1430"/>
      <c r="AJ516" s="1430"/>
      <c r="AK516" s="1430"/>
      <c r="AL516" s="1430"/>
      <c r="AM516" s="1430"/>
      <c r="AN516" s="1430"/>
      <c r="AO516" s="1430"/>
      <c r="AP516" s="1430"/>
      <c r="AQ516" s="1430"/>
      <c r="AR516" s="1430"/>
      <c r="AS516" s="1430"/>
      <c r="AT516" s="1430"/>
      <c r="AU516" s="1430"/>
      <c r="AV516" s="1430"/>
      <c r="AW516" s="1430"/>
      <c r="AX516" s="1430"/>
      <c r="AY516" s="1430"/>
      <c r="AZ516" s="1430"/>
      <c r="BA516" s="1430"/>
      <c r="BB516" s="1430"/>
      <c r="BC516" s="1430"/>
      <c r="BD516" s="1422"/>
      <c r="BE516" s="1929"/>
      <c r="BF516" s="1929"/>
      <c r="BG516" s="1929"/>
      <c r="BH516" s="1530"/>
      <c r="BI516" s="1930"/>
      <c r="BJ516" s="1930"/>
      <c r="BK516" s="1930"/>
      <c r="BL516" s="1930"/>
      <c r="BM516" s="1930"/>
      <c r="BN516" s="1930"/>
      <c r="BO516" s="1930"/>
      <c r="BP516" s="1930"/>
      <c r="BQ516" s="1930"/>
      <c r="BR516" s="1930"/>
      <c r="BS516" s="1930"/>
      <c r="BT516" s="1930"/>
      <c r="BU516" s="1930"/>
      <c r="BV516" s="1930"/>
      <c r="BW516" s="1930"/>
      <c r="BX516" s="1930"/>
      <c r="BY516" s="1930"/>
      <c r="BZ516" s="1930"/>
      <c r="CA516" s="1930"/>
      <c r="CB516" s="1930"/>
      <c r="CC516" s="1930"/>
      <c r="CD516" s="1930"/>
      <c r="CE516" s="1930"/>
      <c r="CF516" s="1930"/>
      <c r="CG516" s="1930"/>
      <c r="CH516" s="1930"/>
      <c r="CI516" s="1930"/>
      <c r="CJ516" s="1930"/>
      <c r="CK516" s="1930"/>
      <c r="CL516" s="1930"/>
      <c r="CM516" s="1930"/>
      <c r="CN516" s="1930"/>
      <c r="CO516" s="1930"/>
      <c r="CP516" s="1930"/>
      <c r="CQ516" s="1930"/>
      <c r="CR516" s="1930"/>
      <c r="CS516" s="1930"/>
      <c r="CT516" s="1930"/>
      <c r="CU516" s="1930"/>
      <c r="CV516" s="1930"/>
      <c r="CW516" s="1930"/>
      <c r="CX516" s="1930"/>
      <c r="CY516" s="1930"/>
      <c r="CZ516" s="1930"/>
      <c r="DA516" s="1930"/>
      <c r="DB516" s="1930"/>
      <c r="DC516" s="1930"/>
      <c r="DD516" s="1930"/>
      <c r="DE516" s="1930"/>
      <c r="DF516" s="1930"/>
      <c r="DG516" s="1530"/>
      <c r="DH516" s="1530"/>
      <c r="DI516" s="1422"/>
      <c r="DJ516" s="1428"/>
      <c r="DK516" s="1428"/>
      <c r="DL516" s="1428"/>
      <c r="DM516" s="1428"/>
      <c r="DN516" s="1428"/>
      <c r="DO516" s="1428"/>
      <c r="DP516" s="1428"/>
      <c r="DQ516" s="1422"/>
      <c r="DR516" s="1428"/>
      <c r="DS516" s="1428"/>
      <c r="DT516" s="1428"/>
      <c r="DU516" s="1428"/>
      <c r="DV516" s="1428"/>
      <c r="DW516" s="1428"/>
      <c r="DX516" s="1428"/>
      <c r="DY516" s="1428"/>
      <c r="DZ516" s="1428"/>
      <c r="EA516" s="1428"/>
      <c r="EB516" s="1428"/>
      <c r="EC516" s="1428"/>
      <c r="ED516" s="1428"/>
      <c r="EE516" s="1428"/>
      <c r="EF516" s="1428"/>
      <c r="EG516" s="1428"/>
      <c r="EH516" s="1428"/>
      <c r="EI516" s="1428"/>
      <c r="EJ516" s="1428"/>
      <c r="EK516" s="1428"/>
      <c r="EL516" s="1428"/>
      <c r="EM516" s="1428"/>
      <c r="EN516" s="1428"/>
      <c r="EO516" s="1428"/>
      <c r="EP516" s="1428"/>
      <c r="EQ516" s="1428"/>
      <c r="ER516" s="1428"/>
      <c r="ES516" s="1428"/>
      <c r="ET516" s="1428"/>
      <c r="EU516" s="1428"/>
    </row>
    <row r="517" spans="1:151" s="1720" customFormat="1">
      <c r="A517" s="1455"/>
      <c r="B517" s="1422"/>
      <c r="C517" s="1422"/>
      <c r="D517" s="1422"/>
      <c r="E517" s="1422"/>
      <c r="F517" s="1422"/>
      <c r="G517" s="1422"/>
      <c r="H517" s="1422"/>
      <c r="I517" s="1440"/>
      <c r="J517" s="1440"/>
      <c r="K517" s="1440"/>
      <c r="L517" s="1422"/>
      <c r="M517" s="1422"/>
      <c r="N517" s="1430"/>
      <c r="O517" s="1430"/>
      <c r="P517" s="1430"/>
      <c r="Q517" s="1430"/>
      <c r="R517" s="1430"/>
      <c r="S517" s="1430"/>
      <c r="T517" s="1430"/>
      <c r="U517" s="1430"/>
      <c r="V517" s="1430"/>
      <c r="W517" s="1430"/>
      <c r="X517" s="1430"/>
      <c r="Y517" s="1430"/>
      <c r="Z517" s="1430"/>
      <c r="AA517" s="1430"/>
      <c r="AB517" s="1430"/>
      <c r="AC517" s="1430"/>
      <c r="AD517" s="1430"/>
      <c r="AE517" s="1430"/>
      <c r="AF517" s="1430"/>
      <c r="AG517" s="1430"/>
      <c r="AH517" s="1430"/>
      <c r="AI517" s="1430"/>
      <c r="AJ517" s="1430"/>
      <c r="AK517" s="1430"/>
      <c r="AL517" s="1430"/>
      <c r="AM517" s="1430"/>
      <c r="AN517" s="1430"/>
      <c r="AO517" s="1430"/>
      <c r="AP517" s="1430"/>
      <c r="AQ517" s="1430"/>
      <c r="AR517" s="1430"/>
      <c r="AS517" s="1430"/>
      <c r="AT517" s="1430"/>
      <c r="AU517" s="1430"/>
      <c r="AV517" s="1430"/>
      <c r="AW517" s="1430"/>
      <c r="AX517" s="1430"/>
      <c r="AY517" s="1430"/>
      <c r="AZ517" s="1430"/>
      <c r="BA517" s="1430"/>
      <c r="BB517" s="1430"/>
      <c r="BC517" s="1430"/>
      <c r="BD517" s="1422"/>
      <c r="BE517" s="1929"/>
      <c r="BF517" s="1929"/>
      <c r="BG517" s="1929"/>
      <c r="BH517" s="1530"/>
      <c r="BI517" s="1930"/>
      <c r="BJ517" s="1930"/>
      <c r="BK517" s="1930"/>
      <c r="BL517" s="1930"/>
      <c r="BM517" s="1930"/>
      <c r="BN517" s="1930"/>
      <c r="BO517" s="1930"/>
      <c r="BP517" s="1930"/>
      <c r="BQ517" s="1930"/>
      <c r="BR517" s="1930"/>
      <c r="BS517" s="1930"/>
      <c r="BT517" s="1930"/>
      <c r="BU517" s="1930"/>
      <c r="BV517" s="1930"/>
      <c r="BW517" s="1930"/>
      <c r="BX517" s="1930"/>
      <c r="BY517" s="1930"/>
      <c r="BZ517" s="1930"/>
      <c r="CA517" s="1930"/>
      <c r="CB517" s="1930"/>
      <c r="CC517" s="1930"/>
      <c r="CD517" s="1930"/>
      <c r="CE517" s="1930"/>
      <c r="CF517" s="1930"/>
      <c r="CG517" s="1930"/>
      <c r="CH517" s="1930"/>
      <c r="CI517" s="1930"/>
      <c r="CJ517" s="1930"/>
      <c r="CK517" s="1930"/>
      <c r="CL517" s="1930"/>
      <c r="CM517" s="1930"/>
      <c r="CN517" s="1930"/>
      <c r="CO517" s="1930"/>
      <c r="CP517" s="1930"/>
      <c r="CQ517" s="1930"/>
      <c r="CR517" s="1930"/>
      <c r="CS517" s="1930"/>
      <c r="CT517" s="1930"/>
      <c r="CU517" s="1930"/>
      <c r="CV517" s="1930"/>
      <c r="CW517" s="1930"/>
      <c r="CX517" s="1930"/>
      <c r="CY517" s="1930"/>
      <c r="CZ517" s="1930"/>
      <c r="DA517" s="1930"/>
      <c r="DB517" s="1930"/>
      <c r="DC517" s="1930"/>
      <c r="DD517" s="1930"/>
      <c r="DE517" s="1930"/>
      <c r="DF517" s="1930"/>
      <c r="DG517" s="1530"/>
      <c r="DH517" s="1530"/>
      <c r="DI517" s="1422"/>
      <c r="DJ517" s="1428"/>
      <c r="DK517" s="1428"/>
      <c r="DL517" s="1428"/>
      <c r="DM517" s="1428"/>
      <c r="DN517" s="1428"/>
      <c r="DO517" s="1428"/>
      <c r="DP517" s="1428"/>
      <c r="DQ517" s="1422"/>
      <c r="DR517" s="1428"/>
      <c r="DS517" s="1428"/>
      <c r="DT517" s="1428"/>
      <c r="DU517" s="1428"/>
      <c r="DV517" s="1428"/>
      <c r="DW517" s="1428"/>
      <c r="DX517" s="1428"/>
      <c r="DY517" s="1428"/>
      <c r="DZ517" s="1428"/>
      <c r="EA517" s="1428"/>
      <c r="EB517" s="1428"/>
      <c r="EC517" s="1428"/>
      <c r="ED517" s="1428"/>
      <c r="EE517" s="1428"/>
      <c r="EF517" s="1428"/>
      <c r="EG517" s="1428"/>
      <c r="EH517" s="1428"/>
      <c r="EI517" s="1428"/>
      <c r="EJ517" s="1428"/>
      <c r="EK517" s="1428"/>
      <c r="EL517" s="1428"/>
      <c r="EM517" s="1428"/>
      <c r="EN517" s="1428"/>
      <c r="EO517" s="1428"/>
      <c r="EP517" s="1428"/>
      <c r="EQ517" s="1428"/>
      <c r="ER517" s="1428"/>
      <c r="ES517" s="1428"/>
      <c r="ET517" s="1428"/>
      <c r="EU517" s="1428"/>
    </row>
    <row r="518" spans="1:151" s="1720" customFormat="1">
      <c r="A518" s="1455"/>
      <c r="B518" s="1422"/>
      <c r="C518" s="1422"/>
      <c r="D518" s="1422"/>
      <c r="E518" s="1422"/>
      <c r="F518" s="1422"/>
      <c r="G518" s="1422"/>
      <c r="H518" s="1422"/>
      <c r="I518" s="1440"/>
      <c r="J518" s="1440"/>
      <c r="K518" s="1440"/>
      <c r="L518" s="1422"/>
      <c r="M518" s="1422"/>
      <c r="N518" s="1430"/>
      <c r="O518" s="1430"/>
      <c r="P518" s="1430"/>
      <c r="Q518" s="1430"/>
      <c r="R518" s="1430"/>
      <c r="S518" s="1430"/>
      <c r="T518" s="1430"/>
      <c r="U518" s="1430"/>
      <c r="V518" s="1430"/>
      <c r="W518" s="1430"/>
      <c r="X518" s="1430"/>
      <c r="Y518" s="1430"/>
      <c r="Z518" s="1430"/>
      <c r="AA518" s="1430"/>
      <c r="AB518" s="1430"/>
      <c r="AC518" s="1430"/>
      <c r="AD518" s="1430"/>
      <c r="AE518" s="1430"/>
      <c r="AF518" s="1430"/>
      <c r="AG518" s="1430"/>
      <c r="AH518" s="1430"/>
      <c r="AI518" s="1430"/>
      <c r="AJ518" s="1430"/>
      <c r="AK518" s="1430"/>
      <c r="AL518" s="1430"/>
      <c r="AM518" s="1430"/>
      <c r="AN518" s="1430"/>
      <c r="AO518" s="1430"/>
      <c r="AP518" s="1430"/>
      <c r="AQ518" s="1430"/>
      <c r="AR518" s="1430"/>
      <c r="AS518" s="1430"/>
      <c r="AT518" s="1430"/>
      <c r="AU518" s="1430"/>
      <c r="AV518" s="1430"/>
      <c r="AW518" s="1430"/>
      <c r="AX518" s="1430"/>
      <c r="AY518" s="1430"/>
      <c r="AZ518" s="1430"/>
      <c r="BA518" s="1430"/>
      <c r="BB518" s="1430"/>
      <c r="BC518" s="1430"/>
      <c r="BD518" s="1422"/>
      <c r="BE518" s="1929"/>
      <c r="BF518" s="1929"/>
      <c r="BG518" s="1929"/>
      <c r="BH518" s="1530"/>
      <c r="BI518" s="1930"/>
      <c r="BJ518" s="1930"/>
      <c r="BK518" s="1930"/>
      <c r="BL518" s="1930"/>
      <c r="BM518" s="1930"/>
      <c r="BN518" s="1930"/>
      <c r="BO518" s="1930"/>
      <c r="BP518" s="1930"/>
      <c r="BQ518" s="1930"/>
      <c r="BR518" s="1930"/>
      <c r="BS518" s="1930"/>
      <c r="BT518" s="1930"/>
      <c r="BU518" s="1930"/>
      <c r="BV518" s="1930"/>
      <c r="BW518" s="1930"/>
      <c r="BX518" s="1930"/>
      <c r="BY518" s="1930"/>
      <c r="BZ518" s="1930"/>
      <c r="CA518" s="1930"/>
      <c r="CB518" s="1930"/>
      <c r="CC518" s="1930"/>
      <c r="CD518" s="1930"/>
      <c r="CE518" s="1930"/>
      <c r="CF518" s="1930"/>
      <c r="CG518" s="1930"/>
      <c r="CH518" s="1930"/>
      <c r="CI518" s="1930"/>
      <c r="CJ518" s="1930"/>
      <c r="CK518" s="1930"/>
      <c r="CL518" s="1930"/>
      <c r="CM518" s="1930"/>
      <c r="CN518" s="1930"/>
      <c r="CO518" s="1930"/>
      <c r="CP518" s="1930"/>
      <c r="CQ518" s="1930"/>
      <c r="CR518" s="1930"/>
      <c r="CS518" s="1930"/>
      <c r="CT518" s="1930"/>
      <c r="CU518" s="1930"/>
      <c r="CV518" s="1930"/>
      <c r="CW518" s="1930"/>
      <c r="CX518" s="1930"/>
      <c r="CY518" s="1930"/>
      <c r="CZ518" s="1930"/>
      <c r="DA518" s="1930"/>
      <c r="DB518" s="1930"/>
      <c r="DC518" s="1930"/>
      <c r="DD518" s="1930"/>
      <c r="DE518" s="1930"/>
      <c r="DF518" s="1930"/>
      <c r="DG518" s="1530"/>
      <c r="DH518" s="1530"/>
      <c r="DI518" s="1422"/>
      <c r="DJ518" s="1428"/>
      <c r="DK518" s="1428"/>
      <c r="DL518" s="1428"/>
      <c r="DM518" s="1428"/>
      <c r="DN518" s="1428"/>
      <c r="DO518" s="1428"/>
      <c r="DP518" s="1428"/>
      <c r="DQ518" s="1422"/>
      <c r="DR518" s="1428"/>
      <c r="DS518" s="1428"/>
      <c r="DT518" s="1428"/>
      <c r="DU518" s="1428"/>
      <c r="DV518" s="1428"/>
      <c r="DW518" s="1428"/>
      <c r="DX518" s="1428"/>
      <c r="DY518" s="1428"/>
      <c r="DZ518" s="1428"/>
      <c r="EA518" s="1428"/>
      <c r="EB518" s="1428"/>
      <c r="EC518" s="1428"/>
      <c r="ED518" s="1428"/>
      <c r="EE518" s="1428"/>
      <c r="EF518" s="1428"/>
      <c r="EG518" s="1428"/>
      <c r="EH518" s="1428"/>
      <c r="EI518" s="1428"/>
      <c r="EJ518" s="1428"/>
      <c r="EK518" s="1428"/>
      <c r="EL518" s="1428"/>
      <c r="EM518" s="1428"/>
      <c r="EN518" s="1428"/>
      <c r="EO518" s="1428"/>
      <c r="EP518" s="1428"/>
      <c r="EQ518" s="1428"/>
      <c r="ER518" s="1428"/>
      <c r="ES518" s="1428"/>
      <c r="ET518" s="1428"/>
      <c r="EU518" s="1428"/>
    </row>
    <row r="519" spans="1:151" s="1720" customFormat="1">
      <c r="A519" s="1455"/>
      <c r="B519" s="1422"/>
      <c r="C519" s="1422"/>
      <c r="D519" s="1422"/>
      <c r="E519" s="1422"/>
      <c r="F519" s="1422"/>
      <c r="G519" s="1422"/>
      <c r="H519" s="1422"/>
      <c r="I519" s="1440"/>
      <c r="J519" s="1440"/>
      <c r="K519" s="1440"/>
      <c r="L519" s="1422"/>
      <c r="M519" s="1422"/>
      <c r="N519" s="1430"/>
      <c r="O519" s="1430"/>
      <c r="P519" s="1430"/>
      <c r="Q519" s="1430"/>
      <c r="R519" s="1430"/>
      <c r="S519" s="1430"/>
      <c r="T519" s="1430"/>
      <c r="U519" s="1430"/>
      <c r="V519" s="1430"/>
      <c r="W519" s="1430"/>
      <c r="X519" s="1430"/>
      <c r="Y519" s="1430"/>
      <c r="Z519" s="1430"/>
      <c r="AA519" s="1430"/>
      <c r="AB519" s="1430"/>
      <c r="AC519" s="1430"/>
      <c r="AD519" s="1430"/>
      <c r="AE519" s="1430"/>
      <c r="AF519" s="1430"/>
      <c r="AG519" s="1430"/>
      <c r="AH519" s="1430"/>
      <c r="AI519" s="1430"/>
      <c r="AJ519" s="1430"/>
      <c r="AK519" s="1430"/>
      <c r="AL519" s="1430"/>
      <c r="AM519" s="1430"/>
      <c r="AN519" s="1430"/>
      <c r="AO519" s="1430"/>
      <c r="AP519" s="1430"/>
      <c r="AQ519" s="1430"/>
      <c r="AR519" s="1430"/>
      <c r="AS519" s="1430"/>
      <c r="AT519" s="1430"/>
      <c r="AU519" s="1430"/>
      <c r="AV519" s="1430"/>
      <c r="AW519" s="1430"/>
      <c r="AX519" s="1430"/>
      <c r="AY519" s="1430"/>
      <c r="AZ519" s="1430"/>
      <c r="BA519" s="1430"/>
      <c r="BB519" s="1430"/>
      <c r="BC519" s="1430"/>
      <c r="BD519" s="1422"/>
      <c r="BE519" s="1929"/>
      <c r="BF519" s="1929"/>
      <c r="BG519" s="1929"/>
      <c r="BH519" s="1530"/>
      <c r="BI519" s="1930"/>
      <c r="BJ519" s="1930"/>
      <c r="BK519" s="1930"/>
      <c r="BL519" s="1930"/>
      <c r="BM519" s="1930"/>
      <c r="BN519" s="1930"/>
      <c r="BO519" s="1930"/>
      <c r="BP519" s="1930"/>
      <c r="BQ519" s="1930"/>
      <c r="BR519" s="1930"/>
      <c r="BS519" s="1930"/>
      <c r="BT519" s="1930"/>
      <c r="BU519" s="1930"/>
      <c r="BV519" s="1930"/>
      <c r="BW519" s="1930"/>
      <c r="BX519" s="1930"/>
      <c r="BY519" s="1930"/>
      <c r="BZ519" s="1930"/>
      <c r="CA519" s="1930"/>
      <c r="CB519" s="1930"/>
      <c r="CC519" s="1930"/>
      <c r="CD519" s="1930"/>
      <c r="CE519" s="1930"/>
      <c r="CF519" s="1930"/>
      <c r="CG519" s="1930"/>
      <c r="CH519" s="1930"/>
      <c r="CI519" s="1930"/>
      <c r="CJ519" s="1930"/>
      <c r="CK519" s="1930"/>
      <c r="CL519" s="1930"/>
      <c r="CM519" s="1930"/>
      <c r="CN519" s="1930"/>
      <c r="CO519" s="1930"/>
      <c r="CP519" s="1930"/>
      <c r="CQ519" s="1930"/>
      <c r="CR519" s="1930"/>
      <c r="CS519" s="1930"/>
      <c r="CT519" s="1930"/>
      <c r="CU519" s="1930"/>
      <c r="CV519" s="1930"/>
      <c r="CW519" s="1930"/>
      <c r="CX519" s="1930"/>
      <c r="CY519" s="1930"/>
      <c r="CZ519" s="1930"/>
      <c r="DA519" s="1930"/>
      <c r="DB519" s="1930"/>
      <c r="DC519" s="1930"/>
      <c r="DD519" s="1930"/>
      <c r="DE519" s="1930"/>
      <c r="DF519" s="1930"/>
      <c r="DG519" s="1530"/>
      <c r="DH519" s="1530"/>
      <c r="DI519" s="1422"/>
      <c r="DJ519" s="1428"/>
      <c r="DK519" s="1428"/>
      <c r="DL519" s="1428"/>
      <c r="DM519" s="1428"/>
      <c r="DN519" s="1428"/>
      <c r="DO519" s="1428"/>
      <c r="DP519" s="1428"/>
      <c r="DQ519" s="1422"/>
      <c r="DR519" s="1428"/>
      <c r="DS519" s="1428"/>
      <c r="DT519" s="1428"/>
      <c r="DU519" s="1428"/>
      <c r="DV519" s="1428"/>
      <c r="DW519" s="1428"/>
      <c r="DX519" s="1428"/>
      <c r="DY519" s="1428"/>
      <c r="DZ519" s="1428"/>
      <c r="EA519" s="1428"/>
      <c r="EB519" s="1428"/>
      <c r="EC519" s="1428"/>
      <c r="ED519" s="1428"/>
      <c r="EE519" s="1428"/>
      <c r="EF519" s="1428"/>
      <c r="EG519" s="1428"/>
      <c r="EH519" s="1428"/>
      <c r="EI519" s="1428"/>
      <c r="EJ519" s="1428"/>
      <c r="EK519" s="1428"/>
      <c r="EL519" s="1428"/>
      <c r="EM519" s="1428"/>
      <c r="EN519" s="1428"/>
      <c r="EO519" s="1428"/>
      <c r="EP519" s="1428"/>
      <c r="EQ519" s="1428"/>
      <c r="ER519" s="1428"/>
      <c r="ES519" s="1428"/>
      <c r="ET519" s="1428"/>
      <c r="EU519" s="1428"/>
    </row>
    <row r="520" spans="1:151" s="1720" customFormat="1">
      <c r="A520" s="1455"/>
      <c r="B520" s="1422"/>
      <c r="C520" s="1422"/>
      <c r="D520" s="1422"/>
      <c r="E520" s="1422"/>
      <c r="F520" s="1422"/>
      <c r="G520" s="1422"/>
      <c r="H520" s="1422"/>
      <c r="I520" s="1440"/>
      <c r="J520" s="1440"/>
      <c r="K520" s="1440"/>
      <c r="L520" s="1422"/>
      <c r="M520" s="1422"/>
      <c r="N520" s="1430"/>
      <c r="O520" s="1430"/>
      <c r="P520" s="1430"/>
      <c r="Q520" s="1430"/>
      <c r="R520" s="1430"/>
      <c r="S520" s="1430"/>
      <c r="T520" s="1430"/>
      <c r="U520" s="1430"/>
      <c r="V520" s="1430"/>
      <c r="W520" s="1430"/>
      <c r="X520" s="1430"/>
      <c r="Y520" s="1430"/>
      <c r="Z520" s="1430"/>
      <c r="AA520" s="1430"/>
      <c r="AB520" s="1430"/>
      <c r="AC520" s="1430"/>
      <c r="AD520" s="1430"/>
      <c r="AE520" s="1430"/>
      <c r="AF520" s="1430"/>
      <c r="AG520" s="1430"/>
      <c r="AH520" s="1430"/>
      <c r="AI520" s="1430"/>
      <c r="AJ520" s="1430"/>
      <c r="AK520" s="1430"/>
      <c r="AL520" s="1430"/>
      <c r="AM520" s="1430"/>
      <c r="AN520" s="1430"/>
      <c r="AO520" s="1430"/>
      <c r="AP520" s="1430"/>
      <c r="AQ520" s="1430"/>
      <c r="AR520" s="1430"/>
      <c r="AS520" s="1430"/>
      <c r="AT520" s="1430"/>
      <c r="AU520" s="1430"/>
      <c r="AV520" s="1430"/>
      <c r="AW520" s="1430"/>
      <c r="AX520" s="1430"/>
      <c r="AY520" s="1430"/>
      <c r="AZ520" s="1430"/>
      <c r="BA520" s="1430"/>
      <c r="BB520" s="1430"/>
      <c r="BC520" s="1430"/>
      <c r="BD520" s="1422"/>
      <c r="BE520" s="1929"/>
      <c r="BF520" s="1929"/>
      <c r="BG520" s="1929"/>
      <c r="BH520" s="1530"/>
      <c r="BI520" s="1930"/>
      <c r="BJ520" s="1930"/>
      <c r="BK520" s="1930"/>
      <c r="BL520" s="1930"/>
      <c r="BM520" s="1930"/>
      <c r="BN520" s="1930"/>
      <c r="BO520" s="1930"/>
      <c r="BP520" s="1930"/>
      <c r="BQ520" s="1930"/>
      <c r="BR520" s="1930"/>
      <c r="BS520" s="1930"/>
      <c r="BT520" s="1930"/>
      <c r="BU520" s="1930"/>
      <c r="BV520" s="1930"/>
      <c r="BW520" s="1930"/>
      <c r="BX520" s="1930"/>
      <c r="BY520" s="1930"/>
      <c r="BZ520" s="1930"/>
      <c r="CA520" s="1930"/>
      <c r="CB520" s="1930"/>
      <c r="CC520" s="1930"/>
      <c r="CD520" s="1930"/>
      <c r="CE520" s="1930"/>
      <c r="CF520" s="1930"/>
      <c r="CG520" s="1930"/>
      <c r="CH520" s="1930"/>
      <c r="CI520" s="1930"/>
      <c r="CJ520" s="1930"/>
      <c r="CK520" s="1930"/>
      <c r="CL520" s="1930"/>
      <c r="CM520" s="1930"/>
      <c r="CN520" s="1930"/>
      <c r="CO520" s="1930"/>
      <c r="CP520" s="1930"/>
      <c r="CQ520" s="1930"/>
      <c r="CR520" s="1930"/>
      <c r="CS520" s="1930"/>
      <c r="CT520" s="1930"/>
      <c r="CU520" s="1930"/>
      <c r="CV520" s="1930"/>
      <c r="CW520" s="1930"/>
      <c r="CX520" s="1930"/>
      <c r="CY520" s="1930"/>
      <c r="CZ520" s="1930"/>
      <c r="DA520" s="1930"/>
      <c r="DB520" s="1930"/>
      <c r="DC520" s="1930"/>
      <c r="DD520" s="1930"/>
      <c r="DE520" s="1930"/>
      <c r="DF520" s="1930"/>
      <c r="DG520" s="1530"/>
      <c r="DH520" s="1530"/>
      <c r="DI520" s="1422"/>
      <c r="DJ520" s="1428"/>
      <c r="DK520" s="1428"/>
      <c r="DL520" s="1428"/>
      <c r="DM520" s="1428"/>
      <c r="DN520" s="1428"/>
      <c r="DO520" s="1428"/>
      <c r="DP520" s="1428"/>
      <c r="DQ520" s="1422"/>
      <c r="DR520" s="1428"/>
      <c r="DS520" s="1428"/>
      <c r="DT520" s="1428"/>
      <c r="DU520" s="1428"/>
      <c r="DV520" s="1428"/>
      <c r="DW520" s="1428"/>
      <c r="DX520" s="1428"/>
      <c r="DY520" s="1428"/>
      <c r="DZ520" s="1428"/>
      <c r="EA520" s="1428"/>
      <c r="EB520" s="1428"/>
      <c r="EC520" s="1428"/>
      <c r="ED520" s="1428"/>
      <c r="EE520" s="1428"/>
      <c r="EF520" s="1428"/>
      <c r="EG520" s="1428"/>
      <c r="EH520" s="1428"/>
      <c r="EI520" s="1428"/>
      <c r="EJ520" s="1428"/>
      <c r="EK520" s="1428"/>
      <c r="EL520" s="1428"/>
      <c r="EM520" s="1428"/>
      <c r="EN520" s="1428"/>
      <c r="EO520" s="1428"/>
      <c r="EP520" s="1428"/>
      <c r="EQ520" s="1428"/>
      <c r="ER520" s="1428"/>
      <c r="ES520" s="1428"/>
      <c r="ET520" s="1428"/>
      <c r="EU520" s="1428"/>
    </row>
    <row r="521" spans="1:151" s="1720" customFormat="1">
      <c r="A521" s="1455"/>
      <c r="B521" s="1422"/>
      <c r="C521" s="1422"/>
      <c r="D521" s="1422"/>
      <c r="E521" s="1422"/>
      <c r="F521" s="1422"/>
      <c r="G521" s="1422"/>
      <c r="H521" s="1422"/>
      <c r="I521" s="1440"/>
      <c r="J521" s="1440"/>
      <c r="K521" s="1440"/>
      <c r="L521" s="1422"/>
      <c r="M521" s="1422"/>
      <c r="N521" s="1430"/>
      <c r="O521" s="1430"/>
      <c r="P521" s="1430"/>
      <c r="Q521" s="1430"/>
      <c r="R521" s="1430"/>
      <c r="S521" s="1430"/>
      <c r="T521" s="1430"/>
      <c r="U521" s="1430"/>
      <c r="V521" s="1430"/>
      <c r="W521" s="1430"/>
      <c r="X521" s="1430"/>
      <c r="Y521" s="1430"/>
      <c r="Z521" s="1430"/>
      <c r="AA521" s="1430"/>
      <c r="AB521" s="1430"/>
      <c r="AC521" s="1430"/>
      <c r="AD521" s="1430"/>
      <c r="AE521" s="1430"/>
      <c r="AF521" s="1430"/>
      <c r="AG521" s="1430"/>
      <c r="AH521" s="1430"/>
      <c r="AI521" s="1430"/>
      <c r="AJ521" s="1430"/>
      <c r="AK521" s="1430"/>
      <c r="AL521" s="1430"/>
      <c r="AM521" s="1430"/>
      <c r="AN521" s="1430"/>
      <c r="AO521" s="1430"/>
      <c r="AP521" s="1430"/>
      <c r="AQ521" s="1430"/>
      <c r="AR521" s="1430"/>
      <c r="AS521" s="1430"/>
      <c r="AT521" s="1430"/>
      <c r="AU521" s="1430"/>
      <c r="AV521" s="1430"/>
      <c r="AW521" s="1430"/>
      <c r="AX521" s="1430"/>
      <c r="AY521" s="1430"/>
      <c r="AZ521" s="1430"/>
      <c r="BA521" s="1430"/>
      <c r="BB521" s="1430"/>
      <c r="BC521" s="1430"/>
      <c r="BD521" s="1422"/>
      <c r="BE521" s="1929"/>
      <c r="BF521" s="1929"/>
      <c r="BG521" s="1929"/>
      <c r="BH521" s="1530"/>
      <c r="BI521" s="1930"/>
      <c r="BJ521" s="1930"/>
      <c r="BK521" s="1930"/>
      <c r="BL521" s="1930"/>
      <c r="BM521" s="1930"/>
      <c r="BN521" s="1930"/>
      <c r="BO521" s="1930"/>
      <c r="BP521" s="1930"/>
      <c r="BQ521" s="1930"/>
      <c r="BR521" s="1930"/>
      <c r="BS521" s="1930"/>
      <c r="BT521" s="1930"/>
      <c r="BU521" s="1930"/>
      <c r="BV521" s="1930"/>
      <c r="BW521" s="1930"/>
      <c r="BX521" s="1930"/>
      <c r="BY521" s="1930"/>
      <c r="BZ521" s="1930"/>
      <c r="CA521" s="1930"/>
      <c r="CB521" s="1930"/>
      <c r="CC521" s="1930"/>
      <c r="CD521" s="1930"/>
      <c r="CE521" s="1930"/>
      <c r="CF521" s="1930"/>
      <c r="CG521" s="1930"/>
      <c r="CH521" s="1930"/>
      <c r="CI521" s="1930"/>
      <c r="CJ521" s="1930"/>
      <c r="CK521" s="1930"/>
      <c r="CL521" s="1930"/>
      <c r="CM521" s="1930"/>
      <c r="CN521" s="1930"/>
      <c r="CO521" s="1930"/>
      <c r="CP521" s="1930"/>
      <c r="CQ521" s="1930"/>
      <c r="CR521" s="1930"/>
      <c r="CS521" s="1930"/>
      <c r="CT521" s="1930"/>
      <c r="CU521" s="1930"/>
      <c r="CV521" s="1930"/>
      <c r="CW521" s="1930"/>
      <c r="CX521" s="1930"/>
      <c r="CY521" s="1930"/>
      <c r="CZ521" s="1930"/>
      <c r="DA521" s="1930"/>
      <c r="DB521" s="1930"/>
      <c r="DC521" s="1930"/>
      <c r="DD521" s="1930"/>
      <c r="DE521" s="1930"/>
      <c r="DF521" s="1930"/>
      <c r="DG521" s="1530"/>
      <c r="DH521" s="1530"/>
      <c r="DI521" s="1422"/>
      <c r="DJ521" s="1428"/>
      <c r="DK521" s="1428"/>
      <c r="DL521" s="1428"/>
      <c r="DM521" s="1428"/>
      <c r="DN521" s="1428"/>
      <c r="DO521" s="1428"/>
      <c r="DP521" s="1428"/>
      <c r="DQ521" s="1422"/>
      <c r="DR521" s="1428"/>
      <c r="DS521" s="1428"/>
      <c r="DT521" s="1428"/>
      <c r="DU521" s="1428"/>
      <c r="DV521" s="1428"/>
      <c r="DW521" s="1428"/>
      <c r="DX521" s="1428"/>
      <c r="DY521" s="1428"/>
      <c r="DZ521" s="1428"/>
      <c r="EA521" s="1428"/>
      <c r="EB521" s="1428"/>
      <c r="EC521" s="1428"/>
      <c r="ED521" s="1428"/>
      <c r="EE521" s="1428"/>
      <c r="EF521" s="1428"/>
      <c r="EG521" s="1428"/>
      <c r="EH521" s="1428"/>
      <c r="EI521" s="1428"/>
      <c r="EJ521" s="1428"/>
      <c r="EK521" s="1428"/>
      <c r="EL521" s="1428"/>
      <c r="EM521" s="1428"/>
      <c r="EN521" s="1428"/>
      <c r="EO521" s="1428"/>
      <c r="EP521" s="1428"/>
      <c r="EQ521" s="1428"/>
      <c r="ER521" s="1428"/>
      <c r="ES521" s="1428"/>
      <c r="ET521" s="1428"/>
      <c r="EU521" s="1428"/>
    </row>
    <row r="522" spans="1:151" s="1720" customFormat="1">
      <c r="A522" s="1455"/>
      <c r="B522" s="1422"/>
      <c r="C522" s="1422"/>
      <c r="D522" s="1422"/>
      <c r="E522" s="1422"/>
      <c r="F522" s="1422"/>
      <c r="G522" s="1422"/>
      <c r="H522" s="1422"/>
      <c r="I522" s="1440"/>
      <c r="J522" s="1440"/>
      <c r="K522" s="1440"/>
      <c r="L522" s="1422"/>
      <c r="M522" s="1422"/>
      <c r="N522" s="1430"/>
      <c r="O522" s="1430"/>
      <c r="P522" s="1430"/>
      <c r="Q522" s="1430"/>
      <c r="R522" s="1430"/>
      <c r="S522" s="1430"/>
      <c r="T522" s="1430"/>
      <c r="U522" s="1430"/>
      <c r="V522" s="1430"/>
      <c r="W522" s="1430"/>
      <c r="X522" s="1430"/>
      <c r="Y522" s="1430"/>
      <c r="Z522" s="1430"/>
      <c r="AA522" s="1430"/>
      <c r="AB522" s="1430"/>
      <c r="AC522" s="1430"/>
      <c r="AD522" s="1430"/>
      <c r="AE522" s="1430"/>
      <c r="AF522" s="1430"/>
      <c r="AG522" s="1430"/>
      <c r="AH522" s="1430"/>
      <c r="AI522" s="1430"/>
      <c r="AJ522" s="1430"/>
      <c r="AK522" s="1430"/>
      <c r="AL522" s="1430"/>
      <c r="AM522" s="1430"/>
      <c r="AN522" s="1430"/>
      <c r="AO522" s="1430"/>
      <c r="AP522" s="1430"/>
      <c r="AQ522" s="1430"/>
      <c r="AR522" s="1430"/>
      <c r="AS522" s="1430"/>
      <c r="AT522" s="1430"/>
      <c r="AU522" s="1430"/>
      <c r="AV522" s="1430"/>
      <c r="AW522" s="1430"/>
      <c r="AX522" s="1430"/>
      <c r="AY522" s="1430"/>
      <c r="AZ522" s="1430"/>
      <c r="BA522" s="1430"/>
      <c r="BB522" s="1430"/>
      <c r="BC522" s="1430"/>
      <c r="BD522" s="1422"/>
      <c r="BE522" s="1929"/>
      <c r="BF522" s="1929"/>
      <c r="BG522" s="1929"/>
      <c r="BH522" s="1530"/>
      <c r="BI522" s="1930"/>
      <c r="BJ522" s="1930"/>
      <c r="BK522" s="1930"/>
      <c r="BL522" s="1930"/>
      <c r="BM522" s="1930"/>
      <c r="BN522" s="1930"/>
      <c r="BO522" s="1930"/>
      <c r="BP522" s="1930"/>
      <c r="BQ522" s="1930"/>
      <c r="BR522" s="1930"/>
      <c r="BS522" s="1930"/>
      <c r="BT522" s="1930"/>
      <c r="BU522" s="1930"/>
      <c r="BV522" s="1930"/>
      <c r="BW522" s="1930"/>
      <c r="BX522" s="1930"/>
      <c r="BY522" s="1930"/>
      <c r="BZ522" s="1930"/>
      <c r="CA522" s="1930"/>
      <c r="CB522" s="1930"/>
      <c r="CC522" s="1930"/>
      <c r="CD522" s="1930"/>
      <c r="CE522" s="1930"/>
      <c r="CF522" s="1930"/>
      <c r="CG522" s="1930"/>
      <c r="CH522" s="1930"/>
      <c r="CI522" s="1930"/>
      <c r="CJ522" s="1930"/>
      <c r="CK522" s="1930"/>
      <c r="CL522" s="1930"/>
      <c r="CM522" s="1930"/>
      <c r="CN522" s="1930"/>
      <c r="CO522" s="1930"/>
      <c r="CP522" s="1930"/>
      <c r="CQ522" s="1930"/>
      <c r="CR522" s="1930"/>
      <c r="CS522" s="1930"/>
      <c r="CT522" s="1930"/>
      <c r="CU522" s="1930"/>
      <c r="CV522" s="1930"/>
      <c r="CW522" s="1930"/>
      <c r="CX522" s="1930"/>
      <c r="CY522" s="1930"/>
      <c r="CZ522" s="1930"/>
      <c r="DA522" s="1930"/>
      <c r="DB522" s="1930"/>
      <c r="DC522" s="1930"/>
      <c r="DD522" s="1930"/>
      <c r="DE522" s="1930"/>
      <c r="DF522" s="1930"/>
      <c r="DG522" s="1530"/>
      <c r="DH522" s="1530"/>
      <c r="DI522" s="1422"/>
      <c r="DJ522" s="1428"/>
      <c r="DK522" s="1428"/>
      <c r="DL522" s="1428"/>
      <c r="DM522" s="1428"/>
      <c r="DN522" s="1428"/>
      <c r="DO522" s="1428"/>
      <c r="DP522" s="1428"/>
      <c r="DQ522" s="1422"/>
      <c r="DR522" s="1428"/>
      <c r="DS522" s="1428"/>
      <c r="DT522" s="1428"/>
      <c r="DU522" s="1428"/>
      <c r="DV522" s="1428"/>
      <c r="DW522" s="1428"/>
      <c r="DX522" s="1428"/>
      <c r="DY522" s="1428"/>
      <c r="DZ522" s="1428"/>
      <c r="EA522" s="1428"/>
      <c r="EB522" s="1428"/>
      <c r="EC522" s="1428"/>
      <c r="ED522" s="1428"/>
      <c r="EE522" s="1428"/>
      <c r="EF522" s="1428"/>
      <c r="EG522" s="1428"/>
      <c r="EH522" s="1428"/>
      <c r="EI522" s="1428"/>
      <c r="EJ522" s="1428"/>
      <c r="EK522" s="1428"/>
      <c r="EL522" s="1428"/>
      <c r="EM522" s="1428"/>
      <c r="EN522" s="1428"/>
      <c r="EO522" s="1428"/>
      <c r="EP522" s="1428"/>
      <c r="EQ522" s="1428"/>
      <c r="ER522" s="1428"/>
      <c r="ES522" s="1428"/>
      <c r="ET522" s="1428"/>
      <c r="EU522" s="1428"/>
    </row>
    <row r="523" spans="1:151" s="1720" customFormat="1">
      <c r="A523" s="1455"/>
      <c r="B523" s="1422"/>
      <c r="C523" s="1422"/>
      <c r="D523" s="1422"/>
      <c r="E523" s="1422"/>
      <c r="F523" s="1422"/>
      <c r="G523" s="1422"/>
      <c r="H523" s="1422"/>
      <c r="I523" s="1440"/>
      <c r="J523" s="1440"/>
      <c r="K523" s="1440"/>
      <c r="L523" s="1422"/>
      <c r="M523" s="1422"/>
      <c r="N523" s="1430"/>
      <c r="O523" s="1430"/>
      <c r="P523" s="1430"/>
      <c r="Q523" s="1430"/>
      <c r="R523" s="1430"/>
      <c r="S523" s="1430"/>
      <c r="T523" s="1430"/>
      <c r="U523" s="1430"/>
      <c r="V523" s="1430"/>
      <c r="W523" s="1430"/>
      <c r="X523" s="1430"/>
      <c r="Y523" s="1430"/>
      <c r="Z523" s="1430"/>
      <c r="AA523" s="1430"/>
      <c r="AB523" s="1430"/>
      <c r="AC523" s="1430"/>
      <c r="AD523" s="1430"/>
      <c r="AE523" s="1430"/>
      <c r="AF523" s="1430"/>
      <c r="AG523" s="1430"/>
      <c r="AH523" s="1430"/>
      <c r="AI523" s="1430"/>
      <c r="AJ523" s="1430"/>
      <c r="AK523" s="1430"/>
      <c r="AL523" s="1430"/>
      <c r="AM523" s="1430"/>
      <c r="AN523" s="1430"/>
      <c r="AO523" s="1430"/>
      <c r="AP523" s="1430"/>
      <c r="AQ523" s="1430"/>
      <c r="AR523" s="1430"/>
      <c r="AS523" s="1430"/>
      <c r="AT523" s="1430"/>
      <c r="AU523" s="1430"/>
      <c r="AV523" s="1430"/>
      <c r="AW523" s="1430"/>
      <c r="AX523" s="1430"/>
      <c r="AY523" s="1430"/>
      <c r="AZ523" s="1430"/>
      <c r="BA523" s="1430"/>
      <c r="BB523" s="1430"/>
      <c r="BC523" s="1430"/>
      <c r="BD523" s="1422"/>
      <c r="BE523" s="1929"/>
      <c r="BF523" s="1929"/>
      <c r="BG523" s="1929"/>
      <c r="BH523" s="1530"/>
      <c r="BI523" s="1930"/>
      <c r="BJ523" s="1930"/>
      <c r="BK523" s="1930"/>
      <c r="BL523" s="1930"/>
      <c r="BM523" s="1930"/>
      <c r="BN523" s="1930"/>
      <c r="BO523" s="1930"/>
      <c r="BP523" s="1930"/>
      <c r="BQ523" s="1930"/>
      <c r="BR523" s="1930"/>
      <c r="BS523" s="1930"/>
      <c r="BT523" s="1930"/>
      <c r="BU523" s="1930"/>
      <c r="BV523" s="1930"/>
      <c r="BW523" s="1930"/>
      <c r="BX523" s="1930"/>
      <c r="BY523" s="1930"/>
      <c r="BZ523" s="1930"/>
      <c r="CA523" s="1930"/>
      <c r="CB523" s="1930"/>
      <c r="CC523" s="1930"/>
      <c r="CD523" s="1930"/>
      <c r="CE523" s="1930"/>
      <c r="CF523" s="1930"/>
      <c r="CG523" s="1930"/>
      <c r="CH523" s="1930"/>
      <c r="CI523" s="1930"/>
      <c r="CJ523" s="1930"/>
      <c r="CK523" s="1930"/>
      <c r="CL523" s="1930"/>
      <c r="CM523" s="1930"/>
      <c r="CN523" s="1930"/>
      <c r="CO523" s="1930"/>
      <c r="CP523" s="1930"/>
      <c r="CQ523" s="1930"/>
      <c r="CR523" s="1930"/>
      <c r="CS523" s="1930"/>
      <c r="CT523" s="1930"/>
      <c r="CU523" s="1930"/>
      <c r="CV523" s="1930"/>
      <c r="CW523" s="1930"/>
      <c r="CX523" s="1930"/>
      <c r="CY523" s="1930"/>
      <c r="CZ523" s="1930"/>
      <c r="DA523" s="1930"/>
      <c r="DB523" s="1930"/>
      <c r="DC523" s="1930"/>
      <c r="DD523" s="1930"/>
      <c r="DE523" s="1930"/>
      <c r="DF523" s="1930"/>
      <c r="DG523" s="1530"/>
      <c r="DH523" s="1530"/>
      <c r="DI523" s="1422"/>
      <c r="DJ523" s="1428"/>
      <c r="DK523" s="1428"/>
      <c r="DL523" s="1428"/>
      <c r="DM523" s="1428"/>
      <c r="DN523" s="1428"/>
      <c r="DO523" s="1428"/>
      <c r="DP523" s="1428"/>
      <c r="DQ523" s="1422"/>
      <c r="DR523" s="1428"/>
      <c r="DS523" s="1428"/>
      <c r="DT523" s="1428"/>
      <c r="DU523" s="1428"/>
      <c r="DV523" s="1428"/>
      <c r="DW523" s="1428"/>
      <c r="DX523" s="1428"/>
      <c r="DY523" s="1428"/>
      <c r="DZ523" s="1428"/>
      <c r="EA523" s="1428"/>
      <c r="EB523" s="1428"/>
      <c r="EC523" s="1428"/>
      <c r="ED523" s="1428"/>
      <c r="EE523" s="1428"/>
      <c r="EF523" s="1428"/>
      <c r="EG523" s="1428"/>
      <c r="EH523" s="1428"/>
      <c r="EI523" s="1428"/>
      <c r="EJ523" s="1428"/>
      <c r="EK523" s="1428"/>
      <c r="EL523" s="1428"/>
      <c r="EM523" s="1428"/>
      <c r="EN523" s="1428"/>
      <c r="EO523" s="1428"/>
      <c r="EP523" s="1428"/>
      <c r="EQ523" s="1428"/>
      <c r="ER523" s="1428"/>
      <c r="ES523" s="1428"/>
      <c r="ET523" s="1428"/>
      <c r="EU523" s="1428"/>
    </row>
    <row r="524" spans="1:151" s="1720" customFormat="1">
      <c r="A524" s="1455"/>
      <c r="B524" s="1422"/>
      <c r="C524" s="1422"/>
      <c r="D524" s="1422"/>
      <c r="E524" s="1422"/>
      <c r="F524" s="1422"/>
      <c r="G524" s="1422"/>
      <c r="H524" s="1422"/>
      <c r="I524" s="1440"/>
      <c r="J524" s="1440"/>
      <c r="K524" s="1440"/>
      <c r="L524" s="1422"/>
      <c r="M524" s="1422"/>
      <c r="N524" s="1430"/>
      <c r="O524" s="1430"/>
      <c r="P524" s="1430"/>
      <c r="Q524" s="1430"/>
      <c r="R524" s="1430"/>
      <c r="S524" s="1430"/>
      <c r="T524" s="1430"/>
      <c r="U524" s="1430"/>
      <c r="V524" s="1430"/>
      <c r="W524" s="1430"/>
      <c r="X524" s="1430"/>
      <c r="Y524" s="1430"/>
      <c r="Z524" s="1430"/>
      <c r="AA524" s="1430"/>
      <c r="AB524" s="1430"/>
      <c r="AC524" s="1430"/>
      <c r="AD524" s="1430"/>
      <c r="AE524" s="1430"/>
      <c r="AF524" s="1430"/>
      <c r="AG524" s="1430"/>
      <c r="AH524" s="1430"/>
      <c r="AI524" s="1430"/>
      <c r="AJ524" s="1430"/>
      <c r="AK524" s="1430"/>
      <c r="AL524" s="1430"/>
      <c r="AM524" s="1430"/>
      <c r="AN524" s="1430"/>
      <c r="AO524" s="1430"/>
      <c r="AP524" s="1430"/>
      <c r="AQ524" s="1430"/>
      <c r="AR524" s="1430"/>
      <c r="AS524" s="1430"/>
      <c r="AT524" s="1430"/>
      <c r="AU524" s="1430"/>
      <c r="AV524" s="1430"/>
      <c r="AW524" s="1430"/>
      <c r="AX524" s="1430"/>
      <c r="AY524" s="1430"/>
      <c r="AZ524" s="1430"/>
      <c r="BA524" s="1430"/>
      <c r="BB524" s="1430"/>
      <c r="BC524" s="1430"/>
      <c r="BD524" s="1422"/>
      <c r="BE524" s="1929"/>
      <c r="BF524" s="1929"/>
      <c r="BG524" s="1929"/>
      <c r="BH524" s="1530"/>
      <c r="BI524" s="1930"/>
      <c r="BJ524" s="1930"/>
      <c r="BK524" s="1930"/>
      <c r="BL524" s="1930"/>
      <c r="BM524" s="1930"/>
      <c r="BN524" s="1930"/>
      <c r="BO524" s="1930"/>
      <c r="BP524" s="1930"/>
      <c r="BQ524" s="1930"/>
      <c r="BR524" s="1930"/>
      <c r="BS524" s="1930"/>
      <c r="BT524" s="1930"/>
      <c r="BU524" s="1930"/>
      <c r="BV524" s="1930"/>
      <c r="BW524" s="1930"/>
      <c r="BX524" s="1930"/>
      <c r="BY524" s="1930"/>
      <c r="BZ524" s="1930"/>
      <c r="CA524" s="1930"/>
      <c r="CB524" s="1930"/>
      <c r="CC524" s="1930"/>
      <c r="CD524" s="1930"/>
      <c r="CE524" s="1930"/>
      <c r="CF524" s="1930"/>
      <c r="CG524" s="1930"/>
      <c r="CH524" s="1930"/>
      <c r="CI524" s="1930"/>
      <c r="CJ524" s="1930"/>
      <c r="CK524" s="1930"/>
      <c r="CL524" s="1930"/>
      <c r="CM524" s="1930"/>
      <c r="CN524" s="1930"/>
      <c r="CO524" s="1930"/>
      <c r="CP524" s="1930"/>
      <c r="CQ524" s="1930"/>
      <c r="CR524" s="1930"/>
      <c r="CS524" s="1930"/>
      <c r="CT524" s="1930"/>
      <c r="CU524" s="1930"/>
      <c r="CV524" s="1930"/>
      <c r="CW524" s="1930"/>
      <c r="CX524" s="1930"/>
      <c r="CY524" s="1930"/>
      <c r="CZ524" s="1930"/>
      <c r="DA524" s="1930"/>
      <c r="DB524" s="1930"/>
      <c r="DC524" s="1930"/>
      <c r="DD524" s="1930"/>
      <c r="DE524" s="1930"/>
      <c r="DF524" s="1930"/>
      <c r="DG524" s="1530"/>
      <c r="DH524" s="1530"/>
      <c r="DI524" s="1422"/>
      <c r="DJ524" s="1428"/>
      <c r="DK524" s="1428"/>
      <c r="DL524" s="1428"/>
      <c r="DM524" s="1428"/>
      <c r="DN524" s="1428"/>
      <c r="DO524" s="1428"/>
      <c r="DP524" s="1428"/>
      <c r="DQ524" s="1422"/>
      <c r="DR524" s="1428"/>
      <c r="DS524" s="1428"/>
      <c r="DT524" s="1428"/>
      <c r="DU524" s="1428"/>
      <c r="DV524" s="1428"/>
      <c r="DW524" s="1428"/>
      <c r="DX524" s="1428"/>
      <c r="DY524" s="1428"/>
      <c r="DZ524" s="1428"/>
      <c r="EA524" s="1428"/>
      <c r="EB524" s="1428"/>
      <c r="EC524" s="1428"/>
      <c r="ED524" s="1428"/>
      <c r="EE524" s="1428"/>
      <c r="EF524" s="1428"/>
      <c r="EG524" s="1428"/>
      <c r="EH524" s="1428"/>
      <c r="EI524" s="1428"/>
      <c r="EJ524" s="1428"/>
      <c r="EK524" s="1428"/>
      <c r="EL524" s="1428"/>
      <c r="EM524" s="1428"/>
      <c r="EN524" s="1428"/>
      <c r="EO524" s="1428"/>
      <c r="EP524" s="1428"/>
      <c r="EQ524" s="1428"/>
      <c r="ER524" s="1428"/>
      <c r="ES524" s="1428"/>
      <c r="ET524" s="1428"/>
      <c r="EU524" s="1428"/>
    </row>
    <row r="525" spans="1:151" s="1720" customFormat="1">
      <c r="A525" s="1455"/>
      <c r="B525" s="1422"/>
      <c r="C525" s="1422"/>
      <c r="D525" s="1422"/>
      <c r="E525" s="1422"/>
      <c r="F525" s="1422"/>
      <c r="G525" s="1422"/>
      <c r="H525" s="1422"/>
      <c r="I525" s="1440"/>
      <c r="J525" s="1440"/>
      <c r="K525" s="1440"/>
      <c r="L525" s="1422"/>
      <c r="M525" s="1422"/>
      <c r="N525" s="1430"/>
      <c r="O525" s="1430"/>
      <c r="P525" s="1430"/>
      <c r="Q525" s="1430"/>
      <c r="R525" s="1430"/>
      <c r="S525" s="1430"/>
      <c r="T525" s="1430"/>
      <c r="U525" s="1430"/>
      <c r="V525" s="1430"/>
      <c r="W525" s="1430"/>
      <c r="X525" s="1430"/>
      <c r="Y525" s="1430"/>
      <c r="Z525" s="1430"/>
      <c r="AA525" s="1430"/>
      <c r="AB525" s="1430"/>
      <c r="AC525" s="1430"/>
      <c r="AD525" s="1430"/>
      <c r="AE525" s="1430"/>
      <c r="AF525" s="1430"/>
      <c r="AG525" s="1430"/>
      <c r="AH525" s="1430"/>
      <c r="AI525" s="1430"/>
      <c r="AJ525" s="1430"/>
      <c r="AK525" s="1430"/>
      <c r="AL525" s="1430"/>
      <c r="AM525" s="1430"/>
      <c r="AN525" s="1430"/>
      <c r="AO525" s="1430"/>
      <c r="AP525" s="1430"/>
      <c r="AQ525" s="1430"/>
      <c r="AR525" s="1430"/>
      <c r="AS525" s="1430"/>
      <c r="AT525" s="1430"/>
      <c r="AU525" s="1430"/>
      <c r="AV525" s="1430"/>
      <c r="AW525" s="1430"/>
      <c r="AX525" s="1430"/>
      <c r="AY525" s="1430"/>
      <c r="AZ525" s="1430"/>
      <c r="BA525" s="1430"/>
      <c r="BB525" s="1430"/>
      <c r="BC525" s="1430"/>
      <c r="BD525" s="1422"/>
      <c r="BE525" s="1929"/>
      <c r="BF525" s="1929"/>
      <c r="BG525" s="1929"/>
      <c r="BH525" s="1530"/>
      <c r="BI525" s="1930"/>
      <c r="BJ525" s="1930"/>
      <c r="BK525" s="1930"/>
      <c r="BL525" s="1930"/>
      <c r="BM525" s="1930"/>
      <c r="BN525" s="1930"/>
      <c r="BO525" s="1930"/>
      <c r="BP525" s="1930"/>
      <c r="BQ525" s="1930"/>
      <c r="BR525" s="1930"/>
      <c r="BS525" s="1930"/>
      <c r="BT525" s="1930"/>
      <c r="BU525" s="1930"/>
      <c r="BV525" s="1930"/>
      <c r="BW525" s="1930"/>
      <c r="BX525" s="1930"/>
      <c r="BY525" s="1930"/>
      <c r="BZ525" s="1930"/>
      <c r="CA525" s="1930"/>
      <c r="CB525" s="1930"/>
      <c r="CC525" s="1930"/>
      <c r="CD525" s="1930"/>
      <c r="CE525" s="1930"/>
      <c r="CF525" s="1930"/>
      <c r="CG525" s="1930"/>
      <c r="CH525" s="1930"/>
      <c r="CI525" s="1930"/>
      <c r="CJ525" s="1930"/>
      <c r="CK525" s="1930"/>
      <c r="CL525" s="1930"/>
      <c r="CM525" s="1930"/>
      <c r="CN525" s="1930"/>
      <c r="CO525" s="1930"/>
      <c r="CP525" s="1930"/>
      <c r="CQ525" s="1930"/>
      <c r="CR525" s="1930"/>
      <c r="CS525" s="1930"/>
      <c r="CT525" s="1930"/>
      <c r="CU525" s="1930"/>
      <c r="CV525" s="1930"/>
      <c r="CW525" s="1930"/>
      <c r="CX525" s="1930"/>
      <c r="CY525" s="1930"/>
      <c r="CZ525" s="1930"/>
      <c r="DA525" s="1930"/>
      <c r="DB525" s="1930"/>
      <c r="DC525" s="1930"/>
      <c r="DD525" s="1930"/>
      <c r="DE525" s="1930"/>
      <c r="DF525" s="1930"/>
      <c r="DG525" s="1530"/>
      <c r="DH525" s="1530"/>
      <c r="DI525" s="1422"/>
      <c r="DJ525" s="1428"/>
      <c r="DK525" s="1428"/>
      <c r="DL525" s="1428"/>
      <c r="DM525" s="1428"/>
      <c r="DN525" s="1428"/>
      <c r="DO525" s="1428"/>
      <c r="DP525" s="1428"/>
      <c r="DQ525" s="1422"/>
      <c r="DR525" s="1428"/>
      <c r="DS525" s="1428"/>
      <c r="DT525" s="1428"/>
      <c r="DU525" s="1428"/>
      <c r="DV525" s="1428"/>
      <c r="DW525" s="1428"/>
      <c r="DX525" s="1428"/>
      <c r="DY525" s="1428"/>
      <c r="DZ525" s="1428"/>
      <c r="EA525" s="1428"/>
      <c r="EB525" s="1428"/>
      <c r="EC525" s="1428"/>
      <c r="ED525" s="1428"/>
      <c r="EE525" s="1428"/>
      <c r="EF525" s="1428"/>
      <c r="EG525" s="1428"/>
      <c r="EH525" s="1428"/>
      <c r="EI525" s="1428"/>
      <c r="EJ525" s="1428"/>
      <c r="EK525" s="1428"/>
      <c r="EL525" s="1428"/>
      <c r="EM525" s="1428"/>
      <c r="EN525" s="1428"/>
      <c r="EO525" s="1428"/>
      <c r="EP525" s="1428"/>
      <c r="EQ525" s="1428"/>
      <c r="ER525" s="1428"/>
      <c r="ES525" s="1428"/>
      <c r="ET525" s="1428"/>
      <c r="EU525" s="1428"/>
    </row>
    <row r="526" spans="1:151" s="1720" customFormat="1">
      <c r="A526" s="1455"/>
      <c r="B526" s="1422"/>
      <c r="C526" s="1422"/>
      <c r="D526" s="1422"/>
      <c r="E526" s="1422"/>
      <c r="F526" s="1422"/>
      <c r="G526" s="1422"/>
      <c r="H526" s="1422"/>
      <c r="I526" s="1440"/>
      <c r="J526" s="1440"/>
      <c r="K526" s="1440"/>
      <c r="L526" s="1422"/>
      <c r="M526" s="1422"/>
      <c r="N526" s="1430"/>
      <c r="O526" s="1430"/>
      <c r="P526" s="1430"/>
      <c r="Q526" s="1430"/>
      <c r="R526" s="1430"/>
      <c r="S526" s="1430"/>
      <c r="T526" s="1430"/>
      <c r="U526" s="1430"/>
      <c r="V526" s="1430"/>
      <c r="W526" s="1430"/>
      <c r="X526" s="1430"/>
      <c r="Y526" s="1430"/>
      <c r="Z526" s="1430"/>
      <c r="AA526" s="1430"/>
      <c r="AB526" s="1430"/>
      <c r="AC526" s="1430"/>
      <c r="AD526" s="1430"/>
      <c r="AE526" s="1430"/>
      <c r="AF526" s="1430"/>
      <c r="AG526" s="1430"/>
      <c r="AH526" s="1430"/>
      <c r="AI526" s="1430"/>
      <c r="AJ526" s="1430"/>
      <c r="AK526" s="1430"/>
      <c r="AL526" s="1430"/>
      <c r="AM526" s="1430"/>
      <c r="AN526" s="1430"/>
      <c r="AO526" s="1430"/>
      <c r="AP526" s="1430"/>
      <c r="AQ526" s="1430"/>
      <c r="AR526" s="1430"/>
      <c r="AS526" s="1430"/>
      <c r="AT526" s="1430"/>
      <c r="AU526" s="1430"/>
      <c r="AV526" s="1430"/>
      <c r="AW526" s="1430"/>
      <c r="AX526" s="1430"/>
      <c r="AY526" s="1430"/>
      <c r="AZ526" s="1430"/>
      <c r="BA526" s="1430"/>
      <c r="BB526" s="1430"/>
      <c r="BC526" s="1430"/>
      <c r="BD526" s="1422"/>
      <c r="BE526" s="1929"/>
      <c r="BF526" s="1929"/>
      <c r="BG526" s="1929"/>
      <c r="BH526" s="1530"/>
      <c r="BI526" s="1930"/>
      <c r="BJ526" s="1930"/>
      <c r="BK526" s="1930"/>
      <c r="BL526" s="1930"/>
      <c r="BM526" s="1930"/>
      <c r="BN526" s="1930"/>
      <c r="BO526" s="1930"/>
      <c r="BP526" s="1930"/>
      <c r="BQ526" s="1930"/>
      <c r="BR526" s="1930"/>
      <c r="BS526" s="1930"/>
      <c r="BT526" s="1930"/>
      <c r="BU526" s="1930"/>
      <c r="BV526" s="1930"/>
      <c r="BW526" s="1930"/>
      <c r="BX526" s="1930"/>
      <c r="BY526" s="1930"/>
      <c r="BZ526" s="1930"/>
      <c r="CA526" s="1930"/>
      <c r="CB526" s="1930"/>
      <c r="CC526" s="1930"/>
      <c r="CD526" s="1930"/>
      <c r="CE526" s="1930"/>
      <c r="CF526" s="1930"/>
      <c r="CG526" s="1930"/>
      <c r="CH526" s="1930"/>
      <c r="CI526" s="1930"/>
      <c r="CJ526" s="1930"/>
      <c r="CK526" s="1930"/>
      <c r="CL526" s="1930"/>
      <c r="CM526" s="1930"/>
      <c r="CN526" s="1930"/>
      <c r="CO526" s="1930"/>
      <c r="CP526" s="1930"/>
      <c r="CQ526" s="1930"/>
      <c r="CR526" s="1930"/>
      <c r="CS526" s="1930"/>
      <c r="CT526" s="1930"/>
      <c r="CU526" s="1930"/>
      <c r="CV526" s="1930"/>
      <c r="CW526" s="1930"/>
      <c r="CX526" s="1930"/>
      <c r="CY526" s="1930"/>
      <c r="CZ526" s="1930"/>
      <c r="DA526" s="1930"/>
      <c r="DB526" s="1930"/>
      <c r="DC526" s="1930"/>
      <c r="DD526" s="1930"/>
      <c r="DE526" s="1930"/>
      <c r="DF526" s="1930"/>
      <c r="DG526" s="1530"/>
      <c r="DH526" s="1530"/>
      <c r="DI526" s="1422"/>
      <c r="DJ526" s="1428"/>
      <c r="DK526" s="1428"/>
      <c r="DL526" s="1428"/>
      <c r="DM526" s="1428"/>
      <c r="DN526" s="1428"/>
      <c r="DO526" s="1428"/>
      <c r="DP526" s="1428"/>
      <c r="DQ526" s="1422"/>
      <c r="DR526" s="1428"/>
      <c r="DS526" s="1428"/>
      <c r="DT526" s="1428"/>
      <c r="DU526" s="1428"/>
      <c r="DV526" s="1428"/>
      <c r="DW526" s="1428"/>
      <c r="DX526" s="1428"/>
      <c r="DY526" s="1428"/>
      <c r="DZ526" s="1428"/>
      <c r="EA526" s="1428"/>
      <c r="EB526" s="1428"/>
      <c r="EC526" s="1428"/>
      <c r="ED526" s="1428"/>
      <c r="EE526" s="1428"/>
      <c r="EF526" s="1428"/>
      <c r="EG526" s="1428"/>
      <c r="EH526" s="1428"/>
      <c r="EI526" s="1428"/>
      <c r="EJ526" s="1428"/>
      <c r="EK526" s="1428"/>
      <c r="EL526" s="1428"/>
      <c r="EM526" s="1428"/>
      <c r="EN526" s="1428"/>
      <c r="EO526" s="1428"/>
      <c r="EP526" s="1428"/>
      <c r="EQ526" s="1428"/>
      <c r="ER526" s="1428"/>
      <c r="ES526" s="1428"/>
      <c r="ET526" s="1428"/>
      <c r="EU526" s="1428"/>
    </row>
    <row r="527" spans="1:151" s="1720" customFormat="1">
      <c r="A527" s="1455"/>
      <c r="B527" s="1422"/>
      <c r="C527" s="1422"/>
      <c r="D527" s="1422"/>
      <c r="E527" s="1422"/>
      <c r="F527" s="1422"/>
      <c r="G527" s="1422"/>
      <c r="H527" s="1422"/>
      <c r="I527" s="1440"/>
      <c r="J527" s="1440"/>
      <c r="K527" s="1440"/>
      <c r="L527" s="1422"/>
      <c r="M527" s="1422"/>
      <c r="N527" s="1430"/>
      <c r="O527" s="1430"/>
      <c r="P527" s="1430"/>
      <c r="Q527" s="1430"/>
      <c r="R527" s="1430"/>
      <c r="S527" s="1430"/>
      <c r="T527" s="1430"/>
      <c r="U527" s="1430"/>
      <c r="V527" s="1430"/>
      <c r="W527" s="1430"/>
      <c r="X527" s="1430"/>
      <c r="Y527" s="1430"/>
      <c r="Z527" s="1430"/>
      <c r="AA527" s="1430"/>
      <c r="AB527" s="1430"/>
      <c r="AC527" s="1430"/>
      <c r="AD527" s="1430"/>
      <c r="AE527" s="1430"/>
      <c r="AF527" s="1430"/>
      <c r="AG527" s="1430"/>
      <c r="AH527" s="1430"/>
      <c r="AI527" s="1430"/>
      <c r="AJ527" s="1430"/>
      <c r="AK527" s="1430"/>
      <c r="AL527" s="1430"/>
      <c r="AM527" s="1430"/>
      <c r="AN527" s="1430"/>
      <c r="AO527" s="1430"/>
      <c r="AP527" s="1430"/>
      <c r="AQ527" s="1430"/>
      <c r="AR527" s="1430"/>
      <c r="AS527" s="1430"/>
      <c r="AT527" s="1430"/>
      <c r="AU527" s="1430"/>
      <c r="AV527" s="1430"/>
      <c r="AW527" s="1430"/>
      <c r="AX527" s="1430"/>
      <c r="AY527" s="1430"/>
      <c r="AZ527" s="1430"/>
      <c r="BA527" s="1430"/>
      <c r="BB527" s="1430"/>
      <c r="BC527" s="1430"/>
      <c r="BD527" s="1422"/>
      <c r="BE527" s="1929"/>
      <c r="BF527" s="1929"/>
      <c r="BG527" s="1929"/>
      <c r="BH527" s="1530"/>
      <c r="BI527" s="1930"/>
      <c r="BJ527" s="1930"/>
      <c r="BK527" s="1930"/>
      <c r="BL527" s="1930"/>
      <c r="BM527" s="1930"/>
      <c r="BN527" s="1930"/>
      <c r="BO527" s="1930"/>
      <c r="BP527" s="1930"/>
      <c r="BQ527" s="1930"/>
      <c r="BR527" s="1930"/>
      <c r="BS527" s="1930"/>
      <c r="BT527" s="1930"/>
      <c r="BU527" s="1930"/>
      <c r="BV527" s="1930"/>
      <c r="BW527" s="1930"/>
      <c r="BX527" s="1930"/>
      <c r="BY527" s="1930"/>
      <c r="BZ527" s="1930"/>
      <c r="CA527" s="1930"/>
      <c r="CB527" s="1930"/>
      <c r="CC527" s="1930"/>
      <c r="CD527" s="1930"/>
      <c r="CE527" s="1930"/>
      <c r="CF527" s="1930"/>
      <c r="CG527" s="1930"/>
      <c r="CH527" s="1930"/>
      <c r="CI527" s="1930"/>
      <c r="CJ527" s="1930"/>
      <c r="CK527" s="1930"/>
      <c r="CL527" s="1930"/>
      <c r="CM527" s="1930"/>
      <c r="CN527" s="1930"/>
      <c r="CO527" s="1930"/>
      <c r="CP527" s="1930"/>
      <c r="CQ527" s="1930"/>
      <c r="CR527" s="1930"/>
      <c r="CS527" s="1930"/>
      <c r="CT527" s="1930"/>
      <c r="CU527" s="1930"/>
      <c r="CV527" s="1930"/>
      <c r="CW527" s="1930"/>
      <c r="CX527" s="1930"/>
      <c r="CY527" s="1930"/>
      <c r="CZ527" s="1930"/>
      <c r="DA527" s="1930"/>
      <c r="DB527" s="1930"/>
      <c r="DC527" s="1930"/>
      <c r="DD527" s="1930"/>
      <c r="DE527" s="1930"/>
      <c r="DF527" s="1930"/>
      <c r="DG527" s="1530"/>
      <c r="DH527" s="1530"/>
      <c r="DI527" s="1422"/>
      <c r="DJ527" s="1428"/>
      <c r="DK527" s="1428"/>
      <c r="DL527" s="1428"/>
      <c r="DM527" s="1428"/>
      <c r="DN527" s="1428"/>
      <c r="DO527" s="1428"/>
      <c r="DP527" s="1428"/>
      <c r="DQ527" s="1422"/>
      <c r="DR527" s="1428"/>
      <c r="DS527" s="1428"/>
      <c r="DT527" s="1428"/>
      <c r="DU527" s="1428"/>
      <c r="DV527" s="1428"/>
      <c r="DW527" s="1428"/>
      <c r="DX527" s="1428"/>
      <c r="DY527" s="1428"/>
      <c r="DZ527" s="1428"/>
      <c r="EA527" s="1428"/>
      <c r="EB527" s="1428"/>
      <c r="EC527" s="1428"/>
      <c r="ED527" s="1428"/>
      <c r="EE527" s="1428"/>
      <c r="EF527" s="1428"/>
      <c r="EG527" s="1428"/>
      <c r="EH527" s="1428"/>
      <c r="EI527" s="1428"/>
      <c r="EJ527" s="1428"/>
      <c r="EK527" s="1428"/>
      <c r="EL527" s="1428"/>
      <c r="EM527" s="1428"/>
      <c r="EN527" s="1428"/>
      <c r="EO527" s="1428"/>
      <c r="EP527" s="1428"/>
      <c r="EQ527" s="1428"/>
      <c r="ER527" s="1428"/>
      <c r="ES527" s="1428"/>
      <c r="ET527" s="1428"/>
      <c r="EU527" s="1428"/>
    </row>
    <row r="528" spans="1:151">
      <c r="BE528" s="1929"/>
      <c r="BF528" s="1929"/>
      <c r="BG528" s="1929"/>
    </row>
    <row r="529" spans="57:59">
      <c r="BE529" s="1929"/>
      <c r="BF529" s="1929"/>
      <c r="BG529" s="1929"/>
    </row>
  </sheetData>
  <sheetProtection password="AD9B" sheet="1" objects="1" scenarios="1"/>
  <mergeCells count="377">
    <mergeCell ref="D2:J2"/>
    <mergeCell ref="N5:N6"/>
    <mergeCell ref="BE5:BI5"/>
    <mergeCell ref="BX5:BY5"/>
    <mergeCell ref="BE6:BI6"/>
    <mergeCell ref="BE7:BI7"/>
    <mergeCell ref="DN7:DP7"/>
    <mergeCell ref="D1:G1"/>
    <mergeCell ref="K1:L1"/>
    <mergeCell ref="P1:Q1"/>
    <mergeCell ref="BX3:BY3"/>
    <mergeCell ref="BE4:BI4"/>
    <mergeCell ref="BX4:BY4"/>
    <mergeCell ref="BE8:BI8"/>
    <mergeCell ref="DN8:DO8"/>
    <mergeCell ref="EQ8:ER8"/>
    <mergeCell ref="DN9:DO9"/>
    <mergeCell ref="DS9:DT10"/>
    <mergeCell ref="DU9:DV10"/>
    <mergeCell ref="DW9:DX10"/>
    <mergeCell ref="DY9:DZ10"/>
    <mergeCell ref="EA9:EB10"/>
    <mergeCell ref="EC9:ED10"/>
    <mergeCell ref="EQ9:ER10"/>
    <mergeCell ref="ES9:ET10"/>
    <mergeCell ref="B10:B11"/>
    <mergeCell ref="C10:C11"/>
    <mergeCell ref="D10:E11"/>
    <mergeCell ref="F10:F11"/>
    <mergeCell ref="G10:G11"/>
    <mergeCell ref="DS11:DT13"/>
    <mergeCell ref="DU11:DV13"/>
    <mergeCell ref="DW11:DX13"/>
    <mergeCell ref="EE9:EF10"/>
    <mergeCell ref="EG9:EH10"/>
    <mergeCell ref="EI9:EJ10"/>
    <mergeCell ref="EK9:EL10"/>
    <mergeCell ref="EM9:EN10"/>
    <mergeCell ref="EO9:EP10"/>
    <mergeCell ref="EQ11:ER13"/>
    <mergeCell ref="ES11:ET13"/>
    <mergeCell ref="D12:E12"/>
    <mergeCell ref="D13:E13"/>
    <mergeCell ref="DY11:DZ13"/>
    <mergeCell ref="EA11:EB13"/>
    <mergeCell ref="EC11:ED13"/>
    <mergeCell ref="EE11:EF13"/>
    <mergeCell ref="EG11:EH13"/>
    <mergeCell ref="D16:E16"/>
    <mergeCell ref="DN16:DO16"/>
    <mergeCell ref="BY15:CA15"/>
    <mergeCell ref="CB15:CD15"/>
    <mergeCell ref="CE15:CG15"/>
    <mergeCell ref="CH15:CJ15"/>
    <mergeCell ref="CK15:CM15"/>
    <mergeCell ref="CN15:CP15"/>
    <mergeCell ref="EI11:EJ13"/>
    <mergeCell ref="D14:E14"/>
    <mergeCell ref="D15:E15"/>
    <mergeCell ref="BE15:BI15"/>
    <mergeCell ref="BP15:BR15"/>
    <mergeCell ref="BS15:BU15"/>
    <mergeCell ref="BV15:BX15"/>
    <mergeCell ref="EO11:EP13"/>
    <mergeCell ref="CQ15:CS15"/>
    <mergeCell ref="CT15:CV15"/>
    <mergeCell ref="CW15:CY15"/>
    <mergeCell ref="DN15:DO15"/>
    <mergeCell ref="EK11:EL13"/>
    <mergeCell ref="EM11:EN13"/>
    <mergeCell ref="CH18:CH19"/>
    <mergeCell ref="BS18:BS19"/>
    <mergeCell ref="BT18:BT19"/>
    <mergeCell ref="BU18:BU19"/>
    <mergeCell ref="BV18:BV19"/>
    <mergeCell ref="DN18:DO18"/>
    <mergeCell ref="D17:E17"/>
    <mergeCell ref="DN17:DO17"/>
    <mergeCell ref="D18:E18"/>
    <mergeCell ref="BE18:BE19"/>
    <mergeCell ref="BF18:BF19"/>
    <mergeCell ref="BG18:BG19"/>
    <mergeCell ref="BH18:BH19"/>
    <mergeCell ref="BI18:BI19"/>
    <mergeCell ref="BJ18:BJ19"/>
    <mergeCell ref="BK18:BK19"/>
    <mergeCell ref="CI18:CI19"/>
    <mergeCell ref="BX18:BX19"/>
    <mergeCell ref="BY18:BY19"/>
    <mergeCell ref="BZ18:BZ19"/>
    <mergeCell ref="CA18:CA19"/>
    <mergeCell ref="CB18:CB19"/>
    <mergeCell ref="CC18:CC19"/>
    <mergeCell ref="BR18:BR19"/>
    <mergeCell ref="BW18:BW19"/>
    <mergeCell ref="BM18:BM19"/>
    <mergeCell ref="BN18:BN19"/>
    <mergeCell ref="BO18:BO19"/>
    <mergeCell ref="BP18:BP19"/>
    <mergeCell ref="BQ18:BQ19"/>
    <mergeCell ref="D19:E19"/>
    <mergeCell ref="DN19:DO19"/>
    <mergeCell ref="CP18:CP19"/>
    <mergeCell ref="CQ18:CQ19"/>
    <mergeCell ref="CR18:CR19"/>
    <mergeCell ref="CS18:CS19"/>
    <mergeCell ref="CT18:CT19"/>
    <mergeCell ref="CU18:CU19"/>
    <mergeCell ref="CJ18:CJ19"/>
    <mergeCell ref="CK18:CK19"/>
    <mergeCell ref="CL18:CL19"/>
    <mergeCell ref="CM18:CM19"/>
    <mergeCell ref="CN18:CN19"/>
    <mergeCell ref="CO18:CO19"/>
    <mergeCell ref="CD18:CD19"/>
    <mergeCell ref="CE18:CE19"/>
    <mergeCell ref="CF18:CF19"/>
    <mergeCell ref="CG18:CG19"/>
    <mergeCell ref="CV18:CV19"/>
    <mergeCell ref="CW18:CW19"/>
    <mergeCell ref="CX18:CX19"/>
    <mergeCell ref="CY18:CY19"/>
    <mergeCell ref="BL18:BL19"/>
    <mergeCell ref="D27:E27"/>
    <mergeCell ref="B31:C31"/>
    <mergeCell ref="D31:E31"/>
    <mergeCell ref="D20:E20"/>
    <mergeCell ref="DN20:DO20"/>
    <mergeCell ref="D21:E21"/>
    <mergeCell ref="DN21:DO21"/>
    <mergeCell ref="D22:E22"/>
    <mergeCell ref="DN22:DO22"/>
    <mergeCell ref="D23:E23"/>
    <mergeCell ref="D24:E24"/>
    <mergeCell ref="D25:E25"/>
    <mergeCell ref="D26:E26"/>
    <mergeCell ref="X57:X58"/>
    <mergeCell ref="Y57:Y58"/>
    <mergeCell ref="Z57:Z58"/>
    <mergeCell ref="AA57:AA58"/>
    <mergeCell ref="B32:C32"/>
    <mergeCell ref="D32:E32"/>
    <mergeCell ref="P56:Q56"/>
    <mergeCell ref="T56:W56"/>
    <mergeCell ref="X56:AA56"/>
    <mergeCell ref="B57:D57"/>
    <mergeCell ref="R57:R58"/>
    <mergeCell ref="S57:S58"/>
    <mergeCell ref="T57:T58"/>
    <mergeCell ref="U57:U58"/>
    <mergeCell ref="B58:D58"/>
    <mergeCell ref="B59:D59"/>
    <mergeCell ref="P59:Q59"/>
    <mergeCell ref="B60:D60"/>
    <mergeCell ref="P60:Q60"/>
    <mergeCell ref="B61:D61"/>
    <mergeCell ref="P61:Q61"/>
    <mergeCell ref="V57:V58"/>
    <mergeCell ref="W57:W58"/>
    <mergeCell ref="B68:D68"/>
    <mergeCell ref="B69:D69"/>
    <mergeCell ref="B70:D70"/>
    <mergeCell ref="B71:D71"/>
    <mergeCell ref="B72:D72"/>
    <mergeCell ref="B76:E76"/>
    <mergeCell ref="B62:E62"/>
    <mergeCell ref="P62:Q62"/>
    <mergeCell ref="B63:E63"/>
    <mergeCell ref="P63:Q63"/>
    <mergeCell ref="B64:E64"/>
    <mergeCell ref="B67:C67"/>
    <mergeCell ref="B85:C85"/>
    <mergeCell ref="B86:E86"/>
    <mergeCell ref="B87:E87"/>
    <mergeCell ref="B88:E88"/>
    <mergeCell ref="B91:D91"/>
    <mergeCell ref="E91:F91"/>
    <mergeCell ref="B77:E77"/>
    <mergeCell ref="B78:E78"/>
    <mergeCell ref="B81:C81"/>
    <mergeCell ref="B82:C82"/>
    <mergeCell ref="B83:C83"/>
    <mergeCell ref="B84:C84"/>
    <mergeCell ref="DL133:DP133"/>
    <mergeCell ref="DL134:DP134"/>
    <mergeCell ref="H135:I135"/>
    <mergeCell ref="DL135:DP135"/>
    <mergeCell ref="B92:D92"/>
    <mergeCell ref="B93:D93"/>
    <mergeCell ref="G93:I95"/>
    <mergeCell ref="B94:D94"/>
    <mergeCell ref="B95:D95"/>
    <mergeCell ref="B96:E96"/>
    <mergeCell ref="B136:D136"/>
    <mergeCell ref="E136:F136"/>
    <mergeCell ref="DJ138:DK138"/>
    <mergeCell ref="DJ139:DK139"/>
    <mergeCell ref="DJ140:DK140"/>
    <mergeCell ref="P141:T141"/>
    <mergeCell ref="V141:Z141"/>
    <mergeCell ref="B97:E97"/>
    <mergeCell ref="B98:E98"/>
    <mergeCell ref="B133:D133"/>
    <mergeCell ref="Y142:Y143"/>
    <mergeCell ref="Z142:Z143"/>
    <mergeCell ref="R157:S157"/>
    <mergeCell ref="X157:Y157"/>
    <mergeCell ref="C160:D161"/>
    <mergeCell ref="C162:D162"/>
    <mergeCell ref="P142:P143"/>
    <mergeCell ref="Q142:R142"/>
    <mergeCell ref="S142:S143"/>
    <mergeCell ref="T142:T143"/>
    <mergeCell ref="V142:V143"/>
    <mergeCell ref="W142:X142"/>
    <mergeCell ref="C169:D169"/>
    <mergeCell ref="C170:D170"/>
    <mergeCell ref="C171:D171"/>
    <mergeCell ref="C172:D172"/>
    <mergeCell ref="C173:D173"/>
    <mergeCell ref="C174:D174"/>
    <mergeCell ref="C163:D163"/>
    <mergeCell ref="C164:D164"/>
    <mergeCell ref="C165:D165"/>
    <mergeCell ref="C166:D166"/>
    <mergeCell ref="C167:D167"/>
    <mergeCell ref="C168:D168"/>
    <mergeCell ref="F199:G199"/>
    <mergeCell ref="I199:J199"/>
    <mergeCell ref="F200:G200"/>
    <mergeCell ref="I200:J200"/>
    <mergeCell ref="F201:G201"/>
    <mergeCell ref="I201:J201"/>
    <mergeCell ref="DN194:DO194"/>
    <mergeCell ref="F196:G196"/>
    <mergeCell ref="I196:J196"/>
    <mergeCell ref="F197:G197"/>
    <mergeCell ref="I197:J197"/>
    <mergeCell ref="F198:G198"/>
    <mergeCell ref="I198:J198"/>
    <mergeCell ref="X203:X204"/>
    <mergeCell ref="Y203:Y204"/>
    <mergeCell ref="Z203:Z204"/>
    <mergeCell ref="AA203:AA204"/>
    <mergeCell ref="P203:P204"/>
    <mergeCell ref="Q203:Q204"/>
    <mergeCell ref="R203:R204"/>
    <mergeCell ref="S203:S204"/>
    <mergeCell ref="T203:T204"/>
    <mergeCell ref="U203:U204"/>
    <mergeCell ref="AN203:AN204"/>
    <mergeCell ref="P222:T222"/>
    <mergeCell ref="U222:U224"/>
    <mergeCell ref="V222:X222"/>
    <mergeCell ref="AB222:AB224"/>
    <mergeCell ref="P223:P224"/>
    <mergeCell ref="Q223:Q224"/>
    <mergeCell ref="R223:R224"/>
    <mergeCell ref="S223:S224"/>
    <mergeCell ref="T223:T224"/>
    <mergeCell ref="AH203:AH204"/>
    <mergeCell ref="AI203:AI204"/>
    <mergeCell ref="AJ203:AJ204"/>
    <mergeCell ref="AK203:AK204"/>
    <mergeCell ref="AL203:AL204"/>
    <mergeCell ref="AM203:AM204"/>
    <mergeCell ref="AB203:AB204"/>
    <mergeCell ref="AC203:AC204"/>
    <mergeCell ref="AD203:AD204"/>
    <mergeCell ref="AE203:AE204"/>
    <mergeCell ref="AF203:AF204"/>
    <mergeCell ref="AG203:AG204"/>
    <mergeCell ref="V203:V204"/>
    <mergeCell ref="W203:W204"/>
    <mergeCell ref="AC223:AC224"/>
    <mergeCell ref="AD223:AD224"/>
    <mergeCell ref="AE223:AE224"/>
    <mergeCell ref="B226:C226"/>
    <mergeCell ref="B227:C227"/>
    <mergeCell ref="D230:E230"/>
    <mergeCell ref="V223:V224"/>
    <mergeCell ref="W223:W224"/>
    <mergeCell ref="X223:X224"/>
    <mergeCell ref="Y223:Y224"/>
    <mergeCell ref="Z223:Z224"/>
    <mergeCell ref="AA223:AA224"/>
    <mergeCell ref="DJ241:DK241"/>
    <mergeCell ref="DJ242:DK242"/>
    <mergeCell ref="B243:C243"/>
    <mergeCell ref="B244:C244"/>
    <mergeCell ref="B245:C245"/>
    <mergeCell ref="I254:J255"/>
    <mergeCell ref="K254:K255"/>
    <mergeCell ref="E255:F255"/>
    <mergeCell ref="B233:C233"/>
    <mergeCell ref="B235:C235"/>
    <mergeCell ref="B236:C236"/>
    <mergeCell ref="B238:C238"/>
    <mergeCell ref="B239:C239"/>
    <mergeCell ref="B240:C240"/>
    <mergeCell ref="I284:J284"/>
    <mergeCell ref="J285:J286"/>
    <mergeCell ref="K285:K286"/>
    <mergeCell ref="E290:F290"/>
    <mergeCell ref="DK290:DL290"/>
    <mergeCell ref="E291:F291"/>
    <mergeCell ref="E256:F256"/>
    <mergeCell ref="E257:F257"/>
    <mergeCell ref="E258:F258"/>
    <mergeCell ref="DJ261:DJ262"/>
    <mergeCell ref="DK261:DK262"/>
    <mergeCell ref="I282:J283"/>
    <mergeCell ref="K282:K283"/>
    <mergeCell ref="K311:L311"/>
    <mergeCell ref="DK318:DL318"/>
    <mergeCell ref="B329:C329"/>
    <mergeCell ref="F329:G329"/>
    <mergeCell ref="J329:K329"/>
    <mergeCell ref="B330:C330"/>
    <mergeCell ref="F330:G330"/>
    <mergeCell ref="J330:K330"/>
    <mergeCell ref="E292:F292"/>
    <mergeCell ref="E293:F293"/>
    <mergeCell ref="E294:F294"/>
    <mergeCell ref="B308:E308"/>
    <mergeCell ref="C311:D311"/>
    <mergeCell ref="G311:H311"/>
    <mergeCell ref="DJ363:DK363"/>
    <mergeCell ref="AB366:AB367"/>
    <mergeCell ref="B372:D372"/>
    <mergeCell ref="C373:C374"/>
    <mergeCell ref="D373:D374"/>
    <mergeCell ref="E373:E374"/>
    <mergeCell ref="F373:F374"/>
    <mergeCell ref="B331:D331"/>
    <mergeCell ref="F331:H331"/>
    <mergeCell ref="J331:L331"/>
    <mergeCell ref="Q331:AE331"/>
    <mergeCell ref="AG331:AV331"/>
    <mergeCell ref="U332:W332"/>
    <mergeCell ref="AK332:AM332"/>
    <mergeCell ref="AR392:AR398"/>
    <mergeCell ref="AV392:AV398"/>
    <mergeCell ref="B401:C401"/>
    <mergeCell ref="B405:D405"/>
    <mergeCell ref="C407:D407"/>
    <mergeCell ref="C408:D408"/>
    <mergeCell ref="B386:E386"/>
    <mergeCell ref="B387:F387"/>
    <mergeCell ref="AG392:AG398"/>
    <mergeCell ref="AO392:AO398"/>
    <mergeCell ref="AP392:AP398"/>
    <mergeCell ref="AQ392:AQ398"/>
    <mergeCell ref="B431:D431"/>
    <mergeCell ref="F432:F433"/>
    <mergeCell ref="B446:E446"/>
    <mergeCell ref="B447:D447"/>
    <mergeCell ref="C448:C449"/>
    <mergeCell ref="D448:D449"/>
    <mergeCell ref="E448:E449"/>
    <mergeCell ref="F448:F449"/>
    <mergeCell ref="C409:D409"/>
    <mergeCell ref="C410:D410"/>
    <mergeCell ref="B411:E411"/>
    <mergeCell ref="B412:D412"/>
    <mergeCell ref="C413:C414"/>
    <mergeCell ref="D413:D414"/>
    <mergeCell ref="E413:E414"/>
    <mergeCell ref="B473:C473"/>
    <mergeCell ref="B475:C475"/>
    <mergeCell ref="B477:C477"/>
    <mergeCell ref="B462:C462"/>
    <mergeCell ref="B468:C468"/>
    <mergeCell ref="B469:C469"/>
    <mergeCell ref="B470:C470"/>
    <mergeCell ref="B471:C471"/>
    <mergeCell ref="B472:C472"/>
  </mergeCells>
  <conditionalFormatting sqref="E375:E385">
    <cfRule type="expression" dxfId="32" priority="12">
      <formula>$C375="Discharged to sewer"</formula>
    </cfRule>
  </conditionalFormatting>
  <conditionalFormatting sqref="C138:C140">
    <cfRule type="expression" dxfId="31" priority="13">
      <formula>1-$O$137</formula>
    </cfRule>
  </conditionalFormatting>
  <conditionalFormatting sqref="C201">
    <cfRule type="expression" dxfId="30" priority="14">
      <formula>$Y$3</formula>
    </cfRule>
  </conditionalFormatting>
  <conditionalFormatting sqref="D28">
    <cfRule type="expression" dxfId="29" priority="15">
      <formula>$N$10=TRUE</formula>
    </cfRule>
  </conditionalFormatting>
  <conditionalFormatting sqref="C162:D173">
    <cfRule type="expression" dxfId="28" priority="16">
      <formula>$O$138=FALSE</formula>
    </cfRule>
  </conditionalFormatting>
  <conditionalFormatting sqref="D235:D236 D238:D240 D226:D227 D230:D233">
    <cfRule type="expression" dxfId="27" priority="17">
      <formula>$D$224="No"</formula>
    </cfRule>
  </conditionalFormatting>
  <conditionalFormatting sqref="B407:D410">
    <cfRule type="expression" dxfId="26" priority="18">
      <formula>$F$404="No"</formula>
    </cfRule>
  </conditionalFormatting>
  <conditionalFormatting sqref="C433:E445 C450:E461">
    <cfRule type="expression" dxfId="25" priority="19">
      <formula>$F$430="No"</formula>
    </cfRule>
  </conditionalFormatting>
  <conditionalFormatting sqref="F404:F405 F407:F410 B407:C410 F371 F430 C375:C385 E375:E385 C389:C400 C415:D426 C433:E445 C450:E461">
    <cfRule type="expression" dxfId="24" priority="20">
      <formula>$N$385=FALSE</formula>
    </cfRule>
  </conditionalFormatting>
  <conditionalFormatting sqref="C375:C385 E375:E385 C389:C400">
    <cfRule type="expression" dxfId="23" priority="11">
      <formula>$F$371="No"</formula>
    </cfRule>
  </conditionalFormatting>
  <conditionalFormatting sqref="B407:D410 F405 F407:F410">
    <cfRule type="expression" dxfId="22" priority="10">
      <formula>$F$404="No"</formula>
    </cfRule>
  </conditionalFormatting>
  <conditionalFormatting sqref="D233">
    <cfRule type="expression" dxfId="21" priority="21">
      <formula>$D$230&lt;&gt;$N$241</formula>
    </cfRule>
  </conditionalFormatting>
  <conditionalFormatting sqref="D235:D236">
    <cfRule type="expression" dxfId="20" priority="22">
      <formula>$D$230&lt;&gt;$N$242</formula>
    </cfRule>
  </conditionalFormatting>
  <conditionalFormatting sqref="I144:I155">
    <cfRule type="expression" dxfId="19" priority="23">
      <formula>$O$140="No"</formula>
    </cfRule>
  </conditionalFormatting>
  <conditionalFormatting sqref="G91">
    <cfRule type="expression" dxfId="18" priority="9">
      <formula>1-$N$92</formula>
    </cfRule>
  </conditionalFormatting>
  <conditionalFormatting sqref="G93">
    <cfRule type="expression" dxfId="17" priority="8">
      <formula>1-$N$94</formula>
    </cfRule>
  </conditionalFormatting>
  <conditionalFormatting sqref="B226:M229 B231:M240 B230:D230 F230:M230">
    <cfRule type="expression" dxfId="16" priority="7">
      <formula>$D$224="No"</formula>
    </cfRule>
  </conditionalFormatting>
  <conditionalFormatting sqref="I254:K255">
    <cfRule type="expression" dxfId="15" priority="24">
      <formula>$P$254</formula>
    </cfRule>
  </conditionalFormatting>
  <conditionalFormatting sqref="I257:K271">
    <cfRule type="expression" dxfId="14" priority="6">
      <formula>$P$256=0</formula>
    </cfRule>
  </conditionalFormatting>
  <conditionalFormatting sqref="I282 K282">
    <cfRule type="expression" dxfId="13" priority="5">
      <formula>$P$283</formula>
    </cfRule>
  </conditionalFormatting>
  <conditionalFormatting sqref="B331:D331">
    <cfRule type="expression" dxfId="12" priority="28">
      <formula>$D$330&lt;0.03</formula>
    </cfRule>
  </conditionalFormatting>
  <conditionalFormatting sqref="F331:H331">
    <cfRule type="expression" dxfId="11" priority="4">
      <formula>$H$330&lt;0.03</formula>
    </cfRule>
  </conditionalFormatting>
  <conditionalFormatting sqref="J331:L331">
    <cfRule type="expression" dxfId="10" priority="3">
      <formula>$L$330&lt;0.03</formula>
    </cfRule>
  </conditionalFormatting>
  <conditionalFormatting sqref="I286 I285:K285 I287:K299">
    <cfRule type="expression" dxfId="9" priority="25">
      <formula>$K$282="No"</formula>
    </cfRule>
  </conditionalFormatting>
  <conditionalFormatting sqref="B282:L299">
    <cfRule type="expression" dxfId="8" priority="26">
      <formula>$E$279="No"</formula>
    </cfRule>
  </conditionalFormatting>
  <conditionalFormatting sqref="B254:K271">
    <cfRule type="expression" dxfId="7" priority="27">
      <formula>$E$250="No"</formula>
    </cfRule>
  </conditionalFormatting>
  <conditionalFormatting sqref="B309:L332">
    <cfRule type="expression" dxfId="6" priority="2">
      <formula>$F$308="No"</formula>
    </cfRule>
  </conditionalFormatting>
  <conditionalFormatting sqref="L6">
    <cfRule type="expression" dxfId="5" priority="29">
      <formula>#REF!="Discharged to sewer"</formula>
    </cfRule>
  </conditionalFormatting>
  <conditionalFormatting sqref="H137:J156">
    <cfRule type="expression" dxfId="4" priority="1">
      <formula>$I$136=$N$134</formula>
    </cfRule>
  </conditionalFormatting>
  <dataValidations count="18">
    <dataValidation type="list" allowBlank="1" showInputMessage="1" showErrorMessage="1" sqref="I197:J201">
      <formula1>$U$194:$W$194</formula1>
    </dataValidation>
    <dataValidation type="list" allowBlank="1" showInputMessage="1" showErrorMessage="1" sqref="F285">
      <formula1>$DJ$292:$DJ$296</formula1>
    </dataValidation>
    <dataValidation type="list" allowBlank="1" showInputMessage="1" showErrorMessage="1" sqref="F158">
      <formula1>"Yes,None"</formula1>
    </dataValidation>
    <dataValidation type="list" allowBlank="1" showInputMessage="1" showErrorMessage="1" sqref="E136:F136">
      <formula1>$N$133:$N$134</formula1>
    </dataValidation>
    <dataValidation type="list" allowBlank="1" showInputMessage="1" showErrorMessage="1" sqref="F13:F27">
      <formula1>$S$38:$S$40</formula1>
    </dataValidation>
    <dataValidation type="list" allowBlank="1" showInputMessage="1" showErrorMessage="1" sqref="D82:D85">
      <formula1>$DJ$62:$DJ$65</formula1>
    </dataValidation>
    <dataValidation type="list" allowBlank="1" showInputMessage="1" showErrorMessage="1" sqref="E91">
      <formula1>$DJ$72:$DJ$76</formula1>
    </dataValidation>
    <dataValidation type="list" allowBlank="1" showInputMessage="1" showErrorMessage="1" sqref="D230">
      <formula1>$N$240:$N$242</formula1>
    </dataValidation>
    <dataValidation type="list" allowBlank="1" showInputMessage="1" showErrorMessage="1" sqref="D197:D201">
      <formula1>$DJ$194:$DJ$200</formula1>
    </dataValidation>
    <dataValidation type="list" allowBlank="1" showInputMessage="1" showErrorMessage="1" sqref="H197:H201">
      <formula1>$DJ$203:$DJ$206</formula1>
    </dataValidation>
    <dataValidation type="list" allowBlank="1" showInputMessage="1" showErrorMessage="1" sqref="D232">
      <formula1>"Basic Controls,Advanced Controls"</formula1>
    </dataValidation>
    <dataValidation type="list" allowBlank="1" showInputMessage="1" showErrorMessage="1" sqref="D239">
      <formula1>$W$241:$W$242</formula1>
    </dataValidation>
    <dataValidation type="list" allowBlank="1" showInputMessage="1" showErrorMessage="1" sqref="D236 D238">
      <formula1>$W$239:$W$240</formula1>
    </dataValidation>
    <dataValidation type="list" allowBlank="1" showInputMessage="1" showErrorMessage="1" sqref="C375:C385">
      <formula1>$N$417:$N$418</formula1>
    </dataValidation>
    <dataValidation type="list" allowBlank="1" showInputMessage="1" showErrorMessage="1" sqref="F430 D240 D67 F404 F371 D224 E369 E250 K254 E279 K282 F308 F286:F288">
      <formula1>"Yes,No"</formula1>
    </dataValidation>
    <dataValidation type="list" allowBlank="1" showInputMessage="1" showErrorMessage="1" sqref="D13:D27">
      <formula1>$AG$11:$AG$25</formula1>
    </dataValidation>
    <dataValidation type="list" allowBlank="1" showInputMessage="1" showErrorMessage="1" sqref="F197:G201">
      <formula1>$DN$196:$DN$206</formula1>
    </dataValidation>
    <dataValidation type="list" allowBlank="1" showInputMessage="1" showErrorMessage="1" sqref="C407:D410">
      <formula1>$DJ$367:$DJ$370</formula1>
    </dataValidation>
  </dataValidations>
  <hyperlinks>
    <hyperlink ref="D3" location="'Potable Water Calculator'!B7" display="Building Information"/>
    <hyperlink ref="I4" location="'Potable Water Calculator'!B194:M216" display="STEP 2c Irrigation"/>
    <hyperlink ref="J4" location="'Potable Water Calculator'!B221:M241" display="STEP 2d Pools"/>
    <hyperlink ref="G6" location="'Potable Water Calculator'!B465:M487" display="SUMMARY"/>
    <hyperlink ref="D5" location="'Potable Water Calculator'!B248:M268" display="STEP 2e Laundry Facilities"/>
    <hyperlink ref="F5" location="'Potable Water Calculator'!B277:M296" display="STEP 2f Large Kitchens"/>
    <hyperlink ref="H5" location="'Potable Water Calculator'!B305:M327" display="STEP 2g Other Major Water Uses"/>
    <hyperlink ref="D12:E12" location="'Potable Water Calculator'!ET9" tooltip="User Defined Profile" display="Click here to enter a 'User Defined' profile"/>
    <hyperlink ref="G4" location="'Potable Water Calculator'!B130:M151" display="STEP 2b Heat Rejection"/>
    <hyperlink ref="D4" location="'Potable Water Calculator'!B53:M72" display="STEP 2a Occupant Ammenity Water"/>
    <hyperlink ref="D6" location="'Potable Water Calculator'!B367:M387" display="STEP 3 Sustainable Water Supplies"/>
  </hyperlinks>
  <pageMargins left="0.70866141732283472" right="0.70866141732283472" top="0.74803149606299213" bottom="0.74803149606299213" header="0.31496062992125984" footer="0.31496062992125984"/>
  <pageSetup scale="10"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'Rainfall data'!$B$3:$B$33</xm:f>
          </x14:formula1>
          <xm:sqref>D31:E31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WWA104"/>
  <sheetViews>
    <sheetView workbookViewId="0">
      <selection activeCell="N31" sqref="N31"/>
    </sheetView>
  </sheetViews>
  <sheetFormatPr defaultColWidth="8" defaultRowHeight="15"/>
  <cols>
    <col min="1" max="1" width="4.375" style="429" customWidth="1"/>
    <col min="2" max="3" width="18.875" style="429" customWidth="1"/>
    <col min="4" max="11" width="8" style="429"/>
    <col min="12" max="12" width="9.75" style="429" customWidth="1"/>
    <col min="13" max="13" width="8" style="429"/>
    <col min="14" max="14" width="11.375" style="429" customWidth="1"/>
    <col min="15" max="15" width="8.75" style="429" customWidth="1"/>
    <col min="16" max="16" width="10" style="429" customWidth="1"/>
    <col min="17" max="17" width="23.25" style="429" customWidth="1"/>
    <col min="18" max="18" width="20.375" style="429" customWidth="1"/>
    <col min="19" max="19" width="11.875" style="429" bestFit="1" customWidth="1"/>
    <col min="20" max="26" width="8" style="429"/>
    <col min="27" max="27" width="8.875" style="429" customWidth="1"/>
    <col min="28" max="28" width="8.625" style="429" customWidth="1"/>
    <col min="29" max="33" width="8" style="429"/>
    <col min="34" max="257" width="8" style="1977"/>
    <col min="258" max="258" width="4.375" style="1977" customWidth="1"/>
    <col min="259" max="259" width="18.875" style="1977" customWidth="1"/>
    <col min="260" max="267" width="8" style="1977"/>
    <col min="268" max="268" width="9.75" style="1977" customWidth="1"/>
    <col min="269" max="269" width="8" style="1977"/>
    <col min="270" max="270" width="11.375" style="1977" customWidth="1"/>
    <col min="271" max="271" width="8.75" style="1977" customWidth="1"/>
    <col min="272" max="272" width="10" style="1977" customWidth="1"/>
    <col min="273" max="273" width="11.75" style="1977" customWidth="1"/>
    <col min="274" max="274" width="8" style="1977"/>
    <col min="275" max="275" width="24.875" style="1977" bestFit="1" customWidth="1"/>
    <col min="276" max="513" width="8" style="1977"/>
    <col min="514" max="514" width="4.375" style="1977" customWidth="1"/>
    <col min="515" max="515" width="18.875" style="1977" customWidth="1"/>
    <col min="516" max="523" width="8" style="1977"/>
    <col min="524" max="524" width="9.75" style="1977" customWidth="1"/>
    <col min="525" max="525" width="8" style="1977"/>
    <col min="526" max="526" width="11.375" style="1977" customWidth="1"/>
    <col min="527" max="527" width="8.75" style="1977" customWidth="1"/>
    <col min="528" max="528" width="10" style="1977" customWidth="1"/>
    <col min="529" max="529" width="11.75" style="1977" customWidth="1"/>
    <col min="530" max="530" width="8" style="1977"/>
    <col min="531" max="531" width="24.875" style="1977" bestFit="1" customWidth="1"/>
    <col min="532" max="769" width="8" style="1977"/>
    <col min="770" max="770" width="4.375" style="1977" customWidth="1"/>
    <col min="771" max="771" width="18.875" style="1977" customWidth="1"/>
    <col min="772" max="779" width="8" style="1977"/>
    <col min="780" max="780" width="9.75" style="1977" customWidth="1"/>
    <col min="781" max="781" width="8" style="1977"/>
    <col min="782" max="782" width="11.375" style="1977" customWidth="1"/>
    <col min="783" max="783" width="8.75" style="1977" customWidth="1"/>
    <col min="784" max="784" width="10" style="1977" customWidth="1"/>
    <col min="785" max="785" width="11.75" style="1977" customWidth="1"/>
    <col min="786" max="786" width="8" style="1977"/>
    <col min="787" max="787" width="24.875" style="1977" bestFit="1" customWidth="1"/>
    <col min="788" max="1025" width="8" style="1977"/>
    <col min="1026" max="1026" width="4.375" style="1977" customWidth="1"/>
    <col min="1027" max="1027" width="18.875" style="1977" customWidth="1"/>
    <col min="1028" max="1035" width="8" style="1977"/>
    <col min="1036" max="1036" width="9.75" style="1977" customWidth="1"/>
    <col min="1037" max="1037" width="8" style="1977"/>
    <col min="1038" max="1038" width="11.375" style="1977" customWidth="1"/>
    <col min="1039" max="1039" width="8.75" style="1977" customWidth="1"/>
    <col min="1040" max="1040" width="10" style="1977" customWidth="1"/>
    <col min="1041" max="1041" width="11.75" style="1977" customWidth="1"/>
    <col min="1042" max="1042" width="8" style="1977"/>
    <col min="1043" max="1043" width="24.875" style="1977" bestFit="1" customWidth="1"/>
    <col min="1044" max="1281" width="8" style="1977"/>
    <col min="1282" max="1282" width="4.375" style="1977" customWidth="1"/>
    <col min="1283" max="1283" width="18.875" style="1977" customWidth="1"/>
    <col min="1284" max="1291" width="8" style="1977"/>
    <col min="1292" max="1292" width="9.75" style="1977" customWidth="1"/>
    <col min="1293" max="1293" width="8" style="1977"/>
    <col min="1294" max="1294" width="11.375" style="1977" customWidth="1"/>
    <col min="1295" max="1295" width="8.75" style="1977" customWidth="1"/>
    <col min="1296" max="1296" width="10" style="1977" customWidth="1"/>
    <col min="1297" max="1297" width="11.75" style="1977" customWidth="1"/>
    <col min="1298" max="1298" width="8" style="1977"/>
    <col min="1299" max="1299" width="24.875" style="1977" bestFit="1" customWidth="1"/>
    <col min="1300" max="1537" width="8" style="1977"/>
    <col min="1538" max="1538" width="4.375" style="1977" customWidth="1"/>
    <col min="1539" max="1539" width="18.875" style="1977" customWidth="1"/>
    <col min="1540" max="1547" width="8" style="1977"/>
    <col min="1548" max="1548" width="9.75" style="1977" customWidth="1"/>
    <col min="1549" max="1549" width="8" style="1977"/>
    <col min="1550" max="1550" width="11.375" style="1977" customWidth="1"/>
    <col min="1551" max="1551" width="8.75" style="1977" customWidth="1"/>
    <col min="1552" max="1552" width="10" style="1977" customWidth="1"/>
    <col min="1553" max="1553" width="11.75" style="1977" customWidth="1"/>
    <col min="1554" max="1554" width="8" style="1977"/>
    <col min="1555" max="1555" width="24.875" style="1977" bestFit="1" customWidth="1"/>
    <col min="1556" max="1793" width="8" style="1977"/>
    <col min="1794" max="1794" width="4.375" style="1977" customWidth="1"/>
    <col min="1795" max="1795" width="18.875" style="1977" customWidth="1"/>
    <col min="1796" max="1803" width="8" style="1977"/>
    <col min="1804" max="1804" width="9.75" style="1977" customWidth="1"/>
    <col min="1805" max="1805" width="8" style="1977"/>
    <col min="1806" max="1806" width="11.375" style="1977" customWidth="1"/>
    <col min="1807" max="1807" width="8.75" style="1977" customWidth="1"/>
    <col min="1808" max="1808" width="10" style="1977" customWidth="1"/>
    <col min="1809" max="1809" width="11.75" style="1977" customWidth="1"/>
    <col min="1810" max="1810" width="8" style="1977"/>
    <col min="1811" max="1811" width="24.875" style="1977" bestFit="1" customWidth="1"/>
    <col min="1812" max="2049" width="8" style="1977"/>
    <col min="2050" max="2050" width="4.375" style="1977" customWidth="1"/>
    <col min="2051" max="2051" width="18.875" style="1977" customWidth="1"/>
    <col min="2052" max="2059" width="8" style="1977"/>
    <col min="2060" max="2060" width="9.75" style="1977" customWidth="1"/>
    <col min="2061" max="2061" width="8" style="1977"/>
    <col min="2062" max="2062" width="11.375" style="1977" customWidth="1"/>
    <col min="2063" max="2063" width="8.75" style="1977" customWidth="1"/>
    <col min="2064" max="2064" width="10" style="1977" customWidth="1"/>
    <col min="2065" max="2065" width="11.75" style="1977" customWidth="1"/>
    <col min="2066" max="2066" width="8" style="1977"/>
    <col min="2067" max="2067" width="24.875" style="1977" bestFit="1" customWidth="1"/>
    <col min="2068" max="2305" width="8" style="1977"/>
    <col min="2306" max="2306" width="4.375" style="1977" customWidth="1"/>
    <col min="2307" max="2307" width="18.875" style="1977" customWidth="1"/>
    <col min="2308" max="2315" width="8" style="1977"/>
    <col min="2316" max="2316" width="9.75" style="1977" customWidth="1"/>
    <col min="2317" max="2317" width="8" style="1977"/>
    <col min="2318" max="2318" width="11.375" style="1977" customWidth="1"/>
    <col min="2319" max="2319" width="8.75" style="1977" customWidth="1"/>
    <col min="2320" max="2320" width="10" style="1977" customWidth="1"/>
    <col min="2321" max="2321" width="11.75" style="1977" customWidth="1"/>
    <col min="2322" max="2322" width="8" style="1977"/>
    <col min="2323" max="2323" width="24.875" style="1977" bestFit="1" customWidth="1"/>
    <col min="2324" max="2561" width="8" style="1977"/>
    <col min="2562" max="2562" width="4.375" style="1977" customWidth="1"/>
    <col min="2563" max="2563" width="18.875" style="1977" customWidth="1"/>
    <col min="2564" max="2571" width="8" style="1977"/>
    <col min="2572" max="2572" width="9.75" style="1977" customWidth="1"/>
    <col min="2573" max="2573" width="8" style="1977"/>
    <col min="2574" max="2574" width="11.375" style="1977" customWidth="1"/>
    <col min="2575" max="2575" width="8.75" style="1977" customWidth="1"/>
    <col min="2576" max="2576" width="10" style="1977" customWidth="1"/>
    <col min="2577" max="2577" width="11.75" style="1977" customWidth="1"/>
    <col min="2578" max="2578" width="8" style="1977"/>
    <col min="2579" max="2579" width="24.875" style="1977" bestFit="1" customWidth="1"/>
    <col min="2580" max="2817" width="8" style="1977"/>
    <col min="2818" max="2818" width="4.375" style="1977" customWidth="1"/>
    <col min="2819" max="2819" width="18.875" style="1977" customWidth="1"/>
    <col min="2820" max="2827" width="8" style="1977"/>
    <col min="2828" max="2828" width="9.75" style="1977" customWidth="1"/>
    <col min="2829" max="2829" width="8" style="1977"/>
    <col min="2830" max="2830" width="11.375" style="1977" customWidth="1"/>
    <col min="2831" max="2831" width="8.75" style="1977" customWidth="1"/>
    <col min="2832" max="2832" width="10" style="1977" customWidth="1"/>
    <col min="2833" max="2833" width="11.75" style="1977" customWidth="1"/>
    <col min="2834" max="2834" width="8" style="1977"/>
    <col min="2835" max="2835" width="24.875" style="1977" bestFit="1" customWidth="1"/>
    <col min="2836" max="3073" width="8" style="1977"/>
    <col min="3074" max="3074" width="4.375" style="1977" customWidth="1"/>
    <col min="3075" max="3075" width="18.875" style="1977" customWidth="1"/>
    <col min="3076" max="3083" width="8" style="1977"/>
    <col min="3084" max="3084" width="9.75" style="1977" customWidth="1"/>
    <col min="3085" max="3085" width="8" style="1977"/>
    <col min="3086" max="3086" width="11.375" style="1977" customWidth="1"/>
    <col min="3087" max="3087" width="8.75" style="1977" customWidth="1"/>
    <col min="3088" max="3088" width="10" style="1977" customWidth="1"/>
    <col min="3089" max="3089" width="11.75" style="1977" customWidth="1"/>
    <col min="3090" max="3090" width="8" style="1977"/>
    <col min="3091" max="3091" width="24.875" style="1977" bestFit="1" customWidth="1"/>
    <col min="3092" max="3329" width="8" style="1977"/>
    <col min="3330" max="3330" width="4.375" style="1977" customWidth="1"/>
    <col min="3331" max="3331" width="18.875" style="1977" customWidth="1"/>
    <col min="3332" max="3339" width="8" style="1977"/>
    <col min="3340" max="3340" width="9.75" style="1977" customWidth="1"/>
    <col min="3341" max="3341" width="8" style="1977"/>
    <col min="3342" max="3342" width="11.375" style="1977" customWidth="1"/>
    <col min="3343" max="3343" width="8.75" style="1977" customWidth="1"/>
    <col min="3344" max="3344" width="10" style="1977" customWidth="1"/>
    <col min="3345" max="3345" width="11.75" style="1977" customWidth="1"/>
    <col min="3346" max="3346" width="8" style="1977"/>
    <col min="3347" max="3347" width="24.875" style="1977" bestFit="1" customWidth="1"/>
    <col min="3348" max="3585" width="8" style="1977"/>
    <col min="3586" max="3586" width="4.375" style="1977" customWidth="1"/>
    <col min="3587" max="3587" width="18.875" style="1977" customWidth="1"/>
    <col min="3588" max="3595" width="8" style="1977"/>
    <col min="3596" max="3596" width="9.75" style="1977" customWidth="1"/>
    <col min="3597" max="3597" width="8" style="1977"/>
    <col min="3598" max="3598" width="11.375" style="1977" customWidth="1"/>
    <col min="3599" max="3599" width="8.75" style="1977" customWidth="1"/>
    <col min="3600" max="3600" width="10" style="1977" customWidth="1"/>
    <col min="3601" max="3601" width="11.75" style="1977" customWidth="1"/>
    <col min="3602" max="3602" width="8" style="1977"/>
    <col min="3603" max="3603" width="24.875" style="1977" bestFit="1" customWidth="1"/>
    <col min="3604" max="3841" width="8" style="1977"/>
    <col min="3842" max="3842" width="4.375" style="1977" customWidth="1"/>
    <col min="3843" max="3843" width="18.875" style="1977" customWidth="1"/>
    <col min="3844" max="3851" width="8" style="1977"/>
    <col min="3852" max="3852" width="9.75" style="1977" customWidth="1"/>
    <col min="3853" max="3853" width="8" style="1977"/>
    <col min="3854" max="3854" width="11.375" style="1977" customWidth="1"/>
    <col min="3855" max="3855" width="8.75" style="1977" customWidth="1"/>
    <col min="3856" max="3856" width="10" style="1977" customWidth="1"/>
    <col min="3857" max="3857" width="11.75" style="1977" customWidth="1"/>
    <col min="3858" max="3858" width="8" style="1977"/>
    <col min="3859" max="3859" width="24.875" style="1977" bestFit="1" customWidth="1"/>
    <col min="3860" max="4097" width="8" style="1977"/>
    <col min="4098" max="4098" width="4.375" style="1977" customWidth="1"/>
    <col min="4099" max="4099" width="18.875" style="1977" customWidth="1"/>
    <col min="4100" max="4107" width="8" style="1977"/>
    <col min="4108" max="4108" width="9.75" style="1977" customWidth="1"/>
    <col min="4109" max="4109" width="8" style="1977"/>
    <col min="4110" max="4110" width="11.375" style="1977" customWidth="1"/>
    <col min="4111" max="4111" width="8.75" style="1977" customWidth="1"/>
    <col min="4112" max="4112" width="10" style="1977" customWidth="1"/>
    <col min="4113" max="4113" width="11.75" style="1977" customWidth="1"/>
    <col min="4114" max="4114" width="8" style="1977"/>
    <col min="4115" max="4115" width="24.875" style="1977" bestFit="1" customWidth="1"/>
    <col min="4116" max="4353" width="8" style="1977"/>
    <col min="4354" max="4354" width="4.375" style="1977" customWidth="1"/>
    <col min="4355" max="4355" width="18.875" style="1977" customWidth="1"/>
    <col min="4356" max="4363" width="8" style="1977"/>
    <col min="4364" max="4364" width="9.75" style="1977" customWidth="1"/>
    <col min="4365" max="4365" width="8" style="1977"/>
    <col min="4366" max="4366" width="11.375" style="1977" customWidth="1"/>
    <col min="4367" max="4367" width="8.75" style="1977" customWidth="1"/>
    <col min="4368" max="4368" width="10" style="1977" customWidth="1"/>
    <col min="4369" max="4369" width="11.75" style="1977" customWidth="1"/>
    <col min="4370" max="4370" width="8" style="1977"/>
    <col min="4371" max="4371" width="24.875" style="1977" bestFit="1" customWidth="1"/>
    <col min="4372" max="4609" width="8" style="1977"/>
    <col min="4610" max="4610" width="4.375" style="1977" customWidth="1"/>
    <col min="4611" max="4611" width="18.875" style="1977" customWidth="1"/>
    <col min="4612" max="4619" width="8" style="1977"/>
    <col min="4620" max="4620" width="9.75" style="1977" customWidth="1"/>
    <col min="4621" max="4621" width="8" style="1977"/>
    <col min="4622" max="4622" width="11.375" style="1977" customWidth="1"/>
    <col min="4623" max="4623" width="8.75" style="1977" customWidth="1"/>
    <col min="4624" max="4624" width="10" style="1977" customWidth="1"/>
    <col min="4625" max="4625" width="11.75" style="1977" customWidth="1"/>
    <col min="4626" max="4626" width="8" style="1977"/>
    <col min="4627" max="4627" width="24.875" style="1977" bestFit="1" customWidth="1"/>
    <col min="4628" max="4865" width="8" style="1977"/>
    <col min="4866" max="4866" width="4.375" style="1977" customWidth="1"/>
    <col min="4867" max="4867" width="18.875" style="1977" customWidth="1"/>
    <col min="4868" max="4875" width="8" style="1977"/>
    <col min="4876" max="4876" width="9.75" style="1977" customWidth="1"/>
    <col min="4877" max="4877" width="8" style="1977"/>
    <col min="4878" max="4878" width="11.375" style="1977" customWidth="1"/>
    <col min="4879" max="4879" width="8.75" style="1977" customWidth="1"/>
    <col min="4880" max="4880" width="10" style="1977" customWidth="1"/>
    <col min="4881" max="4881" width="11.75" style="1977" customWidth="1"/>
    <col min="4882" max="4882" width="8" style="1977"/>
    <col min="4883" max="4883" width="24.875" style="1977" bestFit="1" customWidth="1"/>
    <col min="4884" max="5121" width="8" style="1977"/>
    <col min="5122" max="5122" width="4.375" style="1977" customWidth="1"/>
    <col min="5123" max="5123" width="18.875" style="1977" customWidth="1"/>
    <col min="5124" max="5131" width="8" style="1977"/>
    <col min="5132" max="5132" width="9.75" style="1977" customWidth="1"/>
    <col min="5133" max="5133" width="8" style="1977"/>
    <col min="5134" max="5134" width="11.375" style="1977" customWidth="1"/>
    <col min="5135" max="5135" width="8.75" style="1977" customWidth="1"/>
    <col min="5136" max="5136" width="10" style="1977" customWidth="1"/>
    <col min="5137" max="5137" width="11.75" style="1977" customWidth="1"/>
    <col min="5138" max="5138" width="8" style="1977"/>
    <col min="5139" max="5139" width="24.875" style="1977" bestFit="1" customWidth="1"/>
    <col min="5140" max="5377" width="8" style="1977"/>
    <col min="5378" max="5378" width="4.375" style="1977" customWidth="1"/>
    <col min="5379" max="5379" width="18.875" style="1977" customWidth="1"/>
    <col min="5380" max="5387" width="8" style="1977"/>
    <col min="5388" max="5388" width="9.75" style="1977" customWidth="1"/>
    <col min="5389" max="5389" width="8" style="1977"/>
    <col min="5390" max="5390" width="11.375" style="1977" customWidth="1"/>
    <col min="5391" max="5391" width="8.75" style="1977" customWidth="1"/>
    <col min="5392" max="5392" width="10" style="1977" customWidth="1"/>
    <col min="5393" max="5393" width="11.75" style="1977" customWidth="1"/>
    <col min="5394" max="5394" width="8" style="1977"/>
    <col min="5395" max="5395" width="24.875" style="1977" bestFit="1" customWidth="1"/>
    <col min="5396" max="5633" width="8" style="1977"/>
    <col min="5634" max="5634" width="4.375" style="1977" customWidth="1"/>
    <col min="5635" max="5635" width="18.875" style="1977" customWidth="1"/>
    <col min="5636" max="5643" width="8" style="1977"/>
    <col min="5644" max="5644" width="9.75" style="1977" customWidth="1"/>
    <col min="5645" max="5645" width="8" style="1977"/>
    <col min="5646" max="5646" width="11.375" style="1977" customWidth="1"/>
    <col min="5647" max="5647" width="8.75" style="1977" customWidth="1"/>
    <col min="5648" max="5648" width="10" style="1977" customWidth="1"/>
    <col min="5649" max="5649" width="11.75" style="1977" customWidth="1"/>
    <col min="5650" max="5650" width="8" style="1977"/>
    <col min="5651" max="5651" width="24.875" style="1977" bestFit="1" customWidth="1"/>
    <col min="5652" max="5889" width="8" style="1977"/>
    <col min="5890" max="5890" width="4.375" style="1977" customWidth="1"/>
    <col min="5891" max="5891" width="18.875" style="1977" customWidth="1"/>
    <col min="5892" max="5899" width="8" style="1977"/>
    <col min="5900" max="5900" width="9.75" style="1977" customWidth="1"/>
    <col min="5901" max="5901" width="8" style="1977"/>
    <col min="5902" max="5902" width="11.375" style="1977" customWidth="1"/>
    <col min="5903" max="5903" width="8.75" style="1977" customWidth="1"/>
    <col min="5904" max="5904" width="10" style="1977" customWidth="1"/>
    <col min="5905" max="5905" width="11.75" style="1977" customWidth="1"/>
    <col min="5906" max="5906" width="8" style="1977"/>
    <col min="5907" max="5907" width="24.875" style="1977" bestFit="1" customWidth="1"/>
    <col min="5908" max="6145" width="8" style="1977"/>
    <col min="6146" max="6146" width="4.375" style="1977" customWidth="1"/>
    <col min="6147" max="6147" width="18.875" style="1977" customWidth="1"/>
    <col min="6148" max="6155" width="8" style="1977"/>
    <col min="6156" max="6156" width="9.75" style="1977" customWidth="1"/>
    <col min="6157" max="6157" width="8" style="1977"/>
    <col min="6158" max="6158" width="11.375" style="1977" customWidth="1"/>
    <col min="6159" max="6159" width="8.75" style="1977" customWidth="1"/>
    <col min="6160" max="6160" width="10" style="1977" customWidth="1"/>
    <col min="6161" max="6161" width="11.75" style="1977" customWidth="1"/>
    <col min="6162" max="6162" width="8" style="1977"/>
    <col min="6163" max="6163" width="24.875" style="1977" bestFit="1" customWidth="1"/>
    <col min="6164" max="6401" width="8" style="1977"/>
    <col min="6402" max="6402" width="4.375" style="1977" customWidth="1"/>
    <col min="6403" max="6403" width="18.875" style="1977" customWidth="1"/>
    <col min="6404" max="6411" width="8" style="1977"/>
    <col min="6412" max="6412" width="9.75" style="1977" customWidth="1"/>
    <col min="6413" max="6413" width="8" style="1977"/>
    <col min="6414" max="6414" width="11.375" style="1977" customWidth="1"/>
    <col min="6415" max="6415" width="8.75" style="1977" customWidth="1"/>
    <col min="6416" max="6416" width="10" style="1977" customWidth="1"/>
    <col min="6417" max="6417" width="11.75" style="1977" customWidth="1"/>
    <col min="6418" max="6418" width="8" style="1977"/>
    <col min="6419" max="6419" width="24.875" style="1977" bestFit="1" customWidth="1"/>
    <col min="6420" max="6657" width="8" style="1977"/>
    <col min="6658" max="6658" width="4.375" style="1977" customWidth="1"/>
    <col min="6659" max="6659" width="18.875" style="1977" customWidth="1"/>
    <col min="6660" max="6667" width="8" style="1977"/>
    <col min="6668" max="6668" width="9.75" style="1977" customWidth="1"/>
    <col min="6669" max="6669" width="8" style="1977"/>
    <col min="6670" max="6670" width="11.375" style="1977" customWidth="1"/>
    <col min="6671" max="6671" width="8.75" style="1977" customWidth="1"/>
    <col min="6672" max="6672" width="10" style="1977" customWidth="1"/>
    <col min="6673" max="6673" width="11.75" style="1977" customWidth="1"/>
    <col min="6674" max="6674" width="8" style="1977"/>
    <col min="6675" max="6675" width="24.875" style="1977" bestFit="1" customWidth="1"/>
    <col min="6676" max="6913" width="8" style="1977"/>
    <col min="6914" max="6914" width="4.375" style="1977" customWidth="1"/>
    <col min="6915" max="6915" width="18.875" style="1977" customWidth="1"/>
    <col min="6916" max="6923" width="8" style="1977"/>
    <col min="6924" max="6924" width="9.75" style="1977" customWidth="1"/>
    <col min="6925" max="6925" width="8" style="1977"/>
    <col min="6926" max="6926" width="11.375" style="1977" customWidth="1"/>
    <col min="6927" max="6927" width="8.75" style="1977" customWidth="1"/>
    <col min="6928" max="6928" width="10" style="1977" customWidth="1"/>
    <col min="6929" max="6929" width="11.75" style="1977" customWidth="1"/>
    <col min="6930" max="6930" width="8" style="1977"/>
    <col min="6931" max="6931" width="24.875" style="1977" bestFit="1" customWidth="1"/>
    <col min="6932" max="7169" width="8" style="1977"/>
    <col min="7170" max="7170" width="4.375" style="1977" customWidth="1"/>
    <col min="7171" max="7171" width="18.875" style="1977" customWidth="1"/>
    <col min="7172" max="7179" width="8" style="1977"/>
    <col min="7180" max="7180" width="9.75" style="1977" customWidth="1"/>
    <col min="7181" max="7181" width="8" style="1977"/>
    <col min="7182" max="7182" width="11.375" style="1977" customWidth="1"/>
    <col min="7183" max="7183" width="8.75" style="1977" customWidth="1"/>
    <col min="7184" max="7184" width="10" style="1977" customWidth="1"/>
    <col min="7185" max="7185" width="11.75" style="1977" customWidth="1"/>
    <col min="7186" max="7186" width="8" style="1977"/>
    <col min="7187" max="7187" width="24.875" style="1977" bestFit="1" customWidth="1"/>
    <col min="7188" max="7425" width="8" style="1977"/>
    <col min="7426" max="7426" width="4.375" style="1977" customWidth="1"/>
    <col min="7427" max="7427" width="18.875" style="1977" customWidth="1"/>
    <col min="7428" max="7435" width="8" style="1977"/>
    <col min="7436" max="7436" width="9.75" style="1977" customWidth="1"/>
    <col min="7437" max="7437" width="8" style="1977"/>
    <col min="7438" max="7438" width="11.375" style="1977" customWidth="1"/>
    <col min="7439" max="7439" width="8.75" style="1977" customWidth="1"/>
    <col min="7440" max="7440" width="10" style="1977" customWidth="1"/>
    <col min="7441" max="7441" width="11.75" style="1977" customWidth="1"/>
    <col min="7442" max="7442" width="8" style="1977"/>
    <col min="7443" max="7443" width="24.875" style="1977" bestFit="1" customWidth="1"/>
    <col min="7444" max="7681" width="8" style="1977"/>
    <col min="7682" max="7682" width="4.375" style="1977" customWidth="1"/>
    <col min="7683" max="7683" width="18.875" style="1977" customWidth="1"/>
    <col min="7684" max="7691" width="8" style="1977"/>
    <col min="7692" max="7692" width="9.75" style="1977" customWidth="1"/>
    <col min="7693" max="7693" width="8" style="1977"/>
    <col min="7694" max="7694" width="11.375" style="1977" customWidth="1"/>
    <col min="7695" max="7695" width="8.75" style="1977" customWidth="1"/>
    <col min="7696" max="7696" width="10" style="1977" customWidth="1"/>
    <col min="7697" max="7697" width="11.75" style="1977" customWidth="1"/>
    <col min="7698" max="7698" width="8" style="1977"/>
    <col min="7699" max="7699" width="24.875" style="1977" bestFit="1" customWidth="1"/>
    <col min="7700" max="7937" width="8" style="1977"/>
    <col min="7938" max="7938" width="4.375" style="1977" customWidth="1"/>
    <col min="7939" max="7939" width="18.875" style="1977" customWidth="1"/>
    <col min="7940" max="7947" width="8" style="1977"/>
    <col min="7948" max="7948" width="9.75" style="1977" customWidth="1"/>
    <col min="7949" max="7949" width="8" style="1977"/>
    <col min="7950" max="7950" width="11.375" style="1977" customWidth="1"/>
    <col min="7951" max="7951" width="8.75" style="1977" customWidth="1"/>
    <col min="7952" max="7952" width="10" style="1977" customWidth="1"/>
    <col min="7953" max="7953" width="11.75" style="1977" customWidth="1"/>
    <col min="7954" max="7954" width="8" style="1977"/>
    <col min="7955" max="7955" width="24.875" style="1977" bestFit="1" customWidth="1"/>
    <col min="7956" max="8193" width="8" style="1977"/>
    <col min="8194" max="8194" width="4.375" style="1977" customWidth="1"/>
    <col min="8195" max="8195" width="18.875" style="1977" customWidth="1"/>
    <col min="8196" max="8203" width="8" style="1977"/>
    <col min="8204" max="8204" width="9.75" style="1977" customWidth="1"/>
    <col min="8205" max="8205" width="8" style="1977"/>
    <col min="8206" max="8206" width="11.375" style="1977" customWidth="1"/>
    <col min="8207" max="8207" width="8.75" style="1977" customWidth="1"/>
    <col min="8208" max="8208" width="10" style="1977" customWidth="1"/>
    <col min="8209" max="8209" width="11.75" style="1977" customWidth="1"/>
    <col min="8210" max="8210" width="8" style="1977"/>
    <col min="8211" max="8211" width="24.875" style="1977" bestFit="1" customWidth="1"/>
    <col min="8212" max="8449" width="8" style="1977"/>
    <col min="8450" max="8450" width="4.375" style="1977" customWidth="1"/>
    <col min="8451" max="8451" width="18.875" style="1977" customWidth="1"/>
    <col min="8452" max="8459" width="8" style="1977"/>
    <col min="8460" max="8460" width="9.75" style="1977" customWidth="1"/>
    <col min="8461" max="8461" width="8" style="1977"/>
    <col min="8462" max="8462" width="11.375" style="1977" customWidth="1"/>
    <col min="8463" max="8463" width="8.75" style="1977" customWidth="1"/>
    <col min="8464" max="8464" width="10" style="1977" customWidth="1"/>
    <col min="8465" max="8465" width="11.75" style="1977" customWidth="1"/>
    <col min="8466" max="8466" width="8" style="1977"/>
    <col min="8467" max="8467" width="24.875" style="1977" bestFit="1" customWidth="1"/>
    <col min="8468" max="8705" width="8" style="1977"/>
    <col min="8706" max="8706" width="4.375" style="1977" customWidth="1"/>
    <col min="8707" max="8707" width="18.875" style="1977" customWidth="1"/>
    <col min="8708" max="8715" width="8" style="1977"/>
    <col min="8716" max="8716" width="9.75" style="1977" customWidth="1"/>
    <col min="8717" max="8717" width="8" style="1977"/>
    <col min="8718" max="8718" width="11.375" style="1977" customWidth="1"/>
    <col min="8719" max="8719" width="8.75" style="1977" customWidth="1"/>
    <col min="8720" max="8720" width="10" style="1977" customWidth="1"/>
    <col min="8721" max="8721" width="11.75" style="1977" customWidth="1"/>
    <col min="8722" max="8722" width="8" style="1977"/>
    <col min="8723" max="8723" width="24.875" style="1977" bestFit="1" customWidth="1"/>
    <col min="8724" max="8961" width="8" style="1977"/>
    <col min="8962" max="8962" width="4.375" style="1977" customWidth="1"/>
    <col min="8963" max="8963" width="18.875" style="1977" customWidth="1"/>
    <col min="8964" max="8971" width="8" style="1977"/>
    <col min="8972" max="8972" width="9.75" style="1977" customWidth="1"/>
    <col min="8973" max="8973" width="8" style="1977"/>
    <col min="8974" max="8974" width="11.375" style="1977" customWidth="1"/>
    <col min="8975" max="8975" width="8.75" style="1977" customWidth="1"/>
    <col min="8976" max="8976" width="10" style="1977" customWidth="1"/>
    <col min="8977" max="8977" width="11.75" style="1977" customWidth="1"/>
    <col min="8978" max="8978" width="8" style="1977"/>
    <col min="8979" max="8979" width="24.875" style="1977" bestFit="1" customWidth="1"/>
    <col min="8980" max="9217" width="8" style="1977"/>
    <col min="9218" max="9218" width="4.375" style="1977" customWidth="1"/>
    <col min="9219" max="9219" width="18.875" style="1977" customWidth="1"/>
    <col min="9220" max="9227" width="8" style="1977"/>
    <col min="9228" max="9228" width="9.75" style="1977" customWidth="1"/>
    <col min="9229" max="9229" width="8" style="1977"/>
    <col min="9230" max="9230" width="11.375" style="1977" customWidth="1"/>
    <col min="9231" max="9231" width="8.75" style="1977" customWidth="1"/>
    <col min="9232" max="9232" width="10" style="1977" customWidth="1"/>
    <col min="9233" max="9233" width="11.75" style="1977" customWidth="1"/>
    <col min="9234" max="9234" width="8" style="1977"/>
    <col min="9235" max="9235" width="24.875" style="1977" bestFit="1" customWidth="1"/>
    <col min="9236" max="9473" width="8" style="1977"/>
    <col min="9474" max="9474" width="4.375" style="1977" customWidth="1"/>
    <col min="9475" max="9475" width="18.875" style="1977" customWidth="1"/>
    <col min="9476" max="9483" width="8" style="1977"/>
    <col min="9484" max="9484" width="9.75" style="1977" customWidth="1"/>
    <col min="9485" max="9485" width="8" style="1977"/>
    <col min="9486" max="9486" width="11.375" style="1977" customWidth="1"/>
    <col min="9487" max="9487" width="8.75" style="1977" customWidth="1"/>
    <col min="9488" max="9488" width="10" style="1977" customWidth="1"/>
    <col min="9489" max="9489" width="11.75" style="1977" customWidth="1"/>
    <col min="9490" max="9490" width="8" style="1977"/>
    <col min="9491" max="9491" width="24.875" style="1977" bestFit="1" customWidth="1"/>
    <col min="9492" max="9729" width="8" style="1977"/>
    <col min="9730" max="9730" width="4.375" style="1977" customWidth="1"/>
    <col min="9731" max="9731" width="18.875" style="1977" customWidth="1"/>
    <col min="9732" max="9739" width="8" style="1977"/>
    <col min="9740" max="9740" width="9.75" style="1977" customWidth="1"/>
    <col min="9741" max="9741" width="8" style="1977"/>
    <col min="9742" max="9742" width="11.375" style="1977" customWidth="1"/>
    <col min="9743" max="9743" width="8.75" style="1977" customWidth="1"/>
    <col min="9744" max="9744" width="10" style="1977" customWidth="1"/>
    <col min="9745" max="9745" width="11.75" style="1977" customWidth="1"/>
    <col min="9746" max="9746" width="8" style="1977"/>
    <col min="9747" max="9747" width="24.875" style="1977" bestFit="1" customWidth="1"/>
    <col min="9748" max="9985" width="8" style="1977"/>
    <col min="9986" max="9986" width="4.375" style="1977" customWidth="1"/>
    <col min="9987" max="9987" width="18.875" style="1977" customWidth="1"/>
    <col min="9988" max="9995" width="8" style="1977"/>
    <col min="9996" max="9996" width="9.75" style="1977" customWidth="1"/>
    <col min="9997" max="9997" width="8" style="1977"/>
    <col min="9998" max="9998" width="11.375" style="1977" customWidth="1"/>
    <col min="9999" max="9999" width="8.75" style="1977" customWidth="1"/>
    <col min="10000" max="10000" width="10" style="1977" customWidth="1"/>
    <col min="10001" max="10001" width="11.75" style="1977" customWidth="1"/>
    <col min="10002" max="10002" width="8" style="1977"/>
    <col min="10003" max="10003" width="24.875" style="1977" bestFit="1" customWidth="1"/>
    <col min="10004" max="10241" width="8" style="1977"/>
    <col min="10242" max="10242" width="4.375" style="1977" customWidth="1"/>
    <col min="10243" max="10243" width="18.875" style="1977" customWidth="1"/>
    <col min="10244" max="10251" width="8" style="1977"/>
    <col min="10252" max="10252" width="9.75" style="1977" customWidth="1"/>
    <col min="10253" max="10253" width="8" style="1977"/>
    <col min="10254" max="10254" width="11.375" style="1977" customWidth="1"/>
    <col min="10255" max="10255" width="8.75" style="1977" customWidth="1"/>
    <col min="10256" max="10256" width="10" style="1977" customWidth="1"/>
    <col min="10257" max="10257" width="11.75" style="1977" customWidth="1"/>
    <col min="10258" max="10258" width="8" style="1977"/>
    <col min="10259" max="10259" width="24.875" style="1977" bestFit="1" customWidth="1"/>
    <col min="10260" max="10497" width="8" style="1977"/>
    <col min="10498" max="10498" width="4.375" style="1977" customWidth="1"/>
    <col min="10499" max="10499" width="18.875" style="1977" customWidth="1"/>
    <col min="10500" max="10507" width="8" style="1977"/>
    <col min="10508" max="10508" width="9.75" style="1977" customWidth="1"/>
    <col min="10509" max="10509" width="8" style="1977"/>
    <col min="10510" max="10510" width="11.375" style="1977" customWidth="1"/>
    <col min="10511" max="10511" width="8.75" style="1977" customWidth="1"/>
    <col min="10512" max="10512" width="10" style="1977" customWidth="1"/>
    <col min="10513" max="10513" width="11.75" style="1977" customWidth="1"/>
    <col min="10514" max="10514" width="8" style="1977"/>
    <col min="10515" max="10515" width="24.875" style="1977" bestFit="1" customWidth="1"/>
    <col min="10516" max="10753" width="8" style="1977"/>
    <col min="10754" max="10754" width="4.375" style="1977" customWidth="1"/>
    <col min="10755" max="10755" width="18.875" style="1977" customWidth="1"/>
    <col min="10756" max="10763" width="8" style="1977"/>
    <col min="10764" max="10764" width="9.75" style="1977" customWidth="1"/>
    <col min="10765" max="10765" width="8" style="1977"/>
    <col min="10766" max="10766" width="11.375" style="1977" customWidth="1"/>
    <col min="10767" max="10767" width="8.75" style="1977" customWidth="1"/>
    <col min="10768" max="10768" width="10" style="1977" customWidth="1"/>
    <col min="10769" max="10769" width="11.75" style="1977" customWidth="1"/>
    <col min="10770" max="10770" width="8" style="1977"/>
    <col min="10771" max="10771" width="24.875" style="1977" bestFit="1" customWidth="1"/>
    <col min="10772" max="11009" width="8" style="1977"/>
    <col min="11010" max="11010" width="4.375" style="1977" customWidth="1"/>
    <col min="11011" max="11011" width="18.875" style="1977" customWidth="1"/>
    <col min="11012" max="11019" width="8" style="1977"/>
    <col min="11020" max="11020" width="9.75" style="1977" customWidth="1"/>
    <col min="11021" max="11021" width="8" style="1977"/>
    <col min="11022" max="11022" width="11.375" style="1977" customWidth="1"/>
    <col min="11023" max="11023" width="8.75" style="1977" customWidth="1"/>
    <col min="11024" max="11024" width="10" style="1977" customWidth="1"/>
    <col min="11025" max="11025" width="11.75" style="1977" customWidth="1"/>
    <col min="11026" max="11026" width="8" style="1977"/>
    <col min="11027" max="11027" width="24.875" style="1977" bestFit="1" customWidth="1"/>
    <col min="11028" max="11265" width="8" style="1977"/>
    <col min="11266" max="11266" width="4.375" style="1977" customWidth="1"/>
    <col min="11267" max="11267" width="18.875" style="1977" customWidth="1"/>
    <col min="11268" max="11275" width="8" style="1977"/>
    <col min="11276" max="11276" width="9.75" style="1977" customWidth="1"/>
    <col min="11277" max="11277" width="8" style="1977"/>
    <col min="11278" max="11278" width="11.375" style="1977" customWidth="1"/>
    <col min="11279" max="11279" width="8.75" style="1977" customWidth="1"/>
    <col min="11280" max="11280" width="10" style="1977" customWidth="1"/>
    <col min="11281" max="11281" width="11.75" style="1977" customWidth="1"/>
    <col min="11282" max="11282" width="8" style="1977"/>
    <col min="11283" max="11283" width="24.875" style="1977" bestFit="1" customWidth="1"/>
    <col min="11284" max="11521" width="8" style="1977"/>
    <col min="11522" max="11522" width="4.375" style="1977" customWidth="1"/>
    <col min="11523" max="11523" width="18.875" style="1977" customWidth="1"/>
    <col min="11524" max="11531" width="8" style="1977"/>
    <col min="11532" max="11532" width="9.75" style="1977" customWidth="1"/>
    <col min="11533" max="11533" width="8" style="1977"/>
    <col min="11534" max="11534" width="11.375" style="1977" customWidth="1"/>
    <col min="11535" max="11535" width="8.75" style="1977" customWidth="1"/>
    <col min="11536" max="11536" width="10" style="1977" customWidth="1"/>
    <col min="11537" max="11537" width="11.75" style="1977" customWidth="1"/>
    <col min="11538" max="11538" width="8" style="1977"/>
    <col min="11539" max="11539" width="24.875" style="1977" bestFit="1" customWidth="1"/>
    <col min="11540" max="11777" width="8" style="1977"/>
    <col min="11778" max="11778" width="4.375" style="1977" customWidth="1"/>
    <col min="11779" max="11779" width="18.875" style="1977" customWidth="1"/>
    <col min="11780" max="11787" width="8" style="1977"/>
    <col min="11788" max="11788" width="9.75" style="1977" customWidth="1"/>
    <col min="11789" max="11789" width="8" style="1977"/>
    <col min="11790" max="11790" width="11.375" style="1977" customWidth="1"/>
    <col min="11791" max="11791" width="8.75" style="1977" customWidth="1"/>
    <col min="11792" max="11792" width="10" style="1977" customWidth="1"/>
    <col min="11793" max="11793" width="11.75" style="1977" customWidth="1"/>
    <col min="11794" max="11794" width="8" style="1977"/>
    <col min="11795" max="11795" width="24.875" style="1977" bestFit="1" customWidth="1"/>
    <col min="11796" max="12033" width="8" style="1977"/>
    <col min="12034" max="12034" width="4.375" style="1977" customWidth="1"/>
    <col min="12035" max="12035" width="18.875" style="1977" customWidth="1"/>
    <col min="12036" max="12043" width="8" style="1977"/>
    <col min="12044" max="12044" width="9.75" style="1977" customWidth="1"/>
    <col min="12045" max="12045" width="8" style="1977"/>
    <col min="12046" max="12046" width="11.375" style="1977" customWidth="1"/>
    <col min="12047" max="12047" width="8.75" style="1977" customWidth="1"/>
    <col min="12048" max="12048" width="10" style="1977" customWidth="1"/>
    <col min="12049" max="12049" width="11.75" style="1977" customWidth="1"/>
    <col min="12050" max="12050" width="8" style="1977"/>
    <col min="12051" max="12051" width="24.875" style="1977" bestFit="1" customWidth="1"/>
    <col min="12052" max="12289" width="8" style="1977"/>
    <col min="12290" max="12290" width="4.375" style="1977" customWidth="1"/>
    <col min="12291" max="12291" width="18.875" style="1977" customWidth="1"/>
    <col min="12292" max="12299" width="8" style="1977"/>
    <col min="12300" max="12300" width="9.75" style="1977" customWidth="1"/>
    <col min="12301" max="12301" width="8" style="1977"/>
    <col min="12302" max="12302" width="11.375" style="1977" customWidth="1"/>
    <col min="12303" max="12303" width="8.75" style="1977" customWidth="1"/>
    <col min="12304" max="12304" width="10" style="1977" customWidth="1"/>
    <col min="12305" max="12305" width="11.75" style="1977" customWidth="1"/>
    <col min="12306" max="12306" width="8" style="1977"/>
    <col min="12307" max="12307" width="24.875" style="1977" bestFit="1" customWidth="1"/>
    <col min="12308" max="12545" width="8" style="1977"/>
    <col min="12546" max="12546" width="4.375" style="1977" customWidth="1"/>
    <col min="12547" max="12547" width="18.875" style="1977" customWidth="1"/>
    <col min="12548" max="12555" width="8" style="1977"/>
    <col min="12556" max="12556" width="9.75" style="1977" customWidth="1"/>
    <col min="12557" max="12557" width="8" style="1977"/>
    <col min="12558" max="12558" width="11.375" style="1977" customWidth="1"/>
    <col min="12559" max="12559" width="8.75" style="1977" customWidth="1"/>
    <col min="12560" max="12560" width="10" style="1977" customWidth="1"/>
    <col min="12561" max="12561" width="11.75" style="1977" customWidth="1"/>
    <col min="12562" max="12562" width="8" style="1977"/>
    <col min="12563" max="12563" width="24.875" style="1977" bestFit="1" customWidth="1"/>
    <col min="12564" max="12801" width="8" style="1977"/>
    <col min="12802" max="12802" width="4.375" style="1977" customWidth="1"/>
    <col min="12803" max="12803" width="18.875" style="1977" customWidth="1"/>
    <col min="12804" max="12811" width="8" style="1977"/>
    <col min="12812" max="12812" width="9.75" style="1977" customWidth="1"/>
    <col min="12813" max="12813" width="8" style="1977"/>
    <col min="12814" max="12814" width="11.375" style="1977" customWidth="1"/>
    <col min="12815" max="12815" width="8.75" style="1977" customWidth="1"/>
    <col min="12816" max="12816" width="10" style="1977" customWidth="1"/>
    <col min="12817" max="12817" width="11.75" style="1977" customWidth="1"/>
    <col min="12818" max="12818" width="8" style="1977"/>
    <col min="12819" max="12819" width="24.875" style="1977" bestFit="1" customWidth="1"/>
    <col min="12820" max="13057" width="8" style="1977"/>
    <col min="13058" max="13058" width="4.375" style="1977" customWidth="1"/>
    <col min="13059" max="13059" width="18.875" style="1977" customWidth="1"/>
    <col min="13060" max="13067" width="8" style="1977"/>
    <col min="13068" max="13068" width="9.75" style="1977" customWidth="1"/>
    <col min="13069" max="13069" width="8" style="1977"/>
    <col min="13070" max="13070" width="11.375" style="1977" customWidth="1"/>
    <col min="13071" max="13071" width="8.75" style="1977" customWidth="1"/>
    <col min="13072" max="13072" width="10" style="1977" customWidth="1"/>
    <col min="13073" max="13073" width="11.75" style="1977" customWidth="1"/>
    <col min="13074" max="13074" width="8" style="1977"/>
    <col min="13075" max="13075" width="24.875" style="1977" bestFit="1" customWidth="1"/>
    <col min="13076" max="13313" width="8" style="1977"/>
    <col min="13314" max="13314" width="4.375" style="1977" customWidth="1"/>
    <col min="13315" max="13315" width="18.875" style="1977" customWidth="1"/>
    <col min="13316" max="13323" width="8" style="1977"/>
    <col min="13324" max="13324" width="9.75" style="1977" customWidth="1"/>
    <col min="13325" max="13325" width="8" style="1977"/>
    <col min="13326" max="13326" width="11.375" style="1977" customWidth="1"/>
    <col min="13327" max="13327" width="8.75" style="1977" customWidth="1"/>
    <col min="13328" max="13328" width="10" style="1977" customWidth="1"/>
    <col min="13329" max="13329" width="11.75" style="1977" customWidth="1"/>
    <col min="13330" max="13330" width="8" style="1977"/>
    <col min="13331" max="13331" width="24.875" style="1977" bestFit="1" customWidth="1"/>
    <col min="13332" max="13569" width="8" style="1977"/>
    <col min="13570" max="13570" width="4.375" style="1977" customWidth="1"/>
    <col min="13571" max="13571" width="18.875" style="1977" customWidth="1"/>
    <col min="13572" max="13579" width="8" style="1977"/>
    <col min="13580" max="13580" width="9.75" style="1977" customWidth="1"/>
    <col min="13581" max="13581" width="8" style="1977"/>
    <col min="13582" max="13582" width="11.375" style="1977" customWidth="1"/>
    <col min="13583" max="13583" width="8.75" style="1977" customWidth="1"/>
    <col min="13584" max="13584" width="10" style="1977" customWidth="1"/>
    <col min="13585" max="13585" width="11.75" style="1977" customWidth="1"/>
    <col min="13586" max="13586" width="8" style="1977"/>
    <col min="13587" max="13587" width="24.875" style="1977" bestFit="1" customWidth="1"/>
    <col min="13588" max="13825" width="8" style="1977"/>
    <col min="13826" max="13826" width="4.375" style="1977" customWidth="1"/>
    <col min="13827" max="13827" width="18.875" style="1977" customWidth="1"/>
    <col min="13828" max="13835" width="8" style="1977"/>
    <col min="13836" max="13836" width="9.75" style="1977" customWidth="1"/>
    <col min="13837" max="13837" width="8" style="1977"/>
    <col min="13838" max="13838" width="11.375" style="1977" customWidth="1"/>
    <col min="13839" max="13839" width="8.75" style="1977" customWidth="1"/>
    <col min="13840" max="13840" width="10" style="1977" customWidth="1"/>
    <col min="13841" max="13841" width="11.75" style="1977" customWidth="1"/>
    <col min="13842" max="13842" width="8" style="1977"/>
    <col min="13843" max="13843" width="24.875" style="1977" bestFit="1" customWidth="1"/>
    <col min="13844" max="14081" width="8" style="1977"/>
    <col min="14082" max="14082" width="4.375" style="1977" customWidth="1"/>
    <col min="14083" max="14083" width="18.875" style="1977" customWidth="1"/>
    <col min="14084" max="14091" width="8" style="1977"/>
    <col min="14092" max="14092" width="9.75" style="1977" customWidth="1"/>
    <col min="14093" max="14093" width="8" style="1977"/>
    <col min="14094" max="14094" width="11.375" style="1977" customWidth="1"/>
    <col min="14095" max="14095" width="8.75" style="1977" customWidth="1"/>
    <col min="14096" max="14096" width="10" style="1977" customWidth="1"/>
    <col min="14097" max="14097" width="11.75" style="1977" customWidth="1"/>
    <col min="14098" max="14098" width="8" style="1977"/>
    <col min="14099" max="14099" width="24.875" style="1977" bestFit="1" customWidth="1"/>
    <col min="14100" max="14337" width="8" style="1977"/>
    <col min="14338" max="14338" width="4.375" style="1977" customWidth="1"/>
    <col min="14339" max="14339" width="18.875" style="1977" customWidth="1"/>
    <col min="14340" max="14347" width="8" style="1977"/>
    <col min="14348" max="14348" width="9.75" style="1977" customWidth="1"/>
    <col min="14349" max="14349" width="8" style="1977"/>
    <col min="14350" max="14350" width="11.375" style="1977" customWidth="1"/>
    <col min="14351" max="14351" width="8.75" style="1977" customWidth="1"/>
    <col min="14352" max="14352" width="10" style="1977" customWidth="1"/>
    <col min="14353" max="14353" width="11.75" style="1977" customWidth="1"/>
    <col min="14354" max="14354" width="8" style="1977"/>
    <col min="14355" max="14355" width="24.875" style="1977" bestFit="1" customWidth="1"/>
    <col min="14356" max="14593" width="8" style="1977"/>
    <col min="14594" max="14594" width="4.375" style="1977" customWidth="1"/>
    <col min="14595" max="14595" width="18.875" style="1977" customWidth="1"/>
    <col min="14596" max="14603" width="8" style="1977"/>
    <col min="14604" max="14604" width="9.75" style="1977" customWidth="1"/>
    <col min="14605" max="14605" width="8" style="1977"/>
    <col min="14606" max="14606" width="11.375" style="1977" customWidth="1"/>
    <col min="14607" max="14607" width="8.75" style="1977" customWidth="1"/>
    <col min="14608" max="14608" width="10" style="1977" customWidth="1"/>
    <col min="14609" max="14609" width="11.75" style="1977" customWidth="1"/>
    <col min="14610" max="14610" width="8" style="1977"/>
    <col min="14611" max="14611" width="24.875" style="1977" bestFit="1" customWidth="1"/>
    <col min="14612" max="14849" width="8" style="1977"/>
    <col min="14850" max="14850" width="4.375" style="1977" customWidth="1"/>
    <col min="14851" max="14851" width="18.875" style="1977" customWidth="1"/>
    <col min="14852" max="14859" width="8" style="1977"/>
    <col min="14860" max="14860" width="9.75" style="1977" customWidth="1"/>
    <col min="14861" max="14861" width="8" style="1977"/>
    <col min="14862" max="14862" width="11.375" style="1977" customWidth="1"/>
    <col min="14863" max="14863" width="8.75" style="1977" customWidth="1"/>
    <col min="14864" max="14864" width="10" style="1977" customWidth="1"/>
    <col min="14865" max="14865" width="11.75" style="1977" customWidth="1"/>
    <col min="14866" max="14866" width="8" style="1977"/>
    <col min="14867" max="14867" width="24.875" style="1977" bestFit="1" customWidth="1"/>
    <col min="14868" max="15105" width="8" style="1977"/>
    <col min="15106" max="15106" width="4.375" style="1977" customWidth="1"/>
    <col min="15107" max="15107" width="18.875" style="1977" customWidth="1"/>
    <col min="15108" max="15115" width="8" style="1977"/>
    <col min="15116" max="15116" width="9.75" style="1977" customWidth="1"/>
    <col min="15117" max="15117" width="8" style="1977"/>
    <col min="15118" max="15118" width="11.375" style="1977" customWidth="1"/>
    <col min="15119" max="15119" width="8.75" style="1977" customWidth="1"/>
    <col min="15120" max="15120" width="10" style="1977" customWidth="1"/>
    <col min="15121" max="15121" width="11.75" style="1977" customWidth="1"/>
    <col min="15122" max="15122" width="8" style="1977"/>
    <col min="15123" max="15123" width="24.875" style="1977" bestFit="1" customWidth="1"/>
    <col min="15124" max="15361" width="8" style="1977"/>
    <col min="15362" max="15362" width="4.375" style="1977" customWidth="1"/>
    <col min="15363" max="15363" width="18.875" style="1977" customWidth="1"/>
    <col min="15364" max="15371" width="8" style="1977"/>
    <col min="15372" max="15372" width="9.75" style="1977" customWidth="1"/>
    <col min="15373" max="15373" width="8" style="1977"/>
    <col min="15374" max="15374" width="11.375" style="1977" customWidth="1"/>
    <col min="15375" max="15375" width="8.75" style="1977" customWidth="1"/>
    <col min="15376" max="15376" width="10" style="1977" customWidth="1"/>
    <col min="15377" max="15377" width="11.75" style="1977" customWidth="1"/>
    <col min="15378" max="15378" width="8" style="1977"/>
    <col min="15379" max="15379" width="24.875" style="1977" bestFit="1" customWidth="1"/>
    <col min="15380" max="15617" width="8" style="1977"/>
    <col min="15618" max="15618" width="4.375" style="1977" customWidth="1"/>
    <col min="15619" max="15619" width="18.875" style="1977" customWidth="1"/>
    <col min="15620" max="15627" width="8" style="1977"/>
    <col min="15628" max="15628" width="9.75" style="1977" customWidth="1"/>
    <col min="15629" max="15629" width="8" style="1977"/>
    <col min="15630" max="15630" width="11.375" style="1977" customWidth="1"/>
    <col min="15631" max="15631" width="8.75" style="1977" customWidth="1"/>
    <col min="15632" max="15632" width="10" style="1977" customWidth="1"/>
    <col min="15633" max="15633" width="11.75" style="1977" customWidth="1"/>
    <col min="15634" max="15634" width="8" style="1977"/>
    <col min="15635" max="15635" width="24.875" style="1977" bestFit="1" customWidth="1"/>
    <col min="15636" max="15873" width="8" style="1977"/>
    <col min="15874" max="15874" width="4.375" style="1977" customWidth="1"/>
    <col min="15875" max="15875" width="18.875" style="1977" customWidth="1"/>
    <col min="15876" max="15883" width="8" style="1977"/>
    <col min="15884" max="15884" width="9.75" style="1977" customWidth="1"/>
    <col min="15885" max="15885" width="8" style="1977"/>
    <col min="15886" max="15886" width="11.375" style="1977" customWidth="1"/>
    <col min="15887" max="15887" width="8.75" style="1977" customWidth="1"/>
    <col min="15888" max="15888" width="10" style="1977" customWidth="1"/>
    <col min="15889" max="15889" width="11.75" style="1977" customWidth="1"/>
    <col min="15890" max="15890" width="8" style="1977"/>
    <col min="15891" max="15891" width="24.875" style="1977" bestFit="1" customWidth="1"/>
    <col min="15892" max="16129" width="8" style="1977"/>
    <col min="16130" max="16130" width="4.375" style="1977" customWidth="1"/>
    <col min="16131" max="16131" width="18.875" style="1977" customWidth="1"/>
    <col min="16132" max="16139" width="8" style="1977"/>
    <col min="16140" max="16140" width="9.75" style="1977" customWidth="1"/>
    <col min="16141" max="16141" width="8" style="1977"/>
    <col min="16142" max="16142" width="11.375" style="1977" customWidth="1"/>
    <col min="16143" max="16143" width="8.75" style="1977" customWidth="1"/>
    <col min="16144" max="16144" width="10" style="1977" customWidth="1"/>
    <col min="16145" max="16145" width="11.75" style="1977" customWidth="1"/>
    <col min="16146" max="16146" width="8" style="1977"/>
    <col min="16147" max="16147" width="24.875" style="1977" bestFit="1" customWidth="1"/>
    <col min="16148" max="16384" width="8" style="429"/>
  </cols>
  <sheetData>
    <row r="1" spans="1:32">
      <c r="B1" s="428" t="s">
        <v>799</v>
      </c>
      <c r="C1" s="428"/>
    </row>
    <row r="2" spans="1:32">
      <c r="D2" s="1967" t="s">
        <v>1208</v>
      </c>
      <c r="E2" s="1967" t="s">
        <v>1209</v>
      </c>
      <c r="F2" s="1967" t="s">
        <v>1210</v>
      </c>
      <c r="G2" s="1967" t="s">
        <v>1211</v>
      </c>
      <c r="H2" s="1967" t="s">
        <v>1212</v>
      </c>
      <c r="I2" s="1967" t="s">
        <v>1213</v>
      </c>
      <c r="J2" s="1967" t="s">
        <v>1214</v>
      </c>
      <c r="K2" s="1967" t="s">
        <v>1215</v>
      </c>
      <c r="L2" s="1967" t="s">
        <v>1216</v>
      </c>
      <c r="M2" s="1967" t="s">
        <v>1217</v>
      </c>
      <c r="N2" s="1967" t="s">
        <v>1218</v>
      </c>
      <c r="O2" s="1967" t="s">
        <v>1219</v>
      </c>
      <c r="P2" s="1967" t="s">
        <v>261</v>
      </c>
      <c r="Q2" s="1967" t="s">
        <v>1935</v>
      </c>
      <c r="R2" s="1088" t="s">
        <v>1914</v>
      </c>
      <c r="S2" s="1089"/>
      <c r="T2" s="1089"/>
      <c r="U2" s="1089"/>
      <c r="V2" s="1089"/>
      <c r="W2" s="1089"/>
      <c r="X2" s="1089"/>
      <c r="Y2" s="1089"/>
      <c r="Z2" s="1089"/>
      <c r="AA2" s="1089"/>
      <c r="AB2" s="1089"/>
      <c r="AC2" s="1089"/>
      <c r="AD2" s="1089"/>
    </row>
    <row r="3" spans="1:32" ht="14.25" customHeight="1" thickBot="1">
      <c r="A3" s="429">
        <v>2</v>
      </c>
      <c r="B3" s="1968" t="s">
        <v>1499</v>
      </c>
      <c r="C3" s="1968"/>
      <c r="D3" s="1967"/>
      <c r="E3" s="1967"/>
      <c r="F3" s="1967"/>
      <c r="G3" s="1967"/>
      <c r="H3" s="1967"/>
      <c r="I3" s="1967"/>
      <c r="J3" s="1967"/>
      <c r="K3" s="1967"/>
      <c r="L3" s="1967"/>
      <c r="M3" s="1967"/>
      <c r="N3" s="1967"/>
      <c r="O3" s="1967"/>
      <c r="P3" s="1967"/>
      <c r="Q3" s="1967"/>
      <c r="S3" s="1967" t="s">
        <v>800</v>
      </c>
      <c r="T3" s="1967" t="s">
        <v>801</v>
      </c>
      <c r="U3" s="1967" t="s">
        <v>881</v>
      </c>
      <c r="V3" s="1967" t="s">
        <v>882</v>
      </c>
      <c r="W3" s="1967" t="s">
        <v>1212</v>
      </c>
      <c r="X3" s="1967" t="s">
        <v>883</v>
      </c>
      <c r="Y3" s="1967" t="s">
        <v>884</v>
      </c>
      <c r="Z3" s="1967" t="s">
        <v>885</v>
      </c>
      <c r="AA3" s="1967" t="s">
        <v>802</v>
      </c>
      <c r="AB3" s="1967" t="s">
        <v>803</v>
      </c>
      <c r="AC3" s="1967" t="s">
        <v>804</v>
      </c>
      <c r="AD3" s="1967" t="s">
        <v>805</v>
      </c>
      <c r="AE3" s="1967" t="s">
        <v>32</v>
      </c>
    </row>
    <row r="4" spans="1:32" ht="15.75" thickBot="1">
      <c r="A4" s="429">
        <v>3</v>
      </c>
      <c r="B4" s="1969" t="s">
        <v>806</v>
      </c>
      <c r="C4" s="1970" t="s">
        <v>1915</v>
      </c>
      <c r="D4" s="1971">
        <v>35</v>
      </c>
      <c r="E4" s="1971">
        <v>30</v>
      </c>
      <c r="F4" s="1971">
        <v>30</v>
      </c>
      <c r="G4" s="1971">
        <v>20</v>
      </c>
      <c r="H4" s="1971">
        <v>11</v>
      </c>
      <c r="I4" s="1971">
        <v>8</v>
      </c>
      <c r="J4" s="1971">
        <v>9</v>
      </c>
      <c r="K4" s="1971">
        <v>14</v>
      </c>
      <c r="L4" s="1971">
        <v>12</v>
      </c>
      <c r="M4" s="1971">
        <v>21</v>
      </c>
      <c r="N4" s="1971">
        <v>27</v>
      </c>
      <c r="O4" s="1971">
        <v>19</v>
      </c>
      <c r="P4" s="1972">
        <v>236</v>
      </c>
      <c r="Q4" s="1972" t="str">
        <f>R6</f>
        <v>Zone 1 - Cold Interior</v>
      </c>
      <c r="R4" s="429" t="s">
        <v>1916</v>
      </c>
    </row>
    <row r="5" spans="1:32" ht="15.75" thickBot="1">
      <c r="A5" s="429">
        <v>5</v>
      </c>
      <c r="B5" s="1969" t="s">
        <v>807</v>
      </c>
      <c r="C5" s="1970" t="s">
        <v>1915</v>
      </c>
      <c r="D5" s="1971">
        <v>120</v>
      </c>
      <c r="E5" s="1971">
        <v>84</v>
      </c>
      <c r="F5" s="1971">
        <v>74</v>
      </c>
      <c r="G5" s="1971">
        <v>37</v>
      </c>
      <c r="H5" s="1971">
        <v>7</v>
      </c>
      <c r="I5" s="1971">
        <v>6</v>
      </c>
      <c r="J5" s="1971">
        <v>2</v>
      </c>
      <c r="K5" s="1971">
        <v>5</v>
      </c>
      <c r="L5" s="1971">
        <v>16</v>
      </c>
      <c r="M5" s="1971">
        <v>58</v>
      </c>
      <c r="N5" s="1971">
        <v>101</v>
      </c>
      <c r="O5" s="1971">
        <v>124</v>
      </c>
      <c r="P5" s="1972">
        <v>634</v>
      </c>
      <c r="Q5" s="1972" t="str">
        <f>R7</f>
        <v>Zone 2 - Temperate Interior</v>
      </c>
    </row>
    <row r="6" spans="1:32" ht="15.75" thickBot="1">
      <c r="A6" s="429">
        <v>7</v>
      </c>
      <c r="B6" s="1969" t="s">
        <v>808</v>
      </c>
      <c r="C6" s="1970" t="s">
        <v>1915</v>
      </c>
      <c r="D6" s="1971">
        <v>170</v>
      </c>
      <c r="E6" s="1971">
        <v>101</v>
      </c>
      <c r="F6" s="1971">
        <v>83</v>
      </c>
      <c r="G6" s="1971">
        <v>53</v>
      </c>
      <c r="H6" s="1971">
        <v>16</v>
      </c>
      <c r="I6" s="1971">
        <v>7</v>
      </c>
      <c r="J6" s="1971">
        <v>5</v>
      </c>
      <c r="K6" s="1971">
        <v>9</v>
      </c>
      <c r="L6" s="1971">
        <v>33</v>
      </c>
      <c r="M6" s="1971">
        <v>93</v>
      </c>
      <c r="N6" s="1971">
        <v>156</v>
      </c>
      <c r="O6" s="1971">
        <v>152</v>
      </c>
      <c r="P6" s="1972">
        <v>878</v>
      </c>
      <c r="Q6" s="1972" t="str">
        <f>R6</f>
        <v>Zone 1 - Cold Interior</v>
      </c>
      <c r="R6" s="1090" t="s">
        <v>1917</v>
      </c>
      <c r="S6" s="1091">
        <v>0.5</v>
      </c>
      <c r="T6" s="1091">
        <v>0.5</v>
      </c>
      <c r="U6" s="1091">
        <v>0.5</v>
      </c>
      <c r="V6" s="1091">
        <v>1</v>
      </c>
      <c r="W6" s="1091">
        <v>1</v>
      </c>
      <c r="X6" s="1091">
        <v>1</v>
      </c>
      <c r="Y6" s="1091">
        <v>1</v>
      </c>
      <c r="Z6" s="1091">
        <v>1</v>
      </c>
      <c r="AA6" s="1091">
        <v>1</v>
      </c>
      <c r="AB6" s="1091">
        <v>0.5</v>
      </c>
      <c r="AC6" s="1091">
        <v>0.5</v>
      </c>
      <c r="AD6" s="1091">
        <v>0.5</v>
      </c>
      <c r="AE6" s="1091">
        <f t="shared" ref="AE6:AE11" si="0">SUM(S6:AD6)</f>
        <v>9</v>
      </c>
      <c r="AF6" s="1092"/>
    </row>
    <row r="7" spans="1:32" ht="15.75" thickBot="1">
      <c r="A7" s="429">
        <v>9</v>
      </c>
      <c r="B7" s="1969" t="s">
        <v>809</v>
      </c>
      <c r="C7" s="1970" t="s">
        <v>1915</v>
      </c>
      <c r="D7" s="1971">
        <v>146</v>
      </c>
      <c r="E7" s="1971">
        <v>75</v>
      </c>
      <c r="F7" s="1971">
        <v>61</v>
      </c>
      <c r="G7" s="1971">
        <v>48</v>
      </c>
      <c r="H7" s="1971">
        <v>14</v>
      </c>
      <c r="I7" s="1971">
        <v>7</v>
      </c>
      <c r="J7" s="1971">
        <v>6</v>
      </c>
      <c r="K7" s="1971">
        <v>13</v>
      </c>
      <c r="L7" s="1971">
        <v>28</v>
      </c>
      <c r="M7" s="1971">
        <v>78</v>
      </c>
      <c r="N7" s="1971">
        <v>129</v>
      </c>
      <c r="O7" s="1971">
        <v>106</v>
      </c>
      <c r="P7" s="1972">
        <v>711</v>
      </c>
      <c r="Q7" s="1972" t="str">
        <f>R6</f>
        <v>Zone 1 - Cold Interior</v>
      </c>
      <c r="R7" s="1090" t="s">
        <v>1585</v>
      </c>
      <c r="S7" s="1091">
        <v>0.5</v>
      </c>
      <c r="T7" s="1091">
        <v>0.5</v>
      </c>
      <c r="U7" s="1091">
        <v>0.5</v>
      </c>
      <c r="V7" s="1091">
        <v>1</v>
      </c>
      <c r="W7" s="1091">
        <v>1</v>
      </c>
      <c r="X7" s="1091">
        <v>1</v>
      </c>
      <c r="Y7" s="1091">
        <v>1</v>
      </c>
      <c r="Z7" s="1091">
        <v>1</v>
      </c>
      <c r="AA7" s="1091">
        <v>1</v>
      </c>
      <c r="AB7" s="1091">
        <v>0.5</v>
      </c>
      <c r="AC7" s="1091">
        <v>0.5</v>
      </c>
      <c r="AD7" s="1091">
        <v>0.5</v>
      </c>
      <c r="AE7" s="1091">
        <f t="shared" si="0"/>
        <v>9</v>
      </c>
      <c r="AF7" s="1092"/>
    </row>
    <row r="8" spans="1:32" ht="15.75" thickBot="1">
      <c r="A8" s="429">
        <v>11</v>
      </c>
      <c r="B8" s="1969" t="s">
        <v>810</v>
      </c>
      <c r="C8" s="1970" t="s">
        <v>1915</v>
      </c>
      <c r="D8" s="1971">
        <v>96</v>
      </c>
      <c r="E8" s="1971">
        <v>77</v>
      </c>
      <c r="F8" s="1971">
        <v>94</v>
      </c>
      <c r="G8" s="1971">
        <v>58</v>
      </c>
      <c r="H8" s="1971">
        <v>9</v>
      </c>
      <c r="I8" s="1971">
        <v>12</v>
      </c>
      <c r="J8" s="1971">
        <v>7</v>
      </c>
      <c r="K8" s="1971">
        <v>27</v>
      </c>
      <c r="L8" s="1971">
        <v>35</v>
      </c>
      <c r="M8" s="1971">
        <v>83</v>
      </c>
      <c r="N8" s="1971">
        <v>96</v>
      </c>
      <c r="O8" s="1971">
        <v>86</v>
      </c>
      <c r="P8" s="1972">
        <v>680</v>
      </c>
      <c r="Q8" s="1972" t="str">
        <f>R6</f>
        <v>Zone 1 - Cold Interior</v>
      </c>
      <c r="R8" s="1090" t="s">
        <v>1918</v>
      </c>
      <c r="S8" s="1091">
        <v>0.5</v>
      </c>
      <c r="T8" s="1091">
        <v>0.5</v>
      </c>
      <c r="U8" s="1091">
        <v>0.5</v>
      </c>
      <c r="V8" s="1091">
        <v>1</v>
      </c>
      <c r="W8" s="1091">
        <v>1</v>
      </c>
      <c r="X8" s="1091">
        <v>1</v>
      </c>
      <c r="Y8" s="1091">
        <v>1</v>
      </c>
      <c r="Z8" s="1091">
        <v>1</v>
      </c>
      <c r="AA8" s="1091">
        <v>1</v>
      </c>
      <c r="AB8" s="1091">
        <v>0.5</v>
      </c>
      <c r="AC8" s="1091">
        <v>0.5</v>
      </c>
      <c r="AD8" s="1091">
        <v>0.5</v>
      </c>
      <c r="AE8" s="1091">
        <f t="shared" si="0"/>
        <v>9</v>
      </c>
      <c r="AF8" s="1092"/>
    </row>
    <row r="9" spans="1:32" ht="15.75" thickBot="1">
      <c r="A9" s="429">
        <v>13</v>
      </c>
      <c r="B9" s="1969" t="s">
        <v>811</v>
      </c>
      <c r="C9" s="1970" t="s">
        <v>1915</v>
      </c>
      <c r="D9" s="1971">
        <v>83</v>
      </c>
      <c r="E9" s="1971">
        <v>111</v>
      </c>
      <c r="F9" s="1971">
        <v>72</v>
      </c>
      <c r="G9" s="1971">
        <v>56</v>
      </c>
      <c r="H9" s="1971">
        <v>17</v>
      </c>
      <c r="I9" s="1971">
        <v>12</v>
      </c>
      <c r="J9" s="1971">
        <v>8</v>
      </c>
      <c r="K9" s="1971">
        <v>15</v>
      </c>
      <c r="L9" s="1971">
        <v>24</v>
      </c>
      <c r="M9" s="1971">
        <v>43</v>
      </c>
      <c r="N9" s="1971">
        <v>58</v>
      </c>
      <c r="O9" s="1971">
        <v>60</v>
      </c>
      <c r="P9" s="1972">
        <v>559</v>
      </c>
      <c r="Q9" s="1972" t="str">
        <f>R6</f>
        <v>Zone 1 - Cold Interior</v>
      </c>
      <c r="R9" s="1090" t="s">
        <v>1919</v>
      </c>
      <c r="S9" s="1091">
        <v>1</v>
      </c>
      <c r="T9" s="1091">
        <v>1</v>
      </c>
      <c r="U9" s="1091">
        <v>1</v>
      </c>
      <c r="V9" s="1091">
        <v>1</v>
      </c>
      <c r="W9" s="1091">
        <v>0.5</v>
      </c>
      <c r="X9" s="1091">
        <v>0.5</v>
      </c>
      <c r="Y9" s="1091">
        <v>0.5</v>
      </c>
      <c r="Z9" s="1091">
        <v>0.5</v>
      </c>
      <c r="AA9" s="1091">
        <v>1</v>
      </c>
      <c r="AB9" s="1091">
        <v>1</v>
      </c>
      <c r="AC9" s="1091">
        <v>1</v>
      </c>
      <c r="AD9" s="1091">
        <v>1</v>
      </c>
      <c r="AE9" s="1091">
        <f t="shared" si="0"/>
        <v>10</v>
      </c>
      <c r="AF9" s="1092"/>
    </row>
    <row r="10" spans="1:32" ht="15.75" thickBot="1">
      <c r="B10" s="1969" t="s">
        <v>812</v>
      </c>
      <c r="C10" s="1970" t="s">
        <v>1915</v>
      </c>
      <c r="D10" s="1971">
        <v>14</v>
      </c>
      <c r="E10" s="1971">
        <v>12</v>
      </c>
      <c r="F10" s="1971">
        <v>26</v>
      </c>
      <c r="G10" s="1971">
        <v>27</v>
      </c>
      <c r="H10" s="1971">
        <v>22</v>
      </c>
      <c r="I10" s="1971">
        <v>34</v>
      </c>
      <c r="J10" s="1971">
        <v>23</v>
      </c>
      <c r="K10" s="1971">
        <v>24</v>
      </c>
      <c r="L10" s="1971">
        <v>13</v>
      </c>
      <c r="M10" s="1971">
        <v>11</v>
      </c>
      <c r="N10" s="1971">
        <v>13</v>
      </c>
      <c r="O10" s="1971">
        <v>9</v>
      </c>
      <c r="P10" s="1972">
        <v>228</v>
      </c>
      <c r="Q10" s="1972" t="str">
        <f>R7</f>
        <v>Zone 2 - Temperate Interior</v>
      </c>
      <c r="R10" s="1090" t="s">
        <v>1920</v>
      </c>
      <c r="S10" s="1091">
        <v>0.5</v>
      </c>
      <c r="T10" s="1091">
        <v>0.5</v>
      </c>
      <c r="U10" s="1091">
        <v>0.5</v>
      </c>
      <c r="V10" s="1091">
        <v>0.5</v>
      </c>
      <c r="W10" s="1091">
        <v>1</v>
      </c>
      <c r="X10" s="1091">
        <v>1</v>
      </c>
      <c r="Y10" s="1091">
        <v>1</v>
      </c>
      <c r="Z10" s="1091">
        <v>1</v>
      </c>
      <c r="AA10" s="1091">
        <v>0.5</v>
      </c>
      <c r="AB10" s="1091">
        <v>0.5</v>
      </c>
      <c r="AC10" s="1091">
        <v>0.5</v>
      </c>
      <c r="AD10" s="1091">
        <v>0.5</v>
      </c>
      <c r="AE10" s="1091">
        <f t="shared" si="0"/>
        <v>8</v>
      </c>
      <c r="AF10" s="1092"/>
    </row>
    <row r="11" spans="1:32" ht="15.75" thickBot="1">
      <c r="A11" s="429">
        <v>15</v>
      </c>
      <c r="B11" s="1969" t="s">
        <v>813</v>
      </c>
      <c r="C11" s="1970" t="s">
        <v>1915</v>
      </c>
      <c r="D11" s="1971">
        <v>15</v>
      </c>
      <c r="E11" s="1971">
        <v>17</v>
      </c>
      <c r="F11" s="1971">
        <v>20</v>
      </c>
      <c r="G11" s="1971">
        <v>41</v>
      </c>
      <c r="H11" s="1971">
        <v>69</v>
      </c>
      <c r="I11" s="1971">
        <v>93</v>
      </c>
      <c r="J11" s="1971">
        <v>82</v>
      </c>
      <c r="K11" s="1971">
        <v>77</v>
      </c>
      <c r="L11" s="1971">
        <v>40</v>
      </c>
      <c r="M11" s="1971">
        <v>30</v>
      </c>
      <c r="N11" s="1971">
        <v>14</v>
      </c>
      <c r="O11" s="1971">
        <v>17</v>
      </c>
      <c r="P11" s="1972">
        <v>515</v>
      </c>
      <c r="Q11" s="1972" t="str">
        <f>R9</f>
        <v>Zone 4 - Temperate Coastal</v>
      </c>
      <c r="R11" s="1090" t="s">
        <v>1921</v>
      </c>
      <c r="S11" s="1091">
        <v>1</v>
      </c>
      <c r="T11" s="1091">
        <v>0.5</v>
      </c>
      <c r="U11" s="1091">
        <v>1</v>
      </c>
      <c r="V11" s="1091">
        <v>1</v>
      </c>
      <c r="W11" s="1091">
        <v>1</v>
      </c>
      <c r="X11" s="1091">
        <v>1</v>
      </c>
      <c r="Y11" s="1091">
        <v>1</v>
      </c>
      <c r="Z11" s="1091">
        <v>1</v>
      </c>
      <c r="AA11" s="1091">
        <v>1</v>
      </c>
      <c r="AB11" s="1091">
        <v>1</v>
      </c>
      <c r="AC11" s="1091">
        <v>1</v>
      </c>
      <c r="AD11" s="1091">
        <v>1</v>
      </c>
      <c r="AE11" s="1091">
        <f t="shared" si="0"/>
        <v>11.5</v>
      </c>
      <c r="AF11" s="1092"/>
    </row>
    <row r="12" spans="1:32" ht="15.75" thickBot="1">
      <c r="B12" s="1969" t="s">
        <v>814</v>
      </c>
      <c r="C12" s="1970" t="s">
        <v>1915</v>
      </c>
      <c r="D12" s="1971">
        <v>36</v>
      </c>
      <c r="E12" s="1971">
        <v>60</v>
      </c>
      <c r="F12" s="1971">
        <v>52</v>
      </c>
      <c r="G12" s="1971">
        <v>41</v>
      </c>
      <c r="H12" s="1971">
        <v>16</v>
      </c>
      <c r="I12" s="1971">
        <v>13</v>
      </c>
      <c r="J12" s="1971">
        <v>13</v>
      </c>
      <c r="K12" s="1971">
        <v>15</v>
      </c>
      <c r="L12" s="1971">
        <v>11</v>
      </c>
      <c r="M12" s="1971">
        <v>26</v>
      </c>
      <c r="N12" s="1971">
        <v>30</v>
      </c>
      <c r="O12" s="1971">
        <v>23</v>
      </c>
      <c r="P12" s="1972">
        <v>336</v>
      </c>
      <c r="Q12" s="1972" t="str">
        <f>R6</f>
        <v>Zone 1 - Cold Interior</v>
      </c>
    </row>
    <row r="13" spans="1:32" ht="15.75" thickBot="1">
      <c r="A13" s="429">
        <v>17</v>
      </c>
      <c r="B13" s="1969" t="s">
        <v>815</v>
      </c>
      <c r="C13" s="1970" t="s">
        <v>1915</v>
      </c>
      <c r="D13" s="1971">
        <v>134</v>
      </c>
      <c r="E13" s="1971">
        <v>113</v>
      </c>
      <c r="F13" s="1971">
        <v>120</v>
      </c>
      <c r="G13" s="1971">
        <v>73</v>
      </c>
      <c r="H13" s="1971">
        <v>59</v>
      </c>
      <c r="I13" s="1971">
        <v>28</v>
      </c>
      <c r="J13" s="1971">
        <v>39</v>
      </c>
      <c r="K13" s="1971">
        <v>62</v>
      </c>
      <c r="L13" s="1971">
        <v>73</v>
      </c>
      <c r="M13" s="1971">
        <v>98</v>
      </c>
      <c r="N13" s="1971">
        <v>108</v>
      </c>
      <c r="O13" s="1971">
        <v>102</v>
      </c>
      <c r="P13" s="1972">
        <v>1009</v>
      </c>
      <c r="Q13" s="1972" t="str">
        <f>R10</f>
        <v>Zone 5 - Sub-tropical Coastal</v>
      </c>
      <c r="R13" s="429" t="s">
        <v>1922</v>
      </c>
      <c r="S13" s="429" t="s">
        <v>1923</v>
      </c>
      <c r="AE13" s="1089"/>
    </row>
    <row r="14" spans="1:32" ht="15.75" thickBot="1">
      <c r="B14" s="1969" t="s">
        <v>816</v>
      </c>
      <c r="C14" s="1970" t="s">
        <v>1915</v>
      </c>
      <c r="D14" s="1971">
        <v>69</v>
      </c>
      <c r="E14" s="1971">
        <v>92</v>
      </c>
      <c r="F14" s="1971">
        <v>105</v>
      </c>
      <c r="G14" s="1971">
        <v>83</v>
      </c>
      <c r="H14" s="1971">
        <v>52</v>
      </c>
      <c r="I14" s="1971">
        <v>40</v>
      </c>
      <c r="J14" s="1971">
        <v>47</v>
      </c>
      <c r="K14" s="1971">
        <v>78</v>
      </c>
      <c r="L14" s="1971">
        <v>80</v>
      </c>
      <c r="M14" s="1971">
        <v>102</v>
      </c>
      <c r="N14" s="1971">
        <v>110</v>
      </c>
      <c r="O14" s="1971">
        <v>63</v>
      </c>
      <c r="P14" s="1972">
        <v>921</v>
      </c>
      <c r="Q14" s="1972" t="str">
        <f>R10</f>
        <v>Zone 5 - Sub-tropical Coastal</v>
      </c>
      <c r="AE14" s="1089"/>
    </row>
    <row r="15" spans="1:32" ht="15.75" thickBot="1">
      <c r="A15" s="429">
        <v>19</v>
      </c>
      <c r="B15" s="1969" t="s">
        <v>817</v>
      </c>
      <c r="C15" s="1970" t="s">
        <v>1915</v>
      </c>
      <c r="D15" s="1971">
        <v>63</v>
      </c>
      <c r="E15" s="1971">
        <v>59</v>
      </c>
      <c r="F15" s="1971">
        <v>69</v>
      </c>
      <c r="G15" s="1971">
        <v>71</v>
      </c>
      <c r="H15" s="1971">
        <v>53</v>
      </c>
      <c r="I15" s="1971">
        <v>45</v>
      </c>
      <c r="J15" s="1971">
        <v>43</v>
      </c>
      <c r="K15" s="1971">
        <v>68</v>
      </c>
      <c r="L15" s="1971">
        <v>60</v>
      </c>
      <c r="M15" s="1971">
        <v>64</v>
      </c>
      <c r="N15" s="1971">
        <v>61</v>
      </c>
      <c r="O15" s="1971">
        <v>59</v>
      </c>
      <c r="P15" s="1972">
        <v>715</v>
      </c>
      <c r="Q15" s="1972" t="str">
        <f>R9</f>
        <v>Zone 4 - Temperate Coastal</v>
      </c>
      <c r="R15" s="1090" t="s">
        <v>1917</v>
      </c>
      <c r="S15" s="1096">
        <v>3.806225806451613</v>
      </c>
      <c r="T15" s="1096">
        <v>3.4066423357664224</v>
      </c>
      <c r="U15" s="1096">
        <v>2.9907407407407414</v>
      </c>
      <c r="V15" s="1096">
        <v>2.7884333333333342</v>
      </c>
      <c r="W15" s="1096">
        <v>2.4160429447852758</v>
      </c>
      <c r="X15" s="1096">
        <v>2.1003951367781148</v>
      </c>
      <c r="Y15" s="1096">
        <v>2.260615835777124</v>
      </c>
      <c r="Z15" s="1096">
        <v>2.8588554216867506</v>
      </c>
      <c r="AA15" s="1096">
        <v>3.8035759493670875</v>
      </c>
      <c r="AB15" s="1096">
        <v>3.9543870967741941</v>
      </c>
      <c r="AC15" s="1096">
        <v>3.9602000000000004</v>
      </c>
      <c r="AD15" s="1096">
        <v>4.2623870967741944</v>
      </c>
      <c r="AE15" s="1089"/>
    </row>
    <row r="16" spans="1:32" ht="15.75" thickBot="1">
      <c r="B16" s="1969" t="s">
        <v>818</v>
      </c>
      <c r="C16" s="1970" t="s">
        <v>1915</v>
      </c>
      <c r="D16" s="1971">
        <v>125</v>
      </c>
      <c r="E16" s="1971">
        <v>90</v>
      </c>
      <c r="F16" s="1971">
        <v>91</v>
      </c>
      <c r="G16" s="1971">
        <v>54</v>
      </c>
      <c r="H16" s="1971">
        <v>13</v>
      </c>
      <c r="I16" s="1971">
        <v>9</v>
      </c>
      <c r="J16" s="1971">
        <v>4</v>
      </c>
      <c r="K16" s="1971">
        <v>6</v>
      </c>
      <c r="L16" s="1971">
        <v>27</v>
      </c>
      <c r="M16" s="1971">
        <v>72</v>
      </c>
      <c r="N16" s="1971">
        <v>117</v>
      </c>
      <c r="O16" s="1971">
        <v>105</v>
      </c>
      <c r="P16" s="1972">
        <v>713</v>
      </c>
      <c r="Q16" s="1972" t="str">
        <f>R6</f>
        <v>Zone 1 - Cold Interior</v>
      </c>
      <c r="R16" s="1090" t="s">
        <v>1585</v>
      </c>
      <c r="S16" s="1096">
        <v>3.7554435483870949</v>
      </c>
      <c r="T16" s="1096">
        <v>4.091733333333333</v>
      </c>
      <c r="U16" s="1096">
        <v>3.5426724137931034</v>
      </c>
      <c r="V16" s="1096">
        <v>2.7748095238095241</v>
      </c>
      <c r="W16" s="1096">
        <v>2.4348815165876765</v>
      </c>
      <c r="X16" s="1096">
        <v>2.116683673469387</v>
      </c>
      <c r="Y16" s="1096">
        <v>2.2805069124423984</v>
      </c>
      <c r="Z16" s="1096">
        <v>3.0173469387755087</v>
      </c>
      <c r="AA16" s="1096">
        <v>3.9972131147540995</v>
      </c>
      <c r="AB16" s="1096">
        <v>4.2165040650406516</v>
      </c>
      <c r="AC16" s="1096">
        <v>4.2215481171548142</v>
      </c>
      <c r="AD16" s="1096">
        <v>4.392608695652175</v>
      </c>
      <c r="AE16" s="1089"/>
    </row>
    <row r="17" spans="1:31" ht="15.75" thickBot="1">
      <c r="A17" s="429">
        <v>21</v>
      </c>
      <c r="B17" s="1969" t="s">
        <v>819</v>
      </c>
      <c r="C17" s="1970" t="s">
        <v>1915</v>
      </c>
      <c r="D17" s="1971">
        <v>57</v>
      </c>
      <c r="E17" s="1971">
        <v>76</v>
      </c>
      <c r="F17" s="1971">
        <v>65</v>
      </c>
      <c r="G17" s="1971">
        <v>49</v>
      </c>
      <c r="H17" s="1971">
        <v>16</v>
      </c>
      <c r="I17" s="1971">
        <v>7</v>
      </c>
      <c r="J17" s="1971">
        <v>7</v>
      </c>
      <c r="K17" s="1971">
        <v>7</v>
      </c>
      <c r="L17" s="1971">
        <v>12</v>
      </c>
      <c r="M17" s="1971">
        <v>30</v>
      </c>
      <c r="N17" s="1971">
        <v>42</v>
      </c>
      <c r="O17" s="1971">
        <v>46</v>
      </c>
      <c r="P17" s="1972">
        <v>414</v>
      </c>
      <c r="Q17" s="1972" t="str">
        <f>R11</f>
        <v>Zone 6 - Arid Interior</v>
      </c>
      <c r="R17" s="1090" t="s">
        <v>1918</v>
      </c>
      <c r="S17" s="1096">
        <v>4.3964896755162224</v>
      </c>
      <c r="T17" s="1096">
        <v>4.521136363636364</v>
      </c>
      <c r="U17" s="1096">
        <v>3.898299120234602</v>
      </c>
      <c r="V17" s="1096">
        <v>3.0510914454277285</v>
      </c>
      <c r="W17" s="1096">
        <v>2.7455795148247986</v>
      </c>
      <c r="X17" s="1096">
        <v>2.3705586592178762</v>
      </c>
      <c r="Y17" s="1096">
        <v>2.6089218328840977</v>
      </c>
      <c r="Z17" s="1096">
        <v>3.1344892473118255</v>
      </c>
      <c r="AA17" s="1096">
        <v>3.8409565217391326</v>
      </c>
      <c r="AB17" s="1096">
        <v>3.7052492668621682</v>
      </c>
      <c r="AC17" s="1096">
        <v>3.8690273556231007</v>
      </c>
      <c r="AD17" s="1096">
        <v>4.3316715542521989</v>
      </c>
      <c r="AE17" s="1089"/>
    </row>
    <row r="18" spans="1:31" ht="15.75" thickBot="1">
      <c r="B18" s="1969" t="s">
        <v>820</v>
      </c>
      <c r="C18" s="1970" t="s">
        <v>1915</v>
      </c>
      <c r="D18" s="1971">
        <v>145</v>
      </c>
      <c r="E18" s="1971">
        <v>106</v>
      </c>
      <c r="F18" s="1971">
        <v>90</v>
      </c>
      <c r="G18" s="1971">
        <v>39</v>
      </c>
      <c r="H18" s="1971">
        <v>14</v>
      </c>
      <c r="I18" s="1971">
        <v>6</v>
      </c>
      <c r="J18" s="1971">
        <v>5</v>
      </c>
      <c r="K18" s="1971">
        <v>26</v>
      </c>
      <c r="L18" s="1971">
        <v>38</v>
      </c>
      <c r="M18" s="1971">
        <v>77</v>
      </c>
      <c r="N18" s="1971">
        <v>91</v>
      </c>
      <c r="O18" s="1971">
        <v>112</v>
      </c>
      <c r="P18" s="1972">
        <v>749</v>
      </c>
      <c r="Q18" s="1972" t="str">
        <f>R6</f>
        <v>Zone 1 - Cold Interior</v>
      </c>
      <c r="R18" s="1090" t="s">
        <v>1919</v>
      </c>
      <c r="S18" s="1096">
        <v>4.9205555555555511</v>
      </c>
      <c r="T18" s="1096">
        <v>4.4256175298804763</v>
      </c>
      <c r="U18" s="1096">
        <v>3.6798207885304688</v>
      </c>
      <c r="V18" s="1096">
        <v>2.4538289962825286</v>
      </c>
      <c r="W18" s="1096">
        <v>1.5961151079136684</v>
      </c>
      <c r="X18" s="1096">
        <v>1.3571268656716418</v>
      </c>
      <c r="Y18" s="1096">
        <v>1.5577978339350191</v>
      </c>
      <c r="Z18" s="1096">
        <v>1.80426523297491</v>
      </c>
      <c r="AA18" s="1096">
        <v>2.3880232558139531</v>
      </c>
      <c r="AB18" s="1096">
        <v>3.3779032258064539</v>
      </c>
      <c r="AC18" s="1096">
        <v>4.225882352941178</v>
      </c>
      <c r="AD18" s="1096">
        <v>4.1666129032258041</v>
      </c>
      <c r="AE18" s="1089"/>
    </row>
    <row r="19" spans="1:31" ht="15.75" thickBot="1">
      <c r="A19" s="429">
        <v>23</v>
      </c>
      <c r="B19" s="1969" t="s">
        <v>821</v>
      </c>
      <c r="C19" s="1970" t="s">
        <v>1915</v>
      </c>
      <c r="D19" s="1971">
        <v>8</v>
      </c>
      <c r="E19" s="1971">
        <v>4</v>
      </c>
      <c r="F19" s="1971">
        <v>11</v>
      </c>
      <c r="G19" s="1971">
        <v>24</v>
      </c>
      <c r="H19" s="1971">
        <v>40</v>
      </c>
      <c r="I19" s="1971">
        <v>41</v>
      </c>
      <c r="J19" s="1971">
        <v>47</v>
      </c>
      <c r="K19" s="1971">
        <v>45</v>
      </c>
      <c r="L19" s="1971">
        <v>24</v>
      </c>
      <c r="M19" s="1971">
        <v>12</v>
      </c>
      <c r="N19" s="1971">
        <v>12</v>
      </c>
      <c r="O19" s="1971">
        <v>10</v>
      </c>
      <c r="P19" s="1972">
        <v>278</v>
      </c>
      <c r="Q19" s="1972" t="str">
        <f>R9</f>
        <v>Zone 4 - Temperate Coastal</v>
      </c>
      <c r="R19" s="1090" t="s">
        <v>1920</v>
      </c>
      <c r="S19" s="1096">
        <v>3.4533870967741946</v>
      </c>
      <c r="T19" s="1096">
        <v>4.0634146341463397</v>
      </c>
      <c r="U19" s="1096">
        <v>3.4147096774193546</v>
      </c>
      <c r="V19" s="1096">
        <v>2.5414666666666674</v>
      </c>
      <c r="W19" s="1096">
        <v>2.1489473684210521</v>
      </c>
      <c r="X19" s="1096">
        <v>1.7232666666666656</v>
      </c>
      <c r="Y19" s="1096">
        <v>1.9119354838709675</v>
      </c>
      <c r="Z19" s="1096">
        <v>2.2841549295774657</v>
      </c>
      <c r="AA19" s="1096">
        <v>2.7084166666666656</v>
      </c>
      <c r="AB19" s="1096">
        <v>2.6895967741935483</v>
      </c>
      <c r="AC19" s="1096">
        <v>3.0700833333333346</v>
      </c>
      <c r="AD19" s="1096">
        <v>3.4445161290322583</v>
      </c>
      <c r="AE19" s="1089"/>
    </row>
    <row r="20" spans="1:31" ht="15.75" thickBot="1">
      <c r="B20" s="1969" t="s">
        <v>822</v>
      </c>
      <c r="C20" s="1970" t="s">
        <v>1915</v>
      </c>
      <c r="D20" s="1971">
        <v>58</v>
      </c>
      <c r="E20" s="1971">
        <v>57</v>
      </c>
      <c r="F20" s="1971">
        <v>39</v>
      </c>
      <c r="G20" s="1971">
        <v>27</v>
      </c>
      <c r="H20" s="1971">
        <v>10</v>
      </c>
      <c r="I20" s="1971">
        <v>4</v>
      </c>
      <c r="J20" s="1971">
        <v>1</v>
      </c>
      <c r="K20" s="1971">
        <v>1</v>
      </c>
      <c r="L20" s="1971">
        <v>12</v>
      </c>
      <c r="M20" s="1971">
        <v>24</v>
      </c>
      <c r="N20" s="1971">
        <v>49</v>
      </c>
      <c r="O20" s="1971">
        <v>57</v>
      </c>
      <c r="P20" s="1972">
        <v>339</v>
      </c>
      <c r="Q20" s="1972" t="str">
        <f>R8</f>
        <v>Zone 3 - Hot Interior</v>
      </c>
      <c r="R20" s="1090" t="s">
        <v>1921</v>
      </c>
      <c r="S20" s="1096">
        <v>5.3647311827956985</v>
      </c>
      <c r="T20" s="1096">
        <v>5.0459643916913937</v>
      </c>
      <c r="U20" s="1096">
        <v>4.3616935483870964</v>
      </c>
      <c r="V20" s="1096">
        <v>3.2627118644067798</v>
      </c>
      <c r="W20" s="1096">
        <v>2.5418328840970359</v>
      </c>
      <c r="X20" s="1096">
        <v>2.1014722222222249</v>
      </c>
      <c r="Y20" s="1096">
        <v>2.3212096774193558</v>
      </c>
      <c r="Z20" s="1096">
        <v>3.1018548387096763</v>
      </c>
      <c r="AA20" s="1096">
        <v>4.1831321839080493</v>
      </c>
      <c r="AB20" s="1096">
        <v>5.0443695014662788</v>
      </c>
      <c r="AC20" s="1096">
        <v>5.7252664576802532</v>
      </c>
      <c r="AD20" s="1096">
        <v>6.3455718475073342</v>
      </c>
      <c r="AE20" s="1089"/>
    </row>
    <row r="21" spans="1:31" ht="15.75" thickBot="1">
      <c r="A21" s="429">
        <v>25</v>
      </c>
      <c r="B21" s="1969" t="s">
        <v>823</v>
      </c>
      <c r="C21" s="1970" t="s">
        <v>1915</v>
      </c>
      <c r="D21" s="1971">
        <v>127</v>
      </c>
      <c r="E21" s="1971">
        <v>108</v>
      </c>
      <c r="F21" s="1971">
        <v>90</v>
      </c>
      <c r="G21" s="1971">
        <v>51</v>
      </c>
      <c r="H21" s="1971">
        <v>15</v>
      </c>
      <c r="I21" s="1971">
        <v>9</v>
      </c>
      <c r="J21" s="1971">
        <v>10</v>
      </c>
      <c r="K21" s="1971">
        <v>10</v>
      </c>
      <c r="L21" s="1971">
        <v>26</v>
      </c>
      <c r="M21" s="1971">
        <v>75</v>
      </c>
      <c r="N21" s="1971">
        <v>115</v>
      </c>
      <c r="O21" s="1971">
        <v>131</v>
      </c>
      <c r="P21" s="1972">
        <v>767</v>
      </c>
      <c r="Q21" s="1972" t="str">
        <f>R8</f>
        <v>Zone 3 - Hot Interior</v>
      </c>
      <c r="AE21" s="1089"/>
    </row>
    <row r="22" spans="1:31" ht="15.75" thickBot="1">
      <c r="B22" s="1969" t="s">
        <v>824</v>
      </c>
      <c r="C22" s="1970" t="s">
        <v>1915</v>
      </c>
      <c r="D22" s="1971">
        <v>117</v>
      </c>
      <c r="E22" s="1971">
        <v>83</v>
      </c>
      <c r="F22" s="1971">
        <v>74</v>
      </c>
      <c r="G22" s="1971">
        <v>57</v>
      </c>
      <c r="H22" s="1971">
        <v>14</v>
      </c>
      <c r="I22" s="1971">
        <v>5</v>
      </c>
      <c r="J22" s="1971">
        <v>3</v>
      </c>
      <c r="K22" s="1971">
        <v>5</v>
      </c>
      <c r="L22" s="1971">
        <v>13</v>
      </c>
      <c r="M22" s="1971">
        <v>37</v>
      </c>
      <c r="N22" s="1971">
        <v>64</v>
      </c>
      <c r="O22" s="1971">
        <v>67</v>
      </c>
      <c r="P22" s="1972">
        <v>539</v>
      </c>
      <c r="Q22" s="1972" t="str">
        <f>R7</f>
        <v>Zone 2 - Temperate Interior</v>
      </c>
      <c r="R22" s="429" t="s">
        <v>1924</v>
      </c>
      <c r="AE22" s="1089"/>
    </row>
    <row r="23" spans="1:31" ht="15.75" thickBot="1">
      <c r="A23" s="429">
        <v>27</v>
      </c>
      <c r="B23" s="1969" t="s">
        <v>825</v>
      </c>
      <c r="C23" s="1970" t="s">
        <v>1915</v>
      </c>
      <c r="D23" s="1971">
        <v>141</v>
      </c>
      <c r="E23" s="1971">
        <v>117</v>
      </c>
      <c r="F23" s="1971">
        <v>113</v>
      </c>
      <c r="G23" s="1971">
        <v>48</v>
      </c>
      <c r="H23" s="1971">
        <v>24</v>
      </c>
      <c r="I23" s="1971">
        <v>13</v>
      </c>
      <c r="J23" s="1971">
        <v>11</v>
      </c>
      <c r="K23" s="1971">
        <v>31</v>
      </c>
      <c r="L23" s="1971">
        <v>60</v>
      </c>
      <c r="M23" s="1971">
        <v>74</v>
      </c>
      <c r="N23" s="1971">
        <v>104</v>
      </c>
      <c r="O23" s="1971">
        <v>108</v>
      </c>
      <c r="P23" s="1972">
        <v>844</v>
      </c>
      <c r="Q23" s="1972" t="str">
        <f>R10</f>
        <v>Zone 5 - Sub-tropical Coastal</v>
      </c>
      <c r="R23" s="429" t="s">
        <v>813</v>
      </c>
      <c r="S23" s="1091">
        <v>194</v>
      </c>
      <c r="T23" s="1091">
        <v>195</v>
      </c>
      <c r="U23" s="1091">
        <v>168</v>
      </c>
      <c r="V23" s="1091">
        <v>111</v>
      </c>
      <c r="W23" s="1091">
        <v>73</v>
      </c>
      <c r="X23" s="1091">
        <v>55</v>
      </c>
      <c r="Y23" s="1091">
        <v>57</v>
      </c>
      <c r="Z23" s="1091">
        <v>71</v>
      </c>
      <c r="AA23" s="1091">
        <v>98</v>
      </c>
      <c r="AB23" s="1091">
        <v>168</v>
      </c>
      <c r="AC23" s="1091">
        <v>198</v>
      </c>
      <c r="AD23" s="1091">
        <v>219</v>
      </c>
      <c r="AE23" s="1089">
        <f>SUM(S23:AD23)</f>
        <v>1607</v>
      </c>
    </row>
    <row r="24" spans="1:31" ht="15.75" thickBot="1">
      <c r="B24" s="1969" t="s">
        <v>826</v>
      </c>
      <c r="C24" s="1970" t="s">
        <v>1915</v>
      </c>
      <c r="D24" s="1971">
        <v>78</v>
      </c>
      <c r="E24" s="1971">
        <v>71</v>
      </c>
      <c r="F24" s="1971">
        <v>58</v>
      </c>
      <c r="G24" s="1971">
        <v>38</v>
      </c>
      <c r="H24" s="1971">
        <v>6</v>
      </c>
      <c r="I24" s="1971">
        <v>12</v>
      </c>
      <c r="J24" s="1971">
        <v>3</v>
      </c>
      <c r="K24" s="1971">
        <v>5</v>
      </c>
      <c r="L24" s="1971">
        <v>25</v>
      </c>
      <c r="M24" s="1971">
        <v>57</v>
      </c>
      <c r="N24" s="1971">
        <v>61</v>
      </c>
      <c r="O24" s="1971">
        <v>105</v>
      </c>
      <c r="P24" s="1972">
        <v>519</v>
      </c>
      <c r="Q24" s="1972" t="str">
        <f>R7</f>
        <v>Zone 2 - Temperate Interior</v>
      </c>
    </row>
    <row r="25" spans="1:31" ht="15.75" thickBot="1">
      <c r="A25" s="429">
        <v>29</v>
      </c>
      <c r="B25" s="1969" t="s">
        <v>827</v>
      </c>
      <c r="C25" s="1970" t="s">
        <v>1915</v>
      </c>
      <c r="D25" s="1971">
        <v>82</v>
      </c>
      <c r="E25" s="1971">
        <v>60</v>
      </c>
      <c r="F25" s="1971">
        <v>52</v>
      </c>
      <c r="G25" s="1971">
        <v>33</v>
      </c>
      <c r="H25" s="1971">
        <v>11</v>
      </c>
      <c r="I25" s="1971">
        <v>5</v>
      </c>
      <c r="J25" s="1971">
        <v>3</v>
      </c>
      <c r="K25" s="1971">
        <v>6</v>
      </c>
      <c r="L25" s="1971">
        <v>17</v>
      </c>
      <c r="M25" s="1971">
        <v>43</v>
      </c>
      <c r="N25" s="1971">
        <v>85</v>
      </c>
      <c r="O25" s="1971">
        <v>81</v>
      </c>
      <c r="P25" s="1972">
        <v>478</v>
      </c>
      <c r="Q25" s="1972" t="str">
        <f>R7</f>
        <v>Zone 2 - Temperate Interior</v>
      </c>
    </row>
    <row r="26" spans="1:31" ht="15.75" thickBot="1">
      <c r="B26" s="1969" t="s">
        <v>828</v>
      </c>
      <c r="C26" s="1970" t="s">
        <v>1915</v>
      </c>
      <c r="D26" s="1971">
        <v>36</v>
      </c>
      <c r="E26" s="1971">
        <v>40</v>
      </c>
      <c r="F26" s="1971">
        <v>54</v>
      </c>
      <c r="G26" s="1971">
        <v>58</v>
      </c>
      <c r="H26" s="1971">
        <v>59</v>
      </c>
      <c r="I26" s="1971">
        <v>62</v>
      </c>
      <c r="J26" s="1971">
        <v>47</v>
      </c>
      <c r="K26" s="1971">
        <v>64</v>
      </c>
      <c r="L26" s="1971">
        <v>62</v>
      </c>
      <c r="M26" s="1971">
        <v>59</v>
      </c>
      <c r="N26" s="1971">
        <v>49</v>
      </c>
      <c r="O26" s="1971">
        <v>34</v>
      </c>
      <c r="P26" s="1972">
        <v>624</v>
      </c>
      <c r="Q26" s="1972" t="str">
        <f>R9</f>
        <v>Zone 4 - Temperate Coastal</v>
      </c>
    </row>
    <row r="27" spans="1:31" ht="15.75" thickBot="1">
      <c r="A27" s="429">
        <v>31</v>
      </c>
      <c r="B27" s="1969" t="s">
        <v>829</v>
      </c>
      <c r="C27" s="1970" t="s">
        <v>1915</v>
      </c>
      <c r="D27" s="1971">
        <v>136</v>
      </c>
      <c r="E27" s="1971">
        <v>75</v>
      </c>
      <c r="F27" s="1971">
        <v>82</v>
      </c>
      <c r="G27" s="1971">
        <v>51</v>
      </c>
      <c r="H27" s="1971">
        <v>13</v>
      </c>
      <c r="I27" s="1971">
        <v>7</v>
      </c>
      <c r="J27" s="1971">
        <v>3</v>
      </c>
      <c r="K27" s="1971">
        <v>6</v>
      </c>
      <c r="L27" s="1971">
        <v>22</v>
      </c>
      <c r="M27" s="1971">
        <v>71</v>
      </c>
      <c r="N27" s="1971">
        <v>98</v>
      </c>
      <c r="O27" s="1971">
        <v>110</v>
      </c>
      <c r="P27" s="1972">
        <v>674</v>
      </c>
      <c r="Q27" s="1972" t="str">
        <f>R7</f>
        <v>Zone 2 - Temperate Interior</v>
      </c>
    </row>
    <row r="28" spans="1:31" ht="15.75" thickBot="1">
      <c r="B28" s="1969" t="s">
        <v>830</v>
      </c>
      <c r="C28" s="1970" t="s">
        <v>1915</v>
      </c>
      <c r="D28" s="1971">
        <v>172</v>
      </c>
      <c r="E28" s="1971">
        <v>167</v>
      </c>
      <c r="F28" s="1971">
        <v>107</v>
      </c>
      <c r="G28" s="1971">
        <v>109</v>
      </c>
      <c r="H28" s="1971">
        <v>109</v>
      </c>
      <c r="I28" s="1971">
        <v>57</v>
      </c>
      <c r="J28" s="1971">
        <v>60</v>
      </c>
      <c r="K28" s="1971">
        <v>65</v>
      </c>
      <c r="L28" s="1971">
        <v>77</v>
      </c>
      <c r="M28" s="1971">
        <v>105</v>
      </c>
      <c r="N28" s="1971">
        <v>114</v>
      </c>
      <c r="O28" s="1971">
        <v>86</v>
      </c>
      <c r="P28" s="1972">
        <v>1228</v>
      </c>
      <c r="Q28" s="1972" t="str">
        <f>R10</f>
        <v>Zone 5 - Sub-tropical Coastal</v>
      </c>
    </row>
    <row r="29" spans="1:31" ht="15.75" thickBot="1">
      <c r="A29" s="429">
        <v>33</v>
      </c>
      <c r="B29" s="1969" t="s">
        <v>831</v>
      </c>
      <c r="C29" s="1970" t="s">
        <v>1915</v>
      </c>
      <c r="D29" s="1971">
        <v>94</v>
      </c>
      <c r="E29" s="1971">
        <v>96</v>
      </c>
      <c r="F29" s="1971">
        <v>66</v>
      </c>
      <c r="G29" s="1971">
        <v>38</v>
      </c>
      <c r="H29" s="1971">
        <v>14</v>
      </c>
      <c r="I29" s="1971">
        <v>11</v>
      </c>
      <c r="J29" s="1971">
        <v>11</v>
      </c>
      <c r="K29" s="1971">
        <v>8</v>
      </c>
      <c r="L29" s="1971">
        <v>28</v>
      </c>
      <c r="M29" s="1971">
        <v>40</v>
      </c>
      <c r="N29" s="1971">
        <v>63</v>
      </c>
      <c r="O29" s="1971">
        <v>92</v>
      </c>
      <c r="P29" s="1972">
        <v>561</v>
      </c>
      <c r="Q29" s="1972" t="str">
        <f>R8</f>
        <v>Zone 3 - Hot Interior</v>
      </c>
    </row>
    <row r="30" spans="1:31" ht="15.75" thickBot="1">
      <c r="B30" s="1969" t="s">
        <v>832</v>
      </c>
      <c r="C30" s="1970" t="s">
        <v>1915</v>
      </c>
      <c r="D30" s="1971">
        <v>74</v>
      </c>
      <c r="E30" s="1971">
        <v>108</v>
      </c>
      <c r="F30" s="1971">
        <v>75</v>
      </c>
      <c r="G30" s="1971">
        <v>47</v>
      </c>
      <c r="H30" s="1971">
        <v>15</v>
      </c>
      <c r="I30" s="1971">
        <v>17</v>
      </c>
      <c r="J30" s="1971">
        <v>14</v>
      </c>
      <c r="K30" s="1971">
        <v>11</v>
      </c>
      <c r="L30" s="1971">
        <v>39</v>
      </c>
      <c r="M30" s="1971">
        <v>93</v>
      </c>
      <c r="N30" s="1971">
        <v>76</v>
      </c>
      <c r="O30" s="1971">
        <v>128</v>
      </c>
      <c r="P30" s="1972">
        <v>697</v>
      </c>
      <c r="Q30" s="1972" t="str">
        <f>R8</f>
        <v>Zone 3 - Hot Interior</v>
      </c>
    </row>
    <row r="31" spans="1:31" ht="15.75" thickBot="1">
      <c r="A31" s="429">
        <v>35</v>
      </c>
      <c r="B31" s="1969" t="s">
        <v>833</v>
      </c>
      <c r="C31" s="1970" t="s">
        <v>1915</v>
      </c>
      <c r="D31" s="1971">
        <v>77</v>
      </c>
      <c r="E31" s="1971">
        <v>70</v>
      </c>
      <c r="F31" s="1971">
        <v>81</v>
      </c>
      <c r="G31" s="1971">
        <v>80</v>
      </c>
      <c r="H31" s="1971">
        <v>86</v>
      </c>
      <c r="I31" s="1971">
        <v>75</v>
      </c>
      <c r="J31" s="1971">
        <v>78</v>
      </c>
      <c r="K31" s="1971">
        <v>111</v>
      </c>
      <c r="L31" s="1971">
        <v>66</v>
      </c>
      <c r="M31" s="1971">
        <v>83</v>
      </c>
      <c r="N31" s="1971">
        <v>78</v>
      </c>
      <c r="O31" s="1971">
        <v>60</v>
      </c>
      <c r="P31" s="1972">
        <v>945</v>
      </c>
      <c r="Q31" s="1972" t="str">
        <f>R9</f>
        <v>Zone 4 - Temperate Coastal</v>
      </c>
    </row>
    <row r="32" spans="1:31" ht="15.75" thickBot="1">
      <c r="B32" s="1969" t="s">
        <v>834</v>
      </c>
      <c r="C32" s="1970" t="s">
        <v>1915</v>
      </c>
      <c r="D32" s="1971">
        <v>87</v>
      </c>
      <c r="E32" s="1971">
        <v>89</v>
      </c>
      <c r="F32" s="1971">
        <v>83</v>
      </c>
      <c r="G32" s="1971">
        <v>58</v>
      </c>
      <c r="H32" s="1971">
        <v>18</v>
      </c>
      <c r="I32" s="1971">
        <v>11</v>
      </c>
      <c r="J32" s="1971">
        <v>18</v>
      </c>
      <c r="K32" s="1971">
        <v>15</v>
      </c>
      <c r="L32" s="1971">
        <v>35</v>
      </c>
      <c r="M32" s="1971">
        <v>73</v>
      </c>
      <c r="N32" s="1971">
        <v>75</v>
      </c>
      <c r="O32" s="1971">
        <v>88</v>
      </c>
      <c r="P32" s="1972">
        <v>650</v>
      </c>
      <c r="Q32" s="1972" t="str">
        <f>R10</f>
        <v>Zone 5 - Sub-tropical Coastal</v>
      </c>
    </row>
    <row r="33" spans="1:32">
      <c r="A33" s="429">
        <v>37</v>
      </c>
      <c r="B33" s="1969" t="s">
        <v>835</v>
      </c>
      <c r="C33" s="1970" t="s">
        <v>1915</v>
      </c>
      <c r="D33" s="1971">
        <v>24</v>
      </c>
      <c r="E33" s="1971">
        <v>35</v>
      </c>
      <c r="F33" s="1971">
        <v>37</v>
      </c>
      <c r="G33" s="1971">
        <v>26</v>
      </c>
      <c r="H33" s="1971">
        <v>10</v>
      </c>
      <c r="I33" s="1971">
        <v>4</v>
      </c>
      <c r="J33" s="1971">
        <v>2</v>
      </c>
      <c r="K33" s="1971">
        <v>4</v>
      </c>
      <c r="L33" s="1971">
        <v>4</v>
      </c>
      <c r="M33" s="1971">
        <v>9</v>
      </c>
      <c r="N33" s="1971">
        <v>17</v>
      </c>
      <c r="O33" s="1971">
        <v>17</v>
      </c>
      <c r="P33" s="1972">
        <v>189</v>
      </c>
      <c r="Q33" s="1972" t="str">
        <f>R11</f>
        <v>Zone 6 - Arid Interior</v>
      </c>
    </row>
    <row r="35" spans="1:32">
      <c r="B35" s="429" t="s">
        <v>1925</v>
      </c>
      <c r="D35" s="429">
        <v>2</v>
      </c>
      <c r="E35" s="429">
        <v>3</v>
      </c>
      <c r="F35" s="429">
        <v>4</v>
      </c>
      <c r="G35" s="429">
        <v>5</v>
      </c>
      <c r="H35" s="429">
        <v>6</v>
      </c>
      <c r="I35" s="429">
        <v>7</v>
      </c>
      <c r="J35" s="429">
        <v>8</v>
      </c>
      <c r="K35" s="429">
        <v>9</v>
      </c>
      <c r="L35" s="429">
        <v>10</v>
      </c>
      <c r="M35" s="429">
        <v>11</v>
      </c>
      <c r="N35" s="429">
        <v>12</v>
      </c>
      <c r="O35" s="429">
        <v>13</v>
      </c>
      <c r="P35" s="429">
        <v>14</v>
      </c>
    </row>
    <row r="36" spans="1:32">
      <c r="B36" s="429" t="s">
        <v>1926</v>
      </c>
      <c r="D36" s="429" t="s">
        <v>806</v>
      </c>
      <c r="F36" s="429" t="s">
        <v>1927</v>
      </c>
      <c r="I36" s="2620" t="s">
        <v>1919</v>
      </c>
      <c r="J36" s="2620"/>
      <c r="K36" s="2620"/>
      <c r="L36" s="2620"/>
      <c r="M36" s="2620"/>
    </row>
    <row r="37" spans="1:32">
      <c r="B37" s="429" t="s">
        <v>1728</v>
      </c>
      <c r="D37" s="429" t="str">
        <f t="shared" ref="D37:O37" si="1">VLOOKUP($D$36,$B$4:$P$6,D35,FALSE)</f>
        <v>Precip (mm)</v>
      </c>
      <c r="E37" s="429">
        <f t="shared" si="1"/>
        <v>35</v>
      </c>
      <c r="F37" s="429">
        <f t="shared" si="1"/>
        <v>30</v>
      </c>
      <c r="G37" s="429">
        <f t="shared" si="1"/>
        <v>30</v>
      </c>
      <c r="H37" s="429">
        <f t="shared" si="1"/>
        <v>20</v>
      </c>
      <c r="I37" s="429">
        <f t="shared" si="1"/>
        <v>11</v>
      </c>
      <c r="J37" s="429">
        <f t="shared" si="1"/>
        <v>8</v>
      </c>
      <c r="K37" s="429">
        <f t="shared" si="1"/>
        <v>9</v>
      </c>
      <c r="L37" s="429">
        <f t="shared" si="1"/>
        <v>14</v>
      </c>
      <c r="M37" s="429">
        <f t="shared" si="1"/>
        <v>12</v>
      </c>
      <c r="N37" s="429">
        <f t="shared" si="1"/>
        <v>21</v>
      </c>
      <c r="O37" s="429">
        <f t="shared" si="1"/>
        <v>27</v>
      </c>
      <c r="P37" s="429">
        <f>SUM(D37:O37)</f>
        <v>217</v>
      </c>
    </row>
    <row r="38" spans="1:32">
      <c r="B38" s="429" t="s">
        <v>1762</v>
      </c>
      <c r="D38" s="429">
        <v>1</v>
      </c>
      <c r="E38" s="429">
        <v>0.3</v>
      </c>
      <c r="F38" s="429">
        <v>1</v>
      </c>
      <c r="G38" s="429">
        <v>1</v>
      </c>
      <c r="H38" s="429">
        <v>1</v>
      </c>
      <c r="I38" s="429">
        <v>1</v>
      </c>
      <c r="J38" s="429">
        <v>1</v>
      </c>
      <c r="K38" s="429">
        <v>1</v>
      </c>
      <c r="L38" s="429">
        <v>1</v>
      </c>
      <c r="M38" s="429">
        <v>1</v>
      </c>
      <c r="N38" s="429">
        <v>1</v>
      </c>
      <c r="O38" s="429">
        <v>1</v>
      </c>
      <c r="P38" s="429">
        <f>SUM(D38:O38)</f>
        <v>11.3</v>
      </c>
    </row>
    <row r="40" spans="1:32">
      <c r="D40" s="429">
        <v>125</v>
      </c>
      <c r="E40" s="429">
        <v>90</v>
      </c>
      <c r="F40" s="429">
        <v>91</v>
      </c>
      <c r="G40" s="429">
        <v>54</v>
      </c>
      <c r="H40" s="429">
        <v>13</v>
      </c>
      <c r="I40" s="429">
        <v>9</v>
      </c>
      <c r="J40" s="429">
        <v>4</v>
      </c>
      <c r="K40" s="429">
        <v>6</v>
      </c>
      <c r="L40" s="429">
        <v>27</v>
      </c>
      <c r="M40" s="429">
        <v>72</v>
      </c>
      <c r="N40" s="429">
        <v>117</v>
      </c>
      <c r="O40" s="429">
        <v>105</v>
      </c>
      <c r="P40" s="429">
        <v>713</v>
      </c>
    </row>
    <row r="41" spans="1:32">
      <c r="D41" s="429">
        <v>0.3</v>
      </c>
      <c r="E41" s="429">
        <v>0.3</v>
      </c>
      <c r="F41" s="429">
        <v>0.3</v>
      </c>
      <c r="G41" s="429">
        <v>1</v>
      </c>
      <c r="H41" s="429">
        <v>1</v>
      </c>
      <c r="I41" s="429">
        <v>1</v>
      </c>
      <c r="J41" s="429">
        <v>1</v>
      </c>
      <c r="K41" s="429">
        <v>1</v>
      </c>
      <c r="L41" s="429">
        <v>1</v>
      </c>
      <c r="M41" s="429">
        <v>0.3</v>
      </c>
      <c r="N41" s="429">
        <v>0.3</v>
      </c>
      <c r="O41" s="429">
        <v>0.3</v>
      </c>
      <c r="P41" s="429">
        <v>7.8</v>
      </c>
    </row>
    <row r="43" spans="1:32">
      <c r="B43" s="428" t="s">
        <v>1929</v>
      </c>
    </row>
    <row r="44" spans="1:32">
      <c r="D44" s="1967" t="s">
        <v>1208</v>
      </c>
      <c r="E44" s="1967" t="s">
        <v>1209</v>
      </c>
      <c r="F44" s="1967" t="s">
        <v>1210</v>
      </c>
      <c r="G44" s="1967" t="s">
        <v>1211</v>
      </c>
      <c r="H44" s="1967" t="s">
        <v>1212</v>
      </c>
      <c r="I44" s="1967" t="s">
        <v>1213</v>
      </c>
      <c r="J44" s="1967" t="s">
        <v>1214</v>
      </c>
      <c r="K44" s="1967" t="s">
        <v>1215</v>
      </c>
      <c r="L44" s="1967" t="s">
        <v>1216</v>
      </c>
      <c r="M44" s="1967" t="s">
        <v>1217</v>
      </c>
      <c r="N44" s="1967" t="s">
        <v>1218</v>
      </c>
      <c r="O44" s="1967" t="s">
        <v>1219</v>
      </c>
      <c r="P44" s="1967" t="s">
        <v>261</v>
      </c>
      <c r="AE44" s="1089"/>
      <c r="AF44" s="1089"/>
    </row>
    <row r="45" spans="1:32" ht="15.75" thickBot="1">
      <c r="B45" s="1973" t="str">
        <f>B4</f>
        <v>Beaufort West</v>
      </c>
      <c r="C45" s="1974" t="s">
        <v>1476</v>
      </c>
      <c r="D45" s="1975">
        <v>6</v>
      </c>
      <c r="E45" s="1975">
        <v>6</v>
      </c>
      <c r="F45" s="1975">
        <v>5</v>
      </c>
      <c r="G45" s="1975">
        <v>3</v>
      </c>
      <c r="H45" s="1975">
        <v>2</v>
      </c>
      <c r="I45" s="1975">
        <v>2</v>
      </c>
      <c r="J45" s="1975">
        <v>2</v>
      </c>
      <c r="K45" s="1975">
        <v>2</v>
      </c>
      <c r="L45" s="1975">
        <v>2</v>
      </c>
      <c r="M45" s="1975">
        <v>4</v>
      </c>
      <c r="N45" s="1975">
        <v>5</v>
      </c>
      <c r="O45" s="1975">
        <v>4</v>
      </c>
      <c r="P45" s="1976">
        <v>43</v>
      </c>
      <c r="AE45" s="1089"/>
      <c r="AF45" s="1089"/>
    </row>
    <row r="46" spans="1:32" ht="15.75" thickBot="1">
      <c r="B46" s="1973" t="str">
        <f t="shared" ref="B46:B74" si="2">B5</f>
        <v>Bela-Bela</v>
      </c>
      <c r="C46" s="1974" t="s">
        <v>1476</v>
      </c>
      <c r="D46" s="1975">
        <v>14</v>
      </c>
      <c r="E46" s="1975">
        <v>10</v>
      </c>
      <c r="F46" s="1975">
        <v>8</v>
      </c>
      <c r="G46" s="1975">
        <v>4</v>
      </c>
      <c r="H46" s="1975">
        <v>1</v>
      </c>
      <c r="I46" s="1975">
        <v>1</v>
      </c>
      <c r="J46" s="1975">
        <v>0</v>
      </c>
      <c r="K46" s="1975">
        <v>1</v>
      </c>
      <c r="L46" s="1975">
        <v>2</v>
      </c>
      <c r="M46" s="1975">
        <v>7</v>
      </c>
      <c r="N46" s="1975">
        <v>12</v>
      </c>
      <c r="O46" s="1975">
        <v>14</v>
      </c>
      <c r="P46" s="1976">
        <v>74</v>
      </c>
      <c r="AE46" s="1089"/>
      <c r="AF46" s="1089"/>
    </row>
    <row r="47" spans="1:32" ht="15.75" thickBot="1">
      <c r="B47" s="1973" t="str">
        <f t="shared" si="2"/>
        <v>Belfast</v>
      </c>
      <c r="C47" s="1974" t="s">
        <v>1476</v>
      </c>
      <c r="D47" s="1975">
        <v>16</v>
      </c>
      <c r="E47" s="1975">
        <v>10</v>
      </c>
      <c r="F47" s="1975">
        <v>8</v>
      </c>
      <c r="G47" s="1975">
        <v>5</v>
      </c>
      <c r="H47" s="1975">
        <v>2</v>
      </c>
      <c r="I47" s="1975">
        <v>1</v>
      </c>
      <c r="J47" s="1975">
        <v>0</v>
      </c>
      <c r="K47" s="1975">
        <v>1</v>
      </c>
      <c r="L47" s="1975">
        <v>3</v>
      </c>
      <c r="M47" s="1975">
        <v>8</v>
      </c>
      <c r="N47" s="1975">
        <v>15</v>
      </c>
      <c r="O47" s="1975">
        <v>14</v>
      </c>
      <c r="P47" s="1976">
        <v>83</v>
      </c>
      <c r="AE47" s="1089"/>
      <c r="AF47" s="1089"/>
    </row>
    <row r="48" spans="1:32" ht="15.75" thickBot="1">
      <c r="B48" s="1973" t="str">
        <f t="shared" si="2"/>
        <v>Bethal</v>
      </c>
      <c r="C48" s="1974" t="s">
        <v>1476</v>
      </c>
      <c r="D48" s="1975">
        <v>19</v>
      </c>
      <c r="E48" s="1975">
        <v>9</v>
      </c>
      <c r="F48" s="1975">
        <v>8</v>
      </c>
      <c r="G48" s="1975">
        <v>6</v>
      </c>
      <c r="H48" s="1975">
        <v>2</v>
      </c>
      <c r="I48" s="1975">
        <v>1</v>
      </c>
      <c r="J48" s="1975">
        <v>1</v>
      </c>
      <c r="K48" s="1975">
        <v>2</v>
      </c>
      <c r="L48" s="1975">
        <v>3</v>
      </c>
      <c r="M48" s="1975">
        <v>10</v>
      </c>
      <c r="N48" s="1975">
        <v>16</v>
      </c>
      <c r="O48" s="1975">
        <v>13</v>
      </c>
      <c r="P48" s="1976">
        <v>90</v>
      </c>
      <c r="AE48" s="1089"/>
      <c r="AF48" s="1089"/>
    </row>
    <row r="49" spans="2:32" ht="15.75" thickBot="1">
      <c r="B49" s="1973" t="str">
        <f t="shared" si="2"/>
        <v>Bethlehem</v>
      </c>
      <c r="C49" s="1974" t="s">
        <v>1476</v>
      </c>
      <c r="D49" s="1975">
        <v>14</v>
      </c>
      <c r="E49" s="1975">
        <v>11</v>
      </c>
      <c r="F49" s="1975">
        <v>14</v>
      </c>
      <c r="G49" s="1975">
        <v>8</v>
      </c>
      <c r="H49" s="1975">
        <v>1</v>
      </c>
      <c r="I49" s="1975">
        <v>2</v>
      </c>
      <c r="J49" s="1975">
        <v>1</v>
      </c>
      <c r="K49" s="1975">
        <v>4</v>
      </c>
      <c r="L49" s="1975">
        <v>5</v>
      </c>
      <c r="M49" s="1975">
        <v>12</v>
      </c>
      <c r="N49" s="1975">
        <v>14</v>
      </c>
      <c r="O49" s="1975">
        <v>12</v>
      </c>
      <c r="P49" s="1976">
        <v>98</v>
      </c>
      <c r="AE49" s="1089"/>
      <c r="AF49" s="1089"/>
    </row>
    <row r="50" spans="2:32" ht="15.75" thickBot="1">
      <c r="B50" s="1973" t="str">
        <f t="shared" si="2"/>
        <v>Bloemfontein</v>
      </c>
      <c r="C50" s="1974" t="s">
        <v>1476</v>
      </c>
      <c r="D50" s="1975">
        <v>13</v>
      </c>
      <c r="E50" s="1975">
        <v>16</v>
      </c>
      <c r="F50" s="1975">
        <v>11</v>
      </c>
      <c r="G50" s="1975">
        <v>8</v>
      </c>
      <c r="H50" s="1975">
        <v>3</v>
      </c>
      <c r="I50" s="1975">
        <v>2</v>
      </c>
      <c r="J50" s="1975">
        <v>1</v>
      </c>
      <c r="K50" s="1975">
        <v>2</v>
      </c>
      <c r="L50" s="1975">
        <v>4</v>
      </c>
      <c r="M50" s="1975">
        <v>6</v>
      </c>
      <c r="N50" s="1975">
        <v>9</v>
      </c>
      <c r="O50" s="1975">
        <v>9</v>
      </c>
      <c r="P50" s="1976">
        <v>84</v>
      </c>
      <c r="AE50" s="1089"/>
      <c r="AF50" s="1089"/>
    </row>
    <row r="51" spans="2:32" ht="15.75" thickBot="1">
      <c r="B51" s="1973" t="str">
        <f t="shared" si="2"/>
        <v>Calvinia</v>
      </c>
      <c r="C51" s="1974" t="s">
        <v>1476</v>
      </c>
      <c r="D51" s="1975">
        <v>3</v>
      </c>
      <c r="E51" s="1975">
        <v>3</v>
      </c>
      <c r="F51" s="1975">
        <v>6</v>
      </c>
      <c r="G51" s="1975">
        <v>5</v>
      </c>
      <c r="H51" s="1975">
        <v>5</v>
      </c>
      <c r="I51" s="1975">
        <v>8</v>
      </c>
      <c r="J51" s="1975">
        <v>5</v>
      </c>
      <c r="K51" s="1975">
        <v>5</v>
      </c>
      <c r="L51" s="1975">
        <v>3</v>
      </c>
      <c r="M51" s="1975">
        <v>2</v>
      </c>
      <c r="N51" s="1975">
        <v>3</v>
      </c>
      <c r="O51" s="1975">
        <v>2</v>
      </c>
      <c r="P51" s="1976">
        <v>50</v>
      </c>
      <c r="AE51" s="1089"/>
      <c r="AF51" s="1089"/>
    </row>
    <row r="52" spans="2:32" ht="15.75" thickBot="1">
      <c r="B52" s="1973" t="str">
        <f t="shared" si="2"/>
        <v>Cape Town</v>
      </c>
      <c r="C52" s="1974" t="s">
        <v>1476</v>
      </c>
      <c r="D52" s="1975">
        <v>3</v>
      </c>
      <c r="E52" s="1975">
        <v>4</v>
      </c>
      <c r="F52" s="1975">
        <v>4</v>
      </c>
      <c r="G52" s="1975">
        <v>8</v>
      </c>
      <c r="H52" s="1975">
        <v>14</v>
      </c>
      <c r="I52" s="1975">
        <v>19</v>
      </c>
      <c r="J52" s="1975">
        <v>16</v>
      </c>
      <c r="K52" s="1975">
        <v>15</v>
      </c>
      <c r="L52" s="1975">
        <v>8</v>
      </c>
      <c r="M52" s="1975">
        <v>6</v>
      </c>
      <c r="N52" s="1975">
        <v>3</v>
      </c>
      <c r="O52" s="1975">
        <v>3</v>
      </c>
      <c r="P52" s="1976">
        <v>103</v>
      </c>
      <c r="AE52" s="1089"/>
      <c r="AF52" s="1089"/>
    </row>
    <row r="53" spans="2:32" ht="15.75" thickBot="1">
      <c r="B53" s="1973" t="str">
        <f t="shared" si="2"/>
        <v>De Aar</v>
      </c>
      <c r="C53" s="1974" t="s">
        <v>1476</v>
      </c>
      <c r="D53" s="1975">
        <v>6</v>
      </c>
      <c r="E53" s="1975">
        <v>10</v>
      </c>
      <c r="F53" s="1975">
        <v>8</v>
      </c>
      <c r="G53" s="1975">
        <v>6</v>
      </c>
      <c r="H53" s="1975">
        <v>3</v>
      </c>
      <c r="I53" s="1975">
        <v>2</v>
      </c>
      <c r="J53" s="1975">
        <v>2</v>
      </c>
      <c r="K53" s="1975">
        <v>3</v>
      </c>
      <c r="L53" s="1975">
        <v>2</v>
      </c>
      <c r="M53" s="1975">
        <v>4</v>
      </c>
      <c r="N53" s="1975">
        <v>5</v>
      </c>
      <c r="O53" s="1975">
        <v>4</v>
      </c>
      <c r="P53" s="1976">
        <v>55</v>
      </c>
      <c r="AE53" s="1089"/>
      <c r="AF53" s="1089"/>
    </row>
    <row r="54" spans="2:32" ht="15.75" thickBot="1">
      <c r="B54" s="1973" t="str">
        <f t="shared" si="2"/>
        <v>Durban</v>
      </c>
      <c r="C54" s="1974" t="s">
        <v>1476</v>
      </c>
      <c r="D54" s="1975">
        <v>17</v>
      </c>
      <c r="E54" s="1975">
        <v>15</v>
      </c>
      <c r="F54" s="1975">
        <v>15</v>
      </c>
      <c r="G54" s="1975">
        <v>9</v>
      </c>
      <c r="H54" s="1975">
        <v>8</v>
      </c>
      <c r="I54" s="1975">
        <v>4</v>
      </c>
      <c r="J54" s="1975">
        <v>5</v>
      </c>
      <c r="K54" s="1975">
        <v>8</v>
      </c>
      <c r="L54" s="1975">
        <v>9</v>
      </c>
      <c r="M54" s="1975">
        <v>13</v>
      </c>
      <c r="N54" s="1975">
        <v>14</v>
      </c>
      <c r="O54" s="1975">
        <v>13</v>
      </c>
      <c r="P54" s="1976">
        <v>130</v>
      </c>
      <c r="AE54" s="1089"/>
      <c r="AF54" s="1089"/>
    </row>
    <row r="55" spans="2:32" ht="15.75" thickBot="1">
      <c r="B55" s="1973" t="str">
        <f t="shared" si="2"/>
        <v>East London</v>
      </c>
      <c r="C55" s="1974" t="s">
        <v>1476</v>
      </c>
      <c r="D55" s="1975">
        <v>9</v>
      </c>
      <c r="E55" s="1975">
        <v>12</v>
      </c>
      <c r="F55" s="1975">
        <v>14</v>
      </c>
      <c r="G55" s="1975">
        <v>11</v>
      </c>
      <c r="H55" s="1975">
        <v>7</v>
      </c>
      <c r="I55" s="1975">
        <v>5</v>
      </c>
      <c r="J55" s="1975">
        <v>6</v>
      </c>
      <c r="K55" s="1975">
        <v>10</v>
      </c>
      <c r="L55" s="1975">
        <v>11</v>
      </c>
      <c r="M55" s="1975">
        <v>13</v>
      </c>
      <c r="N55" s="1975">
        <v>15</v>
      </c>
      <c r="O55" s="1975">
        <v>8</v>
      </c>
      <c r="P55" s="1976">
        <v>121</v>
      </c>
      <c r="AE55" s="1089"/>
      <c r="AF55" s="1089"/>
    </row>
    <row r="56" spans="2:32" ht="15.75" thickBot="1">
      <c r="B56" s="1973" t="str">
        <f t="shared" si="2"/>
        <v>George</v>
      </c>
      <c r="C56" s="1974" t="s">
        <v>1476</v>
      </c>
      <c r="D56" s="1975">
        <v>10</v>
      </c>
      <c r="E56" s="1975">
        <v>10</v>
      </c>
      <c r="F56" s="1975">
        <v>12</v>
      </c>
      <c r="G56" s="1975">
        <v>12</v>
      </c>
      <c r="H56" s="1975">
        <v>9</v>
      </c>
      <c r="I56" s="1975">
        <v>8</v>
      </c>
      <c r="J56" s="1975">
        <v>7</v>
      </c>
      <c r="K56" s="1975">
        <v>12</v>
      </c>
      <c r="L56" s="1975">
        <v>10</v>
      </c>
      <c r="M56" s="1975">
        <v>11</v>
      </c>
      <c r="N56" s="1975">
        <v>10</v>
      </c>
      <c r="O56" s="1975">
        <v>10</v>
      </c>
      <c r="P56" s="1976">
        <v>121</v>
      </c>
      <c r="AE56" s="1089"/>
      <c r="AF56" s="1089"/>
    </row>
    <row r="57" spans="2:32" ht="15.75" thickBot="1">
      <c r="B57" s="1973" t="str">
        <f t="shared" si="2"/>
        <v>Johannesburg</v>
      </c>
      <c r="C57" s="1974" t="s">
        <v>1476</v>
      </c>
      <c r="D57" s="1975">
        <v>17</v>
      </c>
      <c r="E57" s="1975">
        <v>13</v>
      </c>
      <c r="F57" s="1975">
        <v>13</v>
      </c>
      <c r="G57" s="1975">
        <v>7</v>
      </c>
      <c r="H57" s="1975">
        <v>2</v>
      </c>
      <c r="I57" s="1975">
        <v>1</v>
      </c>
      <c r="J57" s="1975">
        <v>1</v>
      </c>
      <c r="K57" s="1975">
        <v>1</v>
      </c>
      <c r="L57" s="1975">
        <v>4</v>
      </c>
      <c r="M57" s="1975">
        <v>10</v>
      </c>
      <c r="N57" s="1975">
        <v>15</v>
      </c>
      <c r="O57" s="1975">
        <v>15</v>
      </c>
      <c r="P57" s="1976">
        <v>99</v>
      </c>
      <c r="AE57" s="1089"/>
      <c r="AF57" s="1089"/>
    </row>
    <row r="58" spans="2:32" ht="15.75" thickBot="1">
      <c r="B58" s="1973" t="str">
        <f t="shared" si="2"/>
        <v>Kimberley</v>
      </c>
      <c r="C58" s="1974" t="s">
        <v>1476</v>
      </c>
      <c r="D58" s="1975">
        <v>10</v>
      </c>
      <c r="E58" s="1975">
        <v>13</v>
      </c>
      <c r="F58" s="1975">
        <v>11</v>
      </c>
      <c r="G58" s="1975">
        <v>8</v>
      </c>
      <c r="H58" s="1975">
        <v>3</v>
      </c>
      <c r="I58" s="1975">
        <v>1</v>
      </c>
      <c r="J58" s="1975">
        <v>2</v>
      </c>
      <c r="K58" s="1975">
        <v>1</v>
      </c>
      <c r="L58" s="1975">
        <v>2</v>
      </c>
      <c r="M58" s="1975">
        <v>5</v>
      </c>
      <c r="N58" s="1975">
        <v>7</v>
      </c>
      <c r="O58" s="1975">
        <v>8</v>
      </c>
      <c r="P58" s="1976">
        <v>71</v>
      </c>
      <c r="AE58" s="1089"/>
      <c r="AF58" s="1089"/>
    </row>
    <row r="59" spans="2:32" ht="15.75" thickBot="1">
      <c r="B59" s="1973" t="str">
        <f t="shared" si="2"/>
        <v>Ladysmith</v>
      </c>
      <c r="C59" s="1974" t="s">
        <v>1476</v>
      </c>
      <c r="D59" s="1975">
        <v>18</v>
      </c>
      <c r="E59" s="1975">
        <v>13</v>
      </c>
      <c r="F59" s="1975">
        <v>11</v>
      </c>
      <c r="G59" s="1975">
        <v>5</v>
      </c>
      <c r="H59" s="1975">
        <v>2</v>
      </c>
      <c r="I59" s="1975">
        <v>1</v>
      </c>
      <c r="J59" s="1975">
        <v>0</v>
      </c>
      <c r="K59" s="1975">
        <v>3</v>
      </c>
      <c r="L59" s="1975">
        <v>5</v>
      </c>
      <c r="M59" s="1975">
        <v>10</v>
      </c>
      <c r="N59" s="1975">
        <v>11</v>
      </c>
      <c r="O59" s="1975">
        <v>14</v>
      </c>
      <c r="P59" s="1976">
        <v>93</v>
      </c>
      <c r="AE59" s="1089"/>
      <c r="AF59" s="1093"/>
    </row>
    <row r="60" spans="2:32" ht="15.75" thickBot="1">
      <c r="B60" s="1973" t="str">
        <f t="shared" si="2"/>
        <v>Langebaan</v>
      </c>
      <c r="C60" s="1974" t="s">
        <v>1476</v>
      </c>
      <c r="D60" s="1975">
        <v>2</v>
      </c>
      <c r="E60" s="1975">
        <v>1</v>
      </c>
      <c r="F60" s="1975">
        <v>3</v>
      </c>
      <c r="G60" s="1975">
        <v>7</v>
      </c>
      <c r="H60" s="1975">
        <v>11</v>
      </c>
      <c r="I60" s="1975">
        <v>11</v>
      </c>
      <c r="J60" s="1975">
        <v>13</v>
      </c>
      <c r="K60" s="1975">
        <v>12</v>
      </c>
      <c r="L60" s="1975">
        <v>7</v>
      </c>
      <c r="M60" s="1975">
        <v>3</v>
      </c>
      <c r="N60" s="1975">
        <v>3</v>
      </c>
      <c r="O60" s="1975">
        <v>3</v>
      </c>
      <c r="P60" s="1976">
        <v>76</v>
      </c>
      <c r="AE60" s="1089"/>
      <c r="AF60" s="1089"/>
    </row>
    <row r="61" spans="2:32" ht="15.75" thickBot="1">
      <c r="B61" s="1973" t="str">
        <f t="shared" si="2"/>
        <v>Musina</v>
      </c>
      <c r="C61" s="1974" t="s">
        <v>1476</v>
      </c>
      <c r="D61" s="1975">
        <v>7</v>
      </c>
      <c r="E61" s="1975">
        <v>7</v>
      </c>
      <c r="F61" s="1975">
        <v>5</v>
      </c>
      <c r="G61" s="1975">
        <v>3</v>
      </c>
      <c r="H61" s="1975">
        <v>1</v>
      </c>
      <c r="I61" s="1975">
        <v>1</v>
      </c>
      <c r="J61" s="1975">
        <v>0</v>
      </c>
      <c r="K61" s="1975">
        <v>0</v>
      </c>
      <c r="L61" s="1975">
        <v>2</v>
      </c>
      <c r="M61" s="1975">
        <v>3</v>
      </c>
      <c r="N61" s="1975">
        <v>6</v>
      </c>
      <c r="O61" s="1975">
        <v>7</v>
      </c>
      <c r="P61" s="1976">
        <v>42</v>
      </c>
      <c r="AE61" s="1089"/>
    </row>
    <row r="62" spans="2:32" ht="15.75" thickBot="1">
      <c r="B62" s="1973" t="str">
        <f t="shared" si="2"/>
        <v>Nelspruit</v>
      </c>
      <c r="C62" s="1974" t="s">
        <v>1476</v>
      </c>
      <c r="D62" s="1975">
        <v>17</v>
      </c>
      <c r="E62" s="1975">
        <v>14</v>
      </c>
      <c r="F62" s="1975">
        <v>12</v>
      </c>
      <c r="G62" s="1975">
        <v>7</v>
      </c>
      <c r="H62" s="1975">
        <v>2</v>
      </c>
      <c r="I62" s="1975">
        <v>1</v>
      </c>
      <c r="J62" s="1975">
        <v>1</v>
      </c>
      <c r="K62" s="1975">
        <v>2</v>
      </c>
      <c r="L62" s="1975">
        <v>3</v>
      </c>
      <c r="M62" s="1975">
        <v>10</v>
      </c>
      <c r="N62" s="1975">
        <v>14</v>
      </c>
      <c r="O62" s="1975">
        <v>17</v>
      </c>
      <c r="P62" s="1976">
        <v>100</v>
      </c>
      <c r="AE62" s="1089"/>
    </row>
    <row r="63" spans="2:32" ht="15.75" thickBot="1">
      <c r="B63" s="1973" t="str">
        <f t="shared" si="2"/>
        <v>Nmmabatho</v>
      </c>
      <c r="C63" s="1974" t="s">
        <v>1476</v>
      </c>
      <c r="D63" s="1975">
        <v>16</v>
      </c>
      <c r="E63" s="1975">
        <v>11</v>
      </c>
      <c r="F63" s="1975">
        <v>10</v>
      </c>
      <c r="G63" s="1975">
        <v>7</v>
      </c>
      <c r="H63" s="1975">
        <v>2</v>
      </c>
      <c r="I63" s="1975">
        <v>1</v>
      </c>
      <c r="J63" s="1975">
        <v>0</v>
      </c>
      <c r="K63" s="1975">
        <v>1</v>
      </c>
      <c r="L63" s="1975">
        <v>2</v>
      </c>
      <c r="M63" s="1975">
        <v>5</v>
      </c>
      <c r="N63" s="1975">
        <v>8</v>
      </c>
      <c r="O63" s="1975">
        <v>9</v>
      </c>
      <c r="P63" s="1976">
        <v>72</v>
      </c>
      <c r="AE63" s="1089"/>
    </row>
    <row r="64" spans="2:32" ht="15.75" thickBot="1">
      <c r="B64" s="1973" t="str">
        <f t="shared" si="2"/>
        <v>Pietermaritzburg</v>
      </c>
      <c r="C64" s="1974" t="s">
        <v>1476</v>
      </c>
      <c r="D64" s="1975">
        <v>23</v>
      </c>
      <c r="E64" s="1975">
        <v>19</v>
      </c>
      <c r="F64" s="1975">
        <v>18</v>
      </c>
      <c r="G64" s="1975">
        <v>8</v>
      </c>
      <c r="H64" s="1975">
        <v>4</v>
      </c>
      <c r="I64" s="1975">
        <v>2</v>
      </c>
      <c r="J64" s="1975">
        <v>2</v>
      </c>
      <c r="K64" s="1975">
        <v>5</v>
      </c>
      <c r="L64" s="1975">
        <v>10</v>
      </c>
      <c r="M64" s="1975">
        <v>12</v>
      </c>
      <c r="N64" s="1975">
        <v>17</v>
      </c>
      <c r="O64" s="1975">
        <v>18</v>
      </c>
      <c r="P64" s="1976">
        <v>138</v>
      </c>
    </row>
    <row r="65" spans="2:32" ht="15.75" thickBot="1">
      <c r="B65" s="1973" t="str">
        <f t="shared" si="2"/>
        <v>Pilansberg</v>
      </c>
      <c r="C65" s="1974" t="s">
        <v>1476</v>
      </c>
      <c r="D65" s="1975">
        <v>10</v>
      </c>
      <c r="E65" s="1975">
        <v>9</v>
      </c>
      <c r="F65" s="1975">
        <v>8</v>
      </c>
      <c r="G65" s="1975">
        <v>5</v>
      </c>
      <c r="H65" s="1975">
        <v>1</v>
      </c>
      <c r="I65" s="1975">
        <v>2</v>
      </c>
      <c r="J65" s="1975">
        <v>0</v>
      </c>
      <c r="K65" s="1975">
        <v>1</v>
      </c>
      <c r="L65" s="1975">
        <v>3</v>
      </c>
      <c r="M65" s="1975">
        <v>8</v>
      </c>
      <c r="N65" s="1975">
        <v>8</v>
      </c>
      <c r="O65" s="1975">
        <v>14</v>
      </c>
      <c r="P65" s="1976">
        <v>69</v>
      </c>
      <c r="R65" s="439"/>
    </row>
    <row r="66" spans="2:32" ht="15.75" thickBot="1">
      <c r="B66" s="1973" t="str">
        <f t="shared" si="2"/>
        <v>Polokwane</v>
      </c>
      <c r="C66" s="1974" t="s">
        <v>1476</v>
      </c>
      <c r="D66" s="1975">
        <v>11</v>
      </c>
      <c r="E66" s="1975">
        <v>8</v>
      </c>
      <c r="F66" s="1975">
        <v>7</v>
      </c>
      <c r="G66" s="1975">
        <v>4</v>
      </c>
      <c r="H66" s="1975">
        <v>2</v>
      </c>
      <c r="I66" s="1975">
        <v>1</v>
      </c>
      <c r="J66" s="1975">
        <v>0</v>
      </c>
      <c r="K66" s="1975">
        <v>1</v>
      </c>
      <c r="L66" s="1975">
        <v>2</v>
      </c>
      <c r="M66" s="1975">
        <v>6</v>
      </c>
      <c r="N66" s="1975">
        <v>12</v>
      </c>
      <c r="O66" s="1975">
        <v>11</v>
      </c>
      <c r="P66" s="1976">
        <v>65</v>
      </c>
    </row>
    <row r="67" spans="2:32" ht="15.75" thickBot="1">
      <c r="B67" s="1973" t="str">
        <f t="shared" si="2"/>
        <v>Port Elizabeth</v>
      </c>
      <c r="C67" s="1974" t="s">
        <v>1476</v>
      </c>
      <c r="D67" s="1975">
        <v>7</v>
      </c>
      <c r="E67" s="1975">
        <v>7</v>
      </c>
      <c r="F67" s="1975">
        <v>10</v>
      </c>
      <c r="G67" s="1975">
        <v>10</v>
      </c>
      <c r="H67" s="1975">
        <v>11</v>
      </c>
      <c r="I67" s="1975">
        <v>11</v>
      </c>
      <c r="J67" s="1975">
        <v>8</v>
      </c>
      <c r="K67" s="1975">
        <v>12</v>
      </c>
      <c r="L67" s="1975">
        <v>11</v>
      </c>
      <c r="M67" s="1975">
        <v>10</v>
      </c>
      <c r="N67" s="1975">
        <v>9</v>
      </c>
      <c r="O67" s="1975">
        <v>6</v>
      </c>
      <c r="P67" s="1976">
        <v>112</v>
      </c>
    </row>
    <row r="68" spans="2:32" ht="15.75" thickBot="1">
      <c r="B68" s="1973" t="str">
        <f t="shared" si="2"/>
        <v>Pretoria</v>
      </c>
      <c r="C68" s="1974" t="s">
        <v>1476</v>
      </c>
      <c r="D68" s="1975">
        <v>18</v>
      </c>
      <c r="E68" s="1975">
        <v>10</v>
      </c>
      <c r="F68" s="1975">
        <v>10</v>
      </c>
      <c r="G68" s="1975">
        <v>6</v>
      </c>
      <c r="H68" s="1975">
        <v>2</v>
      </c>
      <c r="I68" s="1975">
        <v>1</v>
      </c>
      <c r="J68" s="1975">
        <v>1</v>
      </c>
      <c r="K68" s="1975">
        <v>1</v>
      </c>
      <c r="L68" s="1975">
        <v>3</v>
      </c>
      <c r="M68" s="1975">
        <v>9</v>
      </c>
      <c r="N68" s="1975">
        <v>12</v>
      </c>
      <c r="O68" s="1975">
        <v>14</v>
      </c>
      <c r="P68" s="1976">
        <v>87</v>
      </c>
    </row>
    <row r="69" spans="2:32" ht="15.75" thickBot="1">
      <c r="B69" s="1973" t="str">
        <f t="shared" si="2"/>
        <v>Richards Bay</v>
      </c>
      <c r="C69" s="1974" t="s">
        <v>1476</v>
      </c>
      <c r="D69" s="1975">
        <v>16</v>
      </c>
      <c r="E69" s="1975">
        <v>15</v>
      </c>
      <c r="F69" s="1975">
        <v>10</v>
      </c>
      <c r="G69" s="1975">
        <v>10</v>
      </c>
      <c r="H69" s="1975">
        <v>10</v>
      </c>
      <c r="I69" s="1975">
        <v>5</v>
      </c>
      <c r="J69" s="1975">
        <v>6</v>
      </c>
      <c r="K69" s="1975">
        <v>6</v>
      </c>
      <c r="L69" s="1975">
        <v>7</v>
      </c>
      <c r="M69" s="1975">
        <v>10</v>
      </c>
      <c r="N69" s="1975">
        <v>10</v>
      </c>
      <c r="O69" s="1975">
        <v>8</v>
      </c>
      <c r="P69" s="1976">
        <v>113</v>
      </c>
    </row>
    <row r="70" spans="2:32" ht="15.75" thickBot="1">
      <c r="B70" s="1973" t="str">
        <f t="shared" si="2"/>
        <v>Skukuza</v>
      </c>
      <c r="C70" s="1974" t="s">
        <v>1476</v>
      </c>
      <c r="D70" s="1975">
        <v>12</v>
      </c>
      <c r="E70" s="1975">
        <v>12</v>
      </c>
      <c r="F70" s="1975">
        <v>8</v>
      </c>
      <c r="G70" s="1975">
        <v>5</v>
      </c>
      <c r="H70" s="1975">
        <v>2</v>
      </c>
      <c r="I70" s="1975">
        <v>1</v>
      </c>
      <c r="J70" s="1975">
        <v>1</v>
      </c>
      <c r="K70" s="1975">
        <v>1</v>
      </c>
      <c r="L70" s="1975">
        <v>4</v>
      </c>
      <c r="M70" s="1975">
        <v>5</v>
      </c>
      <c r="N70" s="1975">
        <v>8</v>
      </c>
      <c r="O70" s="1975">
        <v>12</v>
      </c>
      <c r="P70" s="1976">
        <v>71</v>
      </c>
    </row>
    <row r="71" spans="2:32" ht="15.75" thickBot="1">
      <c r="B71" s="1973" t="str">
        <f t="shared" si="2"/>
        <v>Thohoyandou</v>
      </c>
      <c r="C71" s="1974" t="s">
        <v>1476</v>
      </c>
      <c r="D71" s="1975">
        <v>10</v>
      </c>
      <c r="E71" s="1975">
        <v>15</v>
      </c>
      <c r="F71" s="1975">
        <v>10</v>
      </c>
      <c r="G71" s="1975">
        <v>6</v>
      </c>
      <c r="H71" s="1975">
        <v>2</v>
      </c>
      <c r="I71" s="1975">
        <v>2</v>
      </c>
      <c r="J71" s="1975">
        <v>2</v>
      </c>
      <c r="K71" s="1975">
        <v>2</v>
      </c>
      <c r="L71" s="1975">
        <v>5</v>
      </c>
      <c r="M71" s="1975">
        <v>13</v>
      </c>
      <c r="N71" s="1975">
        <v>10</v>
      </c>
      <c r="O71" s="1975">
        <v>17</v>
      </c>
      <c r="P71" s="1976">
        <v>94</v>
      </c>
    </row>
    <row r="72" spans="2:32" ht="15.75" thickBot="1">
      <c r="B72" s="1973" t="str">
        <f t="shared" si="2"/>
        <v>Tstsikama</v>
      </c>
      <c r="C72" s="1974" t="s">
        <v>1476</v>
      </c>
      <c r="D72" s="1975">
        <v>7</v>
      </c>
      <c r="E72" s="1975">
        <v>7</v>
      </c>
      <c r="F72" s="1975">
        <v>8</v>
      </c>
      <c r="G72" s="1975">
        <v>8</v>
      </c>
      <c r="H72" s="1975">
        <v>8</v>
      </c>
      <c r="I72" s="1975">
        <v>7</v>
      </c>
      <c r="J72" s="1975">
        <v>8</v>
      </c>
      <c r="K72" s="1975">
        <v>10</v>
      </c>
      <c r="L72" s="1975">
        <v>6</v>
      </c>
      <c r="M72" s="1975">
        <v>8</v>
      </c>
      <c r="N72" s="1975">
        <v>8</v>
      </c>
      <c r="O72" s="1975">
        <v>6</v>
      </c>
      <c r="P72" s="1976">
        <v>91</v>
      </c>
    </row>
    <row r="73" spans="2:32" ht="15.75" thickBot="1">
      <c r="B73" s="1973" t="str">
        <f t="shared" si="2"/>
        <v>Umtata</v>
      </c>
      <c r="C73" s="1974" t="s">
        <v>1476</v>
      </c>
      <c r="D73" s="1975">
        <v>15</v>
      </c>
      <c r="E73" s="1975">
        <v>16</v>
      </c>
      <c r="F73" s="1975">
        <v>14</v>
      </c>
      <c r="G73" s="1975">
        <v>10</v>
      </c>
      <c r="H73" s="1975">
        <v>3</v>
      </c>
      <c r="I73" s="1975">
        <v>2</v>
      </c>
      <c r="J73" s="1975">
        <v>3</v>
      </c>
      <c r="K73" s="1975">
        <v>3</v>
      </c>
      <c r="L73" s="1975">
        <v>6</v>
      </c>
      <c r="M73" s="1975">
        <v>13</v>
      </c>
      <c r="N73" s="1975">
        <v>13</v>
      </c>
      <c r="O73" s="1975">
        <v>15</v>
      </c>
      <c r="P73" s="1976">
        <v>113</v>
      </c>
    </row>
    <row r="74" spans="2:32" ht="15.75" thickBot="1">
      <c r="B74" s="1973" t="str">
        <f t="shared" si="2"/>
        <v>Upington</v>
      </c>
      <c r="C74" s="1974" t="s">
        <v>1476</v>
      </c>
      <c r="D74" s="1975">
        <v>5</v>
      </c>
      <c r="E74" s="1975">
        <v>7</v>
      </c>
      <c r="F74" s="1975">
        <v>7</v>
      </c>
      <c r="G74" s="1975">
        <v>5</v>
      </c>
      <c r="H74" s="1975">
        <v>2</v>
      </c>
      <c r="I74" s="1975">
        <v>1</v>
      </c>
      <c r="J74" s="1975">
        <v>0</v>
      </c>
      <c r="K74" s="1975">
        <v>1</v>
      </c>
      <c r="L74" s="1975">
        <v>1</v>
      </c>
      <c r="M74" s="1975">
        <v>2</v>
      </c>
      <c r="N74" s="1975">
        <v>3</v>
      </c>
      <c r="O74" s="1975">
        <v>3</v>
      </c>
      <c r="P74" s="1976">
        <v>37</v>
      </c>
    </row>
    <row r="76" spans="2:32">
      <c r="AF76" s="1092"/>
    </row>
    <row r="77" spans="2:32">
      <c r="AF77" s="1092"/>
    </row>
    <row r="78" spans="2:32">
      <c r="AF78" s="1092"/>
    </row>
    <row r="95" spans="31:32">
      <c r="AE95" s="1089"/>
      <c r="AF95" s="1089"/>
    </row>
    <row r="96" spans="31:32">
      <c r="AE96" s="1089"/>
      <c r="AF96" s="1089"/>
    </row>
    <row r="97" spans="31:32">
      <c r="AE97" s="1089"/>
      <c r="AF97" s="1089"/>
    </row>
    <row r="98" spans="31:32">
      <c r="AE98" s="1089"/>
      <c r="AF98" s="1089"/>
    </row>
    <row r="99" spans="31:32">
      <c r="AE99" s="1089"/>
      <c r="AF99" s="1089"/>
    </row>
    <row r="100" spans="31:32">
      <c r="AE100" s="1089"/>
      <c r="AF100" s="1089"/>
    </row>
    <row r="101" spans="31:32">
      <c r="AE101" s="1089"/>
      <c r="AF101" s="1089"/>
    </row>
    <row r="102" spans="31:32">
      <c r="AE102" s="1089"/>
      <c r="AF102" s="1093"/>
    </row>
    <row r="103" spans="31:32">
      <c r="AE103" s="1089"/>
    </row>
    <row r="104" spans="31:32">
      <c r="AE104" s="1089"/>
    </row>
  </sheetData>
  <mergeCells count="1">
    <mergeCell ref="I36:M36"/>
  </mergeCells>
  <dataValidations count="3">
    <dataValidation type="list" allowBlank="1" showInputMessage="1" showErrorMessage="1" sqref="B983076:C983076 B65572:C65572 B131108:C131108 B196644:C196644 B262180:C262180 B327716:C327716 B393252:C393252 B458788:C458788 B524324:C524324 B589860:C589860 B655396:C655396 B720932:C720932 B786468:C786468 B852004:C852004 B917540:C917540 IY66 WVK983106 WLO983106 WBS983106 VRW983106 VIA983106 UYE983106 UOI983106 UEM983106 TUQ983106 TKU983106 TAY983106 SRC983106 SHG983106 RXK983106 RNO983106 RDS983106 QTW983106 QKA983106 QAE983106 PQI983106 PGM983106 OWQ983106 OMU983106 OCY983106 NTC983106 NJG983106 MZK983106 MPO983106 MFS983106 LVW983106 LMA983106 LCE983106 KSI983106 KIM983106 JYQ983106 JOU983106 JEY983106 IVC983106 ILG983106 IBK983106 HRO983106 HHS983106 GXW983106 GOA983106 GEE983106 FUI983106 FKM983106 FAQ983106 EQU983106 EGY983106 DXC983106 DNG983106 DDK983106 CTO983106 CJS983106 BZW983106 BQA983106 BGE983106 AWI983106 AMM983106 ACQ983106 SU983106 IY983106 WVK917570 WLO917570 WBS917570 VRW917570 VIA917570 UYE917570 UOI917570 UEM917570 TUQ917570 TKU917570 TAY917570 SRC917570 SHG917570 RXK917570 RNO917570 RDS917570 QTW917570 QKA917570 QAE917570 PQI917570 PGM917570 OWQ917570 OMU917570 OCY917570 NTC917570 NJG917570 MZK917570 MPO917570 MFS917570 LVW917570 LMA917570 LCE917570 KSI917570 KIM917570 JYQ917570 JOU917570 JEY917570 IVC917570 ILG917570 IBK917570 HRO917570 HHS917570 GXW917570 GOA917570 GEE917570 FUI917570 FKM917570 FAQ917570 EQU917570 EGY917570 DXC917570 DNG917570 DDK917570 CTO917570 CJS917570 BZW917570 BQA917570 BGE917570 AWI917570 AMM917570 ACQ917570 SU917570 IY917570 WVK852034 WLO852034 WBS852034 VRW852034 VIA852034 UYE852034 UOI852034 UEM852034 TUQ852034 TKU852034 TAY852034 SRC852034 SHG852034 RXK852034 RNO852034 RDS852034 QTW852034 QKA852034 QAE852034 PQI852034 PGM852034 OWQ852034 OMU852034 OCY852034 NTC852034 NJG852034 MZK852034 MPO852034 MFS852034 LVW852034 LMA852034 LCE852034 KSI852034 KIM852034 JYQ852034 JOU852034 JEY852034 IVC852034 ILG852034 IBK852034 HRO852034 HHS852034 GXW852034 GOA852034 GEE852034 FUI852034 FKM852034 FAQ852034 EQU852034 EGY852034 DXC852034 DNG852034 DDK852034 CTO852034 CJS852034 BZW852034 BQA852034 BGE852034 AWI852034 AMM852034 ACQ852034 SU852034 IY852034 WVK786498 WLO786498 WBS786498 VRW786498 VIA786498 UYE786498 UOI786498 UEM786498 TUQ786498 TKU786498 TAY786498 SRC786498 SHG786498 RXK786498 RNO786498 RDS786498 QTW786498 QKA786498 QAE786498 PQI786498 PGM786498 OWQ786498 OMU786498 OCY786498 NTC786498 NJG786498 MZK786498 MPO786498 MFS786498 LVW786498 LMA786498 LCE786498 KSI786498 KIM786498 JYQ786498 JOU786498 JEY786498 IVC786498 ILG786498 IBK786498 HRO786498 HHS786498 GXW786498 GOA786498 GEE786498 FUI786498 FKM786498 FAQ786498 EQU786498 EGY786498 DXC786498 DNG786498 DDK786498 CTO786498 CJS786498 BZW786498 BQA786498 BGE786498 AWI786498 AMM786498 ACQ786498 SU786498 IY786498 WVK720962 WLO720962 WBS720962 VRW720962 VIA720962 UYE720962 UOI720962 UEM720962 TUQ720962 TKU720962 TAY720962 SRC720962 SHG720962 RXK720962 RNO720962 RDS720962 QTW720962 QKA720962 QAE720962 PQI720962 PGM720962 OWQ720962 OMU720962 OCY720962 NTC720962 NJG720962 MZK720962 MPO720962 MFS720962 LVW720962 LMA720962 LCE720962 KSI720962 KIM720962 JYQ720962 JOU720962 JEY720962 IVC720962 ILG720962 IBK720962 HRO720962 HHS720962 GXW720962 GOA720962 GEE720962 FUI720962 FKM720962 FAQ720962 EQU720962 EGY720962 DXC720962 DNG720962 DDK720962 CTO720962 CJS720962 BZW720962 BQA720962 BGE720962 AWI720962 AMM720962 ACQ720962 SU720962 IY720962 WVK655426 WLO655426 WBS655426 VRW655426 VIA655426 UYE655426 UOI655426 UEM655426 TUQ655426 TKU655426 TAY655426 SRC655426 SHG655426 RXK655426 RNO655426 RDS655426 QTW655426 QKA655426 QAE655426 PQI655426 PGM655426 OWQ655426 OMU655426 OCY655426 NTC655426 NJG655426 MZK655426 MPO655426 MFS655426 LVW655426 LMA655426 LCE655426 KSI655426 KIM655426 JYQ655426 JOU655426 JEY655426 IVC655426 ILG655426 IBK655426 HRO655426 HHS655426 GXW655426 GOA655426 GEE655426 FUI655426 FKM655426 FAQ655426 EQU655426 EGY655426 DXC655426 DNG655426 DDK655426 CTO655426 CJS655426 BZW655426 BQA655426 BGE655426 AWI655426 AMM655426 ACQ655426 SU655426 IY655426 WVK589890 WLO589890 WBS589890 VRW589890 VIA589890 UYE589890 UOI589890 UEM589890 TUQ589890 TKU589890 TAY589890 SRC589890 SHG589890 RXK589890 RNO589890 RDS589890 QTW589890 QKA589890 QAE589890 PQI589890 PGM589890 OWQ589890 OMU589890 OCY589890 NTC589890 NJG589890 MZK589890 MPO589890 MFS589890 LVW589890 LMA589890 LCE589890 KSI589890 KIM589890 JYQ589890 JOU589890 JEY589890 IVC589890 ILG589890 IBK589890 HRO589890 HHS589890 GXW589890 GOA589890 GEE589890 FUI589890 FKM589890 FAQ589890 EQU589890 EGY589890 DXC589890 DNG589890 DDK589890 CTO589890 CJS589890 BZW589890 BQA589890 BGE589890 AWI589890 AMM589890 ACQ589890 SU589890 IY589890 WVK524354 WLO524354 WBS524354 VRW524354 VIA524354 UYE524354 UOI524354 UEM524354 TUQ524354 TKU524354 TAY524354 SRC524354 SHG524354 RXK524354 RNO524354 RDS524354 QTW524354 QKA524354 QAE524354 PQI524354 PGM524354 OWQ524354 OMU524354 OCY524354 NTC524354 NJG524354 MZK524354 MPO524354 MFS524354 LVW524354 LMA524354 LCE524354 KSI524354 KIM524354 JYQ524354 JOU524354 JEY524354 IVC524354 ILG524354 IBK524354 HRO524354 HHS524354 GXW524354 GOA524354 GEE524354 FUI524354 FKM524354 FAQ524354 EQU524354 EGY524354 DXC524354 DNG524354 DDK524354 CTO524354 CJS524354 BZW524354 BQA524354 BGE524354 AWI524354 AMM524354 ACQ524354 SU524354 IY524354 WVK458818 WLO458818 WBS458818 VRW458818 VIA458818 UYE458818 UOI458818 UEM458818 TUQ458818 TKU458818 TAY458818 SRC458818 SHG458818 RXK458818 RNO458818 RDS458818 QTW458818 QKA458818 QAE458818 PQI458818 PGM458818 OWQ458818 OMU458818 OCY458818 NTC458818 NJG458818 MZK458818 MPO458818 MFS458818 LVW458818 LMA458818 LCE458818 KSI458818 KIM458818 JYQ458818 JOU458818 JEY458818 IVC458818 ILG458818 IBK458818 HRO458818 HHS458818 GXW458818 GOA458818 GEE458818 FUI458818 FKM458818 FAQ458818 EQU458818 EGY458818 DXC458818 DNG458818 DDK458818 CTO458818 CJS458818 BZW458818 BQA458818 BGE458818 AWI458818 AMM458818 ACQ458818 SU458818 IY458818 WVK393282 WLO393282 WBS393282 VRW393282 VIA393282 UYE393282 UOI393282 UEM393282 TUQ393282 TKU393282 TAY393282 SRC393282 SHG393282 RXK393282 RNO393282 RDS393282 QTW393282 QKA393282 QAE393282 PQI393282 PGM393282 OWQ393282 OMU393282 OCY393282 NTC393282 NJG393282 MZK393282 MPO393282 MFS393282 LVW393282 LMA393282 LCE393282 KSI393282 KIM393282 JYQ393282 JOU393282 JEY393282 IVC393282 ILG393282 IBK393282 HRO393282 HHS393282 GXW393282 GOA393282 GEE393282 FUI393282 FKM393282 FAQ393282 EQU393282 EGY393282 DXC393282 DNG393282 DDK393282 CTO393282 CJS393282 BZW393282 BQA393282 BGE393282 AWI393282 AMM393282 ACQ393282 SU393282 IY393282 WVK327746 WLO327746 WBS327746 VRW327746 VIA327746 UYE327746 UOI327746 UEM327746 TUQ327746 TKU327746 TAY327746 SRC327746 SHG327746 RXK327746 RNO327746 RDS327746 QTW327746 QKA327746 QAE327746 PQI327746 PGM327746 OWQ327746 OMU327746 OCY327746 NTC327746 NJG327746 MZK327746 MPO327746 MFS327746 LVW327746 LMA327746 LCE327746 KSI327746 KIM327746 JYQ327746 JOU327746 JEY327746 IVC327746 ILG327746 IBK327746 HRO327746 HHS327746 GXW327746 GOA327746 GEE327746 FUI327746 FKM327746 FAQ327746 EQU327746 EGY327746 DXC327746 DNG327746 DDK327746 CTO327746 CJS327746 BZW327746 BQA327746 BGE327746 AWI327746 AMM327746 ACQ327746 SU327746 IY327746 WVK262210 WLO262210 WBS262210 VRW262210 VIA262210 UYE262210 UOI262210 UEM262210 TUQ262210 TKU262210 TAY262210 SRC262210 SHG262210 RXK262210 RNO262210 RDS262210 QTW262210 QKA262210 QAE262210 PQI262210 PGM262210 OWQ262210 OMU262210 OCY262210 NTC262210 NJG262210 MZK262210 MPO262210 MFS262210 LVW262210 LMA262210 LCE262210 KSI262210 KIM262210 JYQ262210 JOU262210 JEY262210 IVC262210 ILG262210 IBK262210 HRO262210 HHS262210 GXW262210 GOA262210 GEE262210 FUI262210 FKM262210 FAQ262210 EQU262210 EGY262210 DXC262210 DNG262210 DDK262210 CTO262210 CJS262210 BZW262210 BQA262210 BGE262210 AWI262210 AMM262210 ACQ262210 SU262210 IY262210 WVK196674 WLO196674 WBS196674 VRW196674 VIA196674 UYE196674 UOI196674 UEM196674 TUQ196674 TKU196674 TAY196674 SRC196674 SHG196674 RXK196674 RNO196674 RDS196674 QTW196674 QKA196674 QAE196674 PQI196674 PGM196674 OWQ196674 OMU196674 OCY196674 NTC196674 NJG196674 MZK196674 MPO196674 MFS196674 LVW196674 LMA196674 LCE196674 KSI196674 KIM196674 JYQ196674 JOU196674 JEY196674 IVC196674 ILG196674 IBK196674 HRO196674 HHS196674 GXW196674 GOA196674 GEE196674 FUI196674 FKM196674 FAQ196674 EQU196674 EGY196674 DXC196674 DNG196674 DDK196674 CTO196674 CJS196674 BZW196674 BQA196674 BGE196674 AWI196674 AMM196674 ACQ196674 SU196674 IY196674 WVK131138 WLO131138 WBS131138 VRW131138 VIA131138 UYE131138 UOI131138 UEM131138 TUQ131138 TKU131138 TAY131138 SRC131138 SHG131138 RXK131138 RNO131138 RDS131138 QTW131138 QKA131138 QAE131138 PQI131138 PGM131138 OWQ131138 OMU131138 OCY131138 NTC131138 NJG131138 MZK131138 MPO131138 MFS131138 LVW131138 LMA131138 LCE131138 KSI131138 KIM131138 JYQ131138 JOU131138 JEY131138 IVC131138 ILG131138 IBK131138 HRO131138 HHS131138 GXW131138 GOA131138 GEE131138 FUI131138 FKM131138 FAQ131138 EQU131138 EGY131138 DXC131138 DNG131138 DDK131138 CTO131138 CJS131138 BZW131138 BQA131138 BGE131138 AWI131138 AMM131138 ACQ131138 SU131138 IY131138 WVK65602 WLO65602 WBS65602 VRW65602 VIA65602 UYE65602 UOI65602 UEM65602 TUQ65602 TKU65602 TAY65602 SRC65602 SHG65602 RXK65602 RNO65602 RDS65602 QTW65602 QKA65602 QAE65602 PQI65602 PGM65602 OWQ65602 OMU65602 OCY65602 NTC65602 NJG65602 MZK65602 MPO65602 MFS65602 LVW65602 LMA65602 LCE65602 KSI65602 KIM65602 JYQ65602 JOU65602 JEY65602 IVC65602 ILG65602 IBK65602 HRO65602 HHS65602 GXW65602 GOA65602 GEE65602 FUI65602 FKM65602 FAQ65602 EQU65602 EGY65602 DXC65602 DNG65602 DDK65602 CTO65602 CJS65602 BZW65602 BQA65602 BGE65602 AWI65602 AMM65602 ACQ65602 SU65602 IY65602 WVK66 WLO66 WBS66 VRW66 VIA66 UYE66 UOI66 UEM66 TUQ66 TKU66 TAY66 SRC66 SHG66 RXK66 RNO66 RDS66 QTW66 QKA66 QAE66 PQI66 PGM66 OWQ66 OMU66 OCY66 NTC66 NJG66 MZK66 MPO66 MFS66 LVW66 LMA66 LCE66 KSI66 KIM66 JYQ66 JOU66 JEY66 IVC66 ILG66 IBK66 HRO66 HHS66 GXW66 GOA66 GEE66 FUI66 FKM66 FAQ66 EQU66 EGY66 DXC66 DNG66 DDK66 CTO66 CJS66 BZW66 BQA66 BGE66 AWI66 AMM66 ACQ66 SU66">
      <formula1>$B$4:$B$33</formula1>
    </dataValidation>
    <dataValidation type="list" allowBlank="1" showInputMessage="1" showErrorMessage="1" sqref="D36">
      <formula1>$B$4:$B$6</formula1>
    </dataValidation>
    <dataValidation type="list" allowBlank="1" showInputMessage="1" showErrorMessage="1" sqref="I36">
      <formula1>$R$6:$R$11</formula1>
    </dataValidation>
  </dataValidations>
  <pageMargins left="0.7" right="0.7" top="0.75" bottom="0.75" header="0.3" footer="0.3"/>
  <pageSetup paperSize="9" orientation="portrait"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IU37"/>
  <sheetViews>
    <sheetView zoomScale="80" zoomScaleNormal="85" workbookViewId="0">
      <selection activeCell="C81" sqref="C81"/>
    </sheetView>
  </sheetViews>
  <sheetFormatPr defaultColWidth="7.875" defaultRowHeight="15"/>
  <cols>
    <col min="1" max="1" width="7.25" style="1150" customWidth="1"/>
    <col min="2" max="2" width="15.125" style="1150" customWidth="1"/>
    <col min="3" max="3" width="25.625" style="1150" customWidth="1"/>
    <col min="4" max="4" width="64.875" style="1150" customWidth="1"/>
    <col min="5" max="7" width="12.625" style="275" customWidth="1"/>
    <col min="8" max="8" width="31" style="317" customWidth="1"/>
    <col min="9" max="9" width="10.875" style="1150" hidden="1" customWidth="1"/>
    <col min="10" max="11" width="8.875" style="1150" customWidth="1"/>
    <col min="12" max="186" width="7.875" style="1150"/>
    <col min="187" max="16384" width="7.875" style="273"/>
  </cols>
  <sheetData>
    <row r="1" spans="1:186" s="450" customFormat="1" ht="24" customHeight="1" thickBot="1">
      <c r="A1" s="441" t="str">
        <f>'Building Input'!B1</f>
        <v>Green Star SA - Public &amp; Education Building v1</v>
      </c>
      <c r="D1" s="1150"/>
      <c r="E1" s="275"/>
      <c r="F1" s="444" t="s">
        <v>134</v>
      </c>
      <c r="G1" s="445">
        <f>'Credit Summary'!J72</f>
        <v>0.12</v>
      </c>
      <c r="H1" s="443" t="s">
        <v>136</v>
      </c>
      <c r="I1" s="452"/>
    </row>
    <row r="2" spans="1:186" s="450" customFormat="1" ht="30" customHeight="1" thickBot="1">
      <c r="A2" s="272" t="s">
        <v>318</v>
      </c>
      <c r="D2" s="442" t="s">
        <v>135</v>
      </c>
      <c r="E2" s="1190">
        <f>E26</f>
        <v>24</v>
      </c>
      <c r="F2" s="1191">
        <f>F26</f>
        <v>0</v>
      </c>
      <c r="G2" s="1190">
        <f>G26</f>
        <v>0</v>
      </c>
      <c r="H2" s="1192">
        <f>'Credit Summary'!K72</f>
        <v>0</v>
      </c>
      <c r="I2" s="452"/>
    </row>
    <row r="3" spans="1:186" s="462" customFormat="1" ht="19.5" customHeight="1" thickBot="1">
      <c r="A3" s="458" t="s">
        <v>1037</v>
      </c>
      <c r="B3" s="459"/>
      <c r="C3" s="458" t="str">
        <f>IF('Building Input'!$C$5=0,"",'Building Input'!$C$5)</f>
        <v/>
      </c>
      <c r="D3" s="460"/>
      <c r="E3" s="275"/>
      <c r="F3" s="598" t="str">
        <f>IF(OR((I3=Calculation1!$B$84),(I3=Calculation1!$B$85),((F2+G2)&gt;E2)),Calculation1!$B$86,"")</f>
        <v/>
      </c>
      <c r="G3" s="275"/>
      <c r="H3" s="460"/>
      <c r="I3" s="467" t="str">
        <f>T(I5:I25)</f>
        <v/>
      </c>
    </row>
    <row r="4" spans="1:186" ht="33" customHeight="1" thickBot="1">
      <c r="A4" s="1229" t="s">
        <v>1039</v>
      </c>
      <c r="B4" s="1230" t="s">
        <v>1040</v>
      </c>
      <c r="C4" s="1230" t="s">
        <v>1041</v>
      </c>
      <c r="D4" s="1230" t="s">
        <v>1168</v>
      </c>
      <c r="E4" s="1231" t="s">
        <v>1169</v>
      </c>
      <c r="F4" s="1231" t="s">
        <v>451</v>
      </c>
      <c r="G4" s="1231" t="s">
        <v>452</v>
      </c>
      <c r="H4" s="1210" t="s">
        <v>453</v>
      </c>
    </row>
    <row r="5" spans="1:186" ht="79.5" customHeight="1">
      <c r="A5" s="902" t="s">
        <v>731</v>
      </c>
      <c r="B5" s="903" t="s">
        <v>425</v>
      </c>
      <c r="C5" s="903" t="s">
        <v>2088</v>
      </c>
      <c r="D5" s="1139" t="s">
        <v>2024</v>
      </c>
      <c r="E5" s="2004">
        <v>1</v>
      </c>
      <c r="F5" s="2093"/>
      <c r="G5" s="2093"/>
      <c r="H5" s="2141"/>
      <c r="I5" s="1151" t="str">
        <f>IF(OR(ISTEXT(F5)=TRUE,ISTEXT(G5)=TRUE),Calculation1!$B$87,IF(F5+G5&gt;E5,Calculation1!$B$84,""))</f>
        <v/>
      </c>
      <c r="J5" s="905"/>
      <c r="K5" s="906"/>
      <c r="L5" s="899"/>
    </row>
    <row r="6" spans="1:186" s="898" customFormat="1" ht="180" customHeight="1">
      <c r="A6" s="901"/>
      <c r="B6" s="900"/>
      <c r="C6" s="900"/>
      <c r="D6" s="1140" t="s">
        <v>2025</v>
      </c>
      <c r="E6" s="2004">
        <v>2</v>
      </c>
      <c r="F6" s="2093"/>
      <c r="G6" s="2093"/>
      <c r="H6" s="2142"/>
      <c r="I6" s="1151"/>
      <c r="J6" s="905"/>
      <c r="K6" s="906"/>
      <c r="L6" s="899"/>
      <c r="M6" s="1150"/>
      <c r="N6" s="1150"/>
      <c r="O6" s="1150"/>
      <c r="P6" s="1150"/>
      <c r="Q6" s="1150"/>
      <c r="R6" s="1150"/>
      <c r="S6" s="1150"/>
      <c r="T6" s="1150"/>
      <c r="U6" s="1150"/>
      <c r="V6" s="1150"/>
      <c r="W6" s="1150"/>
      <c r="X6" s="1150"/>
      <c r="Y6" s="1150"/>
      <c r="Z6" s="1150"/>
      <c r="AA6" s="1150"/>
      <c r="AB6" s="1150"/>
      <c r="AC6" s="1150"/>
      <c r="AD6" s="1150"/>
      <c r="AE6" s="1150"/>
      <c r="AF6" s="1150"/>
      <c r="AG6" s="1150"/>
      <c r="AH6" s="1150"/>
      <c r="AI6" s="1150"/>
      <c r="AJ6" s="1150"/>
      <c r="AK6" s="1150"/>
      <c r="AL6" s="1150"/>
      <c r="AM6" s="1150"/>
      <c r="AN6" s="1150"/>
      <c r="AO6" s="1150"/>
      <c r="AP6" s="1150"/>
      <c r="AQ6" s="1150"/>
      <c r="AR6" s="1150"/>
      <c r="AS6" s="1150"/>
      <c r="AT6" s="1150"/>
      <c r="AU6" s="1150"/>
      <c r="AV6" s="1150"/>
      <c r="AW6" s="1150"/>
      <c r="AX6" s="1150"/>
      <c r="AY6" s="1150"/>
      <c r="AZ6" s="1150"/>
      <c r="BA6" s="1150"/>
      <c r="BB6" s="1150"/>
      <c r="BC6" s="1150"/>
      <c r="BD6" s="1150"/>
      <c r="BE6" s="1150"/>
      <c r="BF6" s="1150"/>
      <c r="BG6" s="1150"/>
      <c r="BH6" s="1150"/>
      <c r="BI6" s="1150"/>
      <c r="BJ6" s="1150"/>
      <c r="BK6" s="1150"/>
      <c r="BL6" s="1150"/>
      <c r="BM6" s="1150"/>
      <c r="BN6" s="1150"/>
      <c r="BO6" s="1150"/>
      <c r="BP6" s="1150"/>
      <c r="BQ6" s="1150"/>
      <c r="BR6" s="1150"/>
      <c r="BS6" s="1150"/>
      <c r="BT6" s="1150"/>
      <c r="BU6" s="1150"/>
      <c r="BV6" s="1150"/>
      <c r="BW6" s="1150"/>
      <c r="BX6" s="1150"/>
      <c r="BY6" s="1150"/>
      <c r="BZ6" s="1150"/>
      <c r="CA6" s="1150"/>
      <c r="CB6" s="1150"/>
      <c r="CC6" s="1150"/>
      <c r="CD6" s="1150"/>
      <c r="CE6" s="1150"/>
      <c r="CF6" s="1150"/>
      <c r="CG6" s="1150"/>
      <c r="CH6" s="1150"/>
      <c r="CI6" s="1150"/>
      <c r="CJ6" s="1150"/>
      <c r="CK6" s="1150"/>
      <c r="CL6" s="1150"/>
      <c r="CM6" s="1150"/>
      <c r="CN6" s="1150"/>
      <c r="CO6" s="1150"/>
      <c r="CP6" s="1150"/>
      <c r="CQ6" s="1150"/>
      <c r="CR6" s="1150"/>
      <c r="CS6" s="1150"/>
      <c r="CT6" s="1150"/>
      <c r="CU6" s="1150"/>
      <c r="CV6" s="1150"/>
      <c r="CW6" s="1150"/>
      <c r="CX6" s="1150"/>
      <c r="CY6" s="1150"/>
      <c r="CZ6" s="1150"/>
      <c r="DA6" s="1150"/>
      <c r="DB6" s="1150"/>
      <c r="DC6" s="1150"/>
      <c r="DD6" s="1150"/>
      <c r="DE6" s="1150"/>
      <c r="DF6" s="1150"/>
      <c r="DG6" s="1150"/>
      <c r="DH6" s="1150"/>
      <c r="DI6" s="1150"/>
      <c r="DJ6" s="1150"/>
      <c r="DK6" s="1150"/>
      <c r="DL6" s="1150"/>
      <c r="DM6" s="1150"/>
      <c r="DN6" s="1150"/>
      <c r="DO6" s="1150"/>
      <c r="DP6" s="1150"/>
      <c r="DQ6" s="1150"/>
      <c r="DR6" s="1150"/>
      <c r="DS6" s="1150"/>
      <c r="DT6" s="1150"/>
      <c r="DU6" s="1150"/>
      <c r="DV6" s="1150"/>
      <c r="DW6" s="1150"/>
      <c r="DX6" s="1150"/>
      <c r="DY6" s="1150"/>
      <c r="DZ6" s="1150"/>
      <c r="EA6" s="1150"/>
      <c r="EB6" s="1150"/>
      <c r="EC6" s="1150"/>
      <c r="ED6" s="1150"/>
      <c r="EE6" s="1150"/>
      <c r="EF6" s="1150"/>
      <c r="EG6" s="1150"/>
      <c r="EH6" s="1150"/>
      <c r="EI6" s="1150"/>
      <c r="EJ6" s="1150"/>
      <c r="EK6" s="1150"/>
      <c r="EL6" s="1150"/>
      <c r="EM6" s="1150"/>
      <c r="EN6" s="1150"/>
      <c r="EO6" s="1150"/>
      <c r="EP6" s="1150"/>
      <c r="EQ6" s="1150"/>
      <c r="ER6" s="1150"/>
      <c r="ES6" s="1150"/>
      <c r="ET6" s="1150"/>
      <c r="EU6" s="1150"/>
      <c r="EV6" s="1150"/>
      <c r="EW6" s="1150"/>
      <c r="EX6" s="1150"/>
      <c r="EY6" s="1150"/>
      <c r="EZ6" s="1150"/>
      <c r="FA6" s="1150"/>
      <c r="FB6" s="1150"/>
      <c r="FC6" s="1150"/>
      <c r="FD6" s="1150"/>
      <c r="FE6" s="1150"/>
      <c r="FF6" s="1150"/>
      <c r="FG6" s="1150"/>
      <c r="FH6" s="1150"/>
      <c r="FI6" s="1150"/>
      <c r="FJ6" s="1150"/>
      <c r="FK6" s="1150"/>
      <c r="FL6" s="1150"/>
      <c r="FM6" s="1150"/>
      <c r="FN6" s="1150"/>
      <c r="FO6" s="1150"/>
      <c r="FP6" s="1150"/>
      <c r="FQ6" s="1150"/>
      <c r="FR6" s="1150"/>
      <c r="FS6" s="1150"/>
      <c r="FT6" s="1150"/>
      <c r="FU6" s="1150"/>
      <c r="FV6" s="1150"/>
      <c r="FW6" s="1150"/>
      <c r="FX6" s="1150"/>
      <c r="FY6" s="1150"/>
      <c r="FZ6" s="1150"/>
      <c r="GA6" s="1150"/>
      <c r="GB6" s="1150"/>
      <c r="GC6" s="1150"/>
      <c r="GD6" s="1150"/>
    </row>
    <row r="7" spans="1:186" ht="252" customHeight="1">
      <c r="A7" s="908" t="s">
        <v>732</v>
      </c>
      <c r="B7" s="1156" t="s">
        <v>426</v>
      </c>
      <c r="C7" s="1156" t="s">
        <v>493</v>
      </c>
      <c r="D7" s="1157" t="s">
        <v>2026</v>
      </c>
      <c r="E7" s="904">
        <f>IF(F7="na",0,5)</f>
        <v>5</v>
      </c>
      <c r="F7" s="2118"/>
      <c r="G7" s="2118"/>
      <c r="H7" s="852"/>
      <c r="I7" s="897" t="str">
        <f>IF(ISBLANK(F7),IF(G7&gt;E7,Calculation1!$B$84,""),IF(F7="na","",IF(OR(F7="na",ISNUMBER(F7)),IF(F7+G7&gt;E7,Calculation1!$B$84,""),Calculation1!$B$85)))</f>
        <v/>
      </c>
      <c r="J7" s="905"/>
      <c r="K7" s="906"/>
      <c r="L7" s="899"/>
    </row>
    <row r="8" spans="1:186" ht="174" customHeight="1">
      <c r="A8" s="960" t="s">
        <v>733</v>
      </c>
      <c r="B8" s="961" t="s">
        <v>2081</v>
      </c>
      <c r="C8" s="961" t="s">
        <v>836</v>
      </c>
      <c r="D8" s="1157" t="s">
        <v>2082</v>
      </c>
      <c r="E8" s="2004">
        <v>2</v>
      </c>
      <c r="F8" s="2093"/>
      <c r="G8" s="2093"/>
      <c r="H8" s="2009"/>
      <c r="I8" s="1151" t="str">
        <f>IF(OR(ISTEXT(F8)=TRUE,ISTEXT(G8)=TRUE),Calculation1!$B$87,IF(F8+G8&gt;E8,Calculation1!$B$84,""))</f>
        <v/>
      </c>
      <c r="J8" s="905"/>
      <c r="K8" s="906"/>
      <c r="L8" s="899"/>
    </row>
    <row r="9" spans="1:186" ht="29.25" customHeight="1">
      <c r="A9" s="1135" t="s">
        <v>734</v>
      </c>
      <c r="B9" s="945" t="s">
        <v>1091</v>
      </c>
      <c r="C9" s="945"/>
      <c r="D9" s="857" t="s">
        <v>2104</v>
      </c>
      <c r="E9" s="946" t="s">
        <v>1308</v>
      </c>
      <c r="F9" s="946" t="s">
        <v>1308</v>
      </c>
      <c r="G9" s="946" t="s">
        <v>1308</v>
      </c>
      <c r="H9" s="2092"/>
      <c r="I9" s="1151" t="str">
        <f>IF(OR(ISTEXT(F9)=TRUE,ISTEXT(G9)=TRUE),Calculation1!$B$87,IF(F9+G9&gt;E9,Calculation1!$B$84,""))</f>
        <v>ERROR, text not valid!</v>
      </c>
      <c r="J9" s="905"/>
      <c r="K9" s="906"/>
      <c r="L9" s="899"/>
    </row>
    <row r="10" spans="1:186" ht="156.75" customHeight="1">
      <c r="A10" s="2633" t="s">
        <v>735</v>
      </c>
      <c r="B10" s="2625" t="s">
        <v>1036</v>
      </c>
      <c r="C10" s="2625" t="s">
        <v>622</v>
      </c>
      <c r="D10" s="896" t="s">
        <v>2083</v>
      </c>
      <c r="E10" s="885">
        <f>IF(OR(F10="na",F11="na"),0,2)</f>
        <v>2</v>
      </c>
      <c r="F10" s="2067"/>
      <c r="G10" s="2067"/>
      <c r="H10" s="2622"/>
      <c r="I10" s="897" t="str">
        <f>IF(ISBLANK(F10),IF(G10&gt;E10,Calculation1!$B$84,""),IF(F10="na","",IF(OR(F10="na",ISNUMBER(F10)),IF(F10+G10&gt;E10,Calculation1!$B$84,""),Calculation1!$B$85)))</f>
        <v/>
      </c>
      <c r="J10" s="905"/>
      <c r="K10" s="906"/>
      <c r="L10" s="899"/>
    </row>
    <row r="11" spans="1:186" ht="216.75">
      <c r="A11" s="2634"/>
      <c r="B11" s="2625"/>
      <c r="C11" s="2625"/>
      <c r="D11" s="1154" t="s">
        <v>2084</v>
      </c>
      <c r="E11" s="904">
        <f>IF(OR(F10="na",F11="na"),0,1)</f>
        <v>1</v>
      </c>
      <c r="F11" s="2067"/>
      <c r="G11" s="2067"/>
      <c r="H11" s="2622"/>
      <c r="I11" s="897" t="str">
        <f>IF(ISBLANK(F11),IF(G11&gt;E11,Calculation1!$B$84,""),IF(F11="na","",IF(OR(F11="na",ISNUMBER(F11)),IF(F11+G11&gt;E11,Calculation1!$B$84,""),Calculation1!$B$85)))</f>
        <v/>
      </c>
      <c r="J11" s="905"/>
      <c r="K11" s="906"/>
      <c r="L11" s="899"/>
    </row>
    <row r="12" spans="1:186" ht="173.25" customHeight="1">
      <c r="A12" s="895" t="s">
        <v>736</v>
      </c>
      <c r="B12" s="894" t="s">
        <v>1178</v>
      </c>
      <c r="C12" s="894" t="s">
        <v>390</v>
      </c>
      <c r="D12" s="935" t="s">
        <v>2027</v>
      </c>
      <c r="E12" s="457">
        <f>IF(OR(F12="na",F13="na"),0,1)</f>
        <v>1</v>
      </c>
      <c r="F12" s="2067"/>
      <c r="G12" s="2067"/>
      <c r="H12" s="2626"/>
      <c r="I12" s="897" t="str">
        <f>IF(ISBLANK(F12),IF(G12&gt;E12,Calculation1!$B$84,""),IF(F12="na","",IF(OR(F12="na",ISNUMBER(F12)),IF(F12+G12&gt;E12,Calculation1!$B$84,""),Calculation1!$B$85)))</f>
        <v/>
      </c>
      <c r="J12" s="905"/>
      <c r="K12" s="906"/>
      <c r="L12" s="899"/>
    </row>
    <row r="13" spans="1:186" ht="163.5" customHeight="1">
      <c r="A13" s="893"/>
      <c r="B13" s="892"/>
      <c r="C13" s="892"/>
      <c r="D13" s="936" t="s">
        <v>2028</v>
      </c>
      <c r="E13" s="449">
        <f>IF(OR(F12="na",F13="na"),0,2)</f>
        <v>2</v>
      </c>
      <c r="F13" s="2093"/>
      <c r="G13" s="2093"/>
      <c r="H13" s="2627"/>
      <c r="I13" s="897" t="str">
        <f>IF(ISBLANK(F13),IF(G13&gt;E13,Calculation1!$B$84,""),IF(F13="na","",IF(OR(F13="na",ISNUMBER(F13)),IF(F13+G13&gt;E13,Calculation1!$B$84,""),Calculation1!$B$85)))</f>
        <v/>
      </c>
      <c r="J13" s="905"/>
      <c r="K13" s="906"/>
      <c r="L13" s="899"/>
    </row>
    <row r="14" spans="1:186" ht="30" customHeight="1">
      <c r="A14" s="1135" t="s">
        <v>737</v>
      </c>
      <c r="B14" s="945" t="s">
        <v>16</v>
      </c>
      <c r="C14" s="857"/>
      <c r="D14" s="939" t="s">
        <v>2104</v>
      </c>
      <c r="E14" s="940" t="s">
        <v>1308</v>
      </c>
      <c r="F14" s="946" t="s">
        <v>1308</v>
      </c>
      <c r="G14" s="946" t="s">
        <v>1308</v>
      </c>
      <c r="H14" s="2047"/>
      <c r="I14" s="1151" t="str">
        <f>IF(OR(ISTEXT(F14)=TRUE,ISTEXT(G14)=TRUE),Calculation1!$B$87,IF(F14+G14&gt;E14,Calculation1!$B$84,""))</f>
        <v>ERROR, text not valid!</v>
      </c>
      <c r="J14" s="905"/>
      <c r="K14" s="906"/>
      <c r="L14" s="899"/>
    </row>
    <row r="15" spans="1:186" ht="213" customHeight="1">
      <c r="A15" s="908" t="s">
        <v>738</v>
      </c>
      <c r="B15" s="1156" t="s">
        <v>2029</v>
      </c>
      <c r="C15" s="1156" t="s">
        <v>487</v>
      </c>
      <c r="D15" s="1157" t="s">
        <v>2085</v>
      </c>
      <c r="E15" s="904">
        <f>IF(F15="na",0,2)</f>
        <v>2</v>
      </c>
      <c r="F15" s="2067"/>
      <c r="G15" s="2067"/>
      <c r="H15" s="2007"/>
      <c r="I15" s="897" t="str">
        <f>IF(ISBLANK(F15),IF(G15&gt;E15,Calculation1!$B$84,""),IF(F15="na","",IF(OR(F15="na",ISNUMBER(F15)),IF(F15+G15&gt;E15,Calculation1!$B$84,""),Calculation1!$B$85)))</f>
        <v/>
      </c>
      <c r="J15" s="905"/>
      <c r="K15" s="906"/>
      <c r="L15" s="899"/>
    </row>
    <row r="16" spans="1:186" ht="147" customHeight="1">
      <c r="A16" s="908" t="s">
        <v>739</v>
      </c>
      <c r="B16" s="1156" t="s">
        <v>1032</v>
      </c>
      <c r="C16" s="1156" t="s">
        <v>393</v>
      </c>
      <c r="D16" s="1157" t="s">
        <v>2030</v>
      </c>
      <c r="E16" s="904">
        <f>IF(F16="na",0,1)</f>
        <v>1</v>
      </c>
      <c r="F16" s="2067"/>
      <c r="G16" s="2067"/>
      <c r="H16" s="2007"/>
      <c r="I16" s="897" t="str">
        <f>IF(ISBLANK(F16),IF(G16&gt;E16,Calculation1!$B$84,""),IF(F16="na","",IF(OR(F16="na",ISNUMBER(F16)),IF(F16+G16&gt;E16,Calculation1!$B$84,""),Calculation1!$B$85)))</f>
        <v/>
      </c>
      <c r="J16" s="905"/>
      <c r="K16" s="906"/>
      <c r="L16" s="899"/>
    </row>
    <row r="17" spans="1:255" ht="148.5" customHeight="1">
      <c r="A17" s="2631" t="s">
        <v>740</v>
      </c>
      <c r="B17" s="2629" t="s">
        <v>208</v>
      </c>
      <c r="C17" s="2629" t="s">
        <v>118</v>
      </c>
      <c r="D17" s="1141" t="s">
        <v>2031</v>
      </c>
      <c r="E17" s="2623">
        <v>1</v>
      </c>
      <c r="F17" s="2628"/>
      <c r="G17" s="2628"/>
      <c r="H17" s="2622"/>
      <c r="I17" s="2621" t="str">
        <f>IF(OR(ISTEXT(F17)=TRUE,ISTEXT(G17)=TRUE),Calculation1!$B$87,IF(F17+G17&gt;E17,Calculation1!$B$84,""))</f>
        <v/>
      </c>
    </row>
    <row r="18" spans="1:255" ht="123.75" customHeight="1">
      <c r="A18" s="2632"/>
      <c r="B18" s="2630"/>
      <c r="C18" s="2630"/>
      <c r="D18" s="1141" t="s">
        <v>2032</v>
      </c>
      <c r="E18" s="2624"/>
      <c r="F18" s="2628"/>
      <c r="G18" s="2628"/>
      <c r="H18" s="2622"/>
      <c r="I18" s="2621"/>
    </row>
    <row r="19" spans="1:255" ht="46.5" customHeight="1">
      <c r="A19" s="2632"/>
      <c r="B19" s="2630"/>
      <c r="C19" s="2630"/>
      <c r="D19" s="1141" t="s">
        <v>2033</v>
      </c>
      <c r="E19" s="2624"/>
      <c r="F19" s="2628"/>
      <c r="G19" s="2628"/>
      <c r="H19" s="2622"/>
      <c r="I19" s="2621"/>
    </row>
    <row r="20" spans="1:255" ht="70.5" customHeight="1">
      <c r="A20" s="2632"/>
      <c r="B20" s="2630"/>
      <c r="C20" s="2630"/>
      <c r="D20" s="1141" t="s">
        <v>2034</v>
      </c>
      <c r="E20" s="2624"/>
      <c r="F20" s="2628"/>
      <c r="G20" s="2628"/>
      <c r="H20" s="2622"/>
      <c r="I20" s="2621"/>
    </row>
    <row r="21" spans="1:255" ht="74.25" customHeight="1">
      <c r="A21" s="2632"/>
      <c r="B21" s="2630"/>
      <c r="C21" s="2630"/>
      <c r="D21" s="1141" t="s">
        <v>2035</v>
      </c>
      <c r="E21" s="2624"/>
      <c r="F21" s="2628"/>
      <c r="G21" s="2628"/>
      <c r="H21" s="2622"/>
      <c r="I21" s="2621"/>
    </row>
    <row r="22" spans="1:255" ht="75" customHeight="1">
      <c r="A22" s="2632"/>
      <c r="B22" s="2630"/>
      <c r="C22" s="2630"/>
      <c r="D22" s="1141" t="s">
        <v>2036</v>
      </c>
      <c r="E22" s="2624"/>
      <c r="F22" s="2628"/>
      <c r="G22" s="2628"/>
      <c r="H22" s="2622"/>
      <c r="I22" s="2621"/>
    </row>
    <row r="23" spans="1:255" s="912" customFormat="1" ht="201" customHeight="1">
      <c r="A23" s="908" t="s">
        <v>1336</v>
      </c>
      <c r="B23" s="962" t="s">
        <v>1337</v>
      </c>
      <c r="C23" s="962" t="s">
        <v>1338</v>
      </c>
      <c r="D23" s="1141" t="s">
        <v>2037</v>
      </c>
      <c r="E23" s="904">
        <v>2</v>
      </c>
      <c r="F23" s="2094"/>
      <c r="G23" s="2094"/>
      <c r="H23" s="2008"/>
      <c r="I23" s="937"/>
      <c r="J23" s="1150"/>
      <c r="K23" s="1150"/>
      <c r="L23" s="1150"/>
      <c r="M23" s="1150"/>
      <c r="N23" s="1150"/>
      <c r="O23" s="1150"/>
      <c r="P23" s="1150"/>
      <c r="Q23" s="1150"/>
      <c r="R23" s="1150"/>
      <c r="S23" s="1150"/>
      <c r="T23" s="1150"/>
      <c r="U23" s="1150"/>
      <c r="V23" s="1150"/>
      <c r="W23" s="1150"/>
      <c r="X23" s="1150"/>
      <c r="Y23" s="1150"/>
      <c r="Z23" s="1150"/>
      <c r="AA23" s="1150"/>
      <c r="AB23" s="1150"/>
      <c r="AC23" s="1150"/>
      <c r="AD23" s="1150"/>
      <c r="AE23" s="1150"/>
      <c r="AF23" s="1150"/>
      <c r="AG23" s="1150"/>
      <c r="AH23" s="1150"/>
      <c r="AI23" s="1150"/>
      <c r="AJ23" s="1150"/>
      <c r="AK23" s="1150"/>
      <c r="AL23" s="1150"/>
      <c r="AM23" s="1150"/>
      <c r="AN23" s="1150"/>
      <c r="AO23" s="1150"/>
      <c r="AP23" s="1150"/>
      <c r="AQ23" s="1150"/>
      <c r="AR23" s="1150"/>
      <c r="AS23" s="1150"/>
      <c r="AT23" s="1150"/>
      <c r="AU23" s="1150"/>
      <c r="AV23" s="1150"/>
      <c r="AW23" s="1150"/>
      <c r="AX23" s="1150"/>
      <c r="AY23" s="1150"/>
      <c r="AZ23" s="1150"/>
      <c r="BA23" s="1150"/>
      <c r="BB23" s="1150"/>
      <c r="BC23" s="1150"/>
      <c r="BD23" s="1150"/>
      <c r="BE23" s="1150"/>
      <c r="BF23" s="1150"/>
      <c r="BG23" s="1150"/>
      <c r="BH23" s="1150"/>
      <c r="BI23" s="1150"/>
      <c r="BJ23" s="1150"/>
      <c r="BK23" s="1150"/>
      <c r="BL23" s="1150"/>
      <c r="BM23" s="1150"/>
      <c r="BN23" s="1150"/>
      <c r="BO23" s="1150"/>
      <c r="BP23" s="1150"/>
      <c r="BQ23" s="1150"/>
      <c r="BR23" s="1150"/>
      <c r="BS23" s="1150"/>
      <c r="BT23" s="1150"/>
      <c r="BU23" s="1150"/>
      <c r="BV23" s="1150"/>
      <c r="BW23" s="1150"/>
      <c r="BX23" s="1150"/>
      <c r="BY23" s="1150"/>
      <c r="BZ23" s="1150"/>
      <c r="CA23" s="1150"/>
      <c r="CB23" s="1150"/>
      <c r="CC23" s="1150"/>
      <c r="CD23" s="1150"/>
      <c r="CE23" s="1150"/>
      <c r="CF23" s="1150"/>
      <c r="CG23" s="1150"/>
      <c r="CH23" s="1150"/>
      <c r="CI23" s="1150"/>
      <c r="CJ23" s="1150"/>
      <c r="CK23" s="1150"/>
      <c r="CL23" s="1150"/>
      <c r="CM23" s="1150"/>
      <c r="CN23" s="1150"/>
      <c r="CO23" s="1150"/>
      <c r="CP23" s="1150"/>
      <c r="CQ23" s="1150"/>
      <c r="CR23" s="1150"/>
      <c r="CS23" s="1150"/>
      <c r="CT23" s="1150"/>
      <c r="CU23" s="1150"/>
      <c r="CV23" s="1150"/>
      <c r="CW23" s="1150"/>
      <c r="CX23" s="1150"/>
      <c r="CY23" s="1150"/>
      <c r="CZ23" s="1150"/>
      <c r="DA23" s="1150"/>
      <c r="DB23" s="1150"/>
      <c r="DC23" s="1150"/>
      <c r="DD23" s="1150"/>
      <c r="DE23" s="1150"/>
      <c r="DF23" s="1150"/>
      <c r="DG23" s="1150"/>
      <c r="DH23" s="1150"/>
      <c r="DI23" s="1150"/>
      <c r="DJ23" s="1150"/>
      <c r="DK23" s="1150"/>
      <c r="DL23" s="1150"/>
      <c r="DM23" s="1150"/>
      <c r="DN23" s="1150"/>
      <c r="DO23" s="1150"/>
      <c r="DP23" s="1150"/>
      <c r="DQ23" s="1150"/>
      <c r="DR23" s="1150"/>
      <c r="DS23" s="1150"/>
      <c r="DT23" s="1150"/>
      <c r="DU23" s="1150"/>
      <c r="DV23" s="1150"/>
      <c r="DW23" s="1150"/>
      <c r="DX23" s="1150"/>
      <c r="DY23" s="1150"/>
      <c r="DZ23" s="1150"/>
      <c r="EA23" s="1150"/>
      <c r="EB23" s="1150"/>
      <c r="EC23" s="1150"/>
      <c r="ED23" s="1150"/>
      <c r="EE23" s="1150"/>
      <c r="EF23" s="1150"/>
      <c r="EG23" s="1150"/>
      <c r="EH23" s="1150"/>
      <c r="EI23" s="1150"/>
      <c r="EJ23" s="1150"/>
      <c r="EK23" s="1150"/>
      <c r="EL23" s="1150"/>
      <c r="EM23" s="1150"/>
      <c r="EN23" s="1150"/>
      <c r="EO23" s="1150"/>
      <c r="EP23" s="1150"/>
      <c r="EQ23" s="1150"/>
      <c r="ER23" s="1150"/>
      <c r="ES23" s="1150"/>
      <c r="ET23" s="1150"/>
      <c r="EU23" s="1150"/>
      <c r="EV23" s="1150"/>
      <c r="EW23" s="1150"/>
      <c r="EX23" s="1150"/>
      <c r="EY23" s="1150"/>
      <c r="EZ23" s="1150"/>
      <c r="FA23" s="1150"/>
      <c r="FB23" s="1150"/>
      <c r="FC23" s="1150"/>
      <c r="FD23" s="1150"/>
      <c r="FE23" s="1150"/>
      <c r="FF23" s="1150"/>
      <c r="FG23" s="1150"/>
      <c r="FH23" s="1150"/>
      <c r="FI23" s="1150"/>
      <c r="FJ23" s="1150"/>
      <c r="FK23" s="1150"/>
      <c r="FL23" s="1150"/>
      <c r="FM23" s="1150"/>
      <c r="FN23" s="1150"/>
      <c r="FO23" s="1150"/>
      <c r="FP23" s="1150"/>
      <c r="FQ23" s="1150"/>
      <c r="FR23" s="1150"/>
      <c r="FS23" s="1150"/>
      <c r="FT23" s="1150"/>
      <c r="FU23" s="1150"/>
      <c r="FV23" s="1150"/>
      <c r="FW23" s="1150"/>
      <c r="FX23" s="1150"/>
      <c r="FY23" s="1150"/>
      <c r="FZ23" s="1150"/>
      <c r="GA23" s="1150"/>
      <c r="GB23" s="1150"/>
      <c r="GC23" s="1150"/>
      <c r="GD23" s="1150"/>
    </row>
    <row r="24" spans="1:255" s="912" customFormat="1" ht="25.5">
      <c r="A24" s="938" t="s">
        <v>1371</v>
      </c>
      <c r="B24" s="857" t="s">
        <v>1372</v>
      </c>
      <c r="C24" s="857"/>
      <c r="D24" s="939" t="s">
        <v>2104</v>
      </c>
      <c r="E24" s="940" t="s">
        <v>1308</v>
      </c>
      <c r="F24" s="946" t="s">
        <v>1308</v>
      </c>
      <c r="G24" s="946" t="s">
        <v>1308</v>
      </c>
      <c r="H24" s="2047"/>
      <c r="I24" s="1151" t="str">
        <f>IF(OR(ISTEXT(F24)=TRUE,ISTEXT(G24)=TRUE),Calculation1!$B$87,IF(F24+G24&gt;E24,Calculation1!$B$84,""))</f>
        <v>ERROR, text not valid!</v>
      </c>
      <c r="J24" s="1144"/>
      <c r="K24" s="1144"/>
      <c r="L24" s="1144"/>
      <c r="M24" s="1144"/>
      <c r="N24" s="1144"/>
      <c r="O24" s="1144"/>
      <c r="P24" s="1144"/>
      <c r="Q24" s="1144"/>
      <c r="R24" s="1144"/>
      <c r="S24" s="1144"/>
      <c r="T24" s="1144"/>
      <c r="U24" s="1144"/>
      <c r="V24" s="1144"/>
      <c r="W24" s="1144"/>
      <c r="X24" s="1144"/>
      <c r="Y24" s="1144"/>
      <c r="Z24" s="1144"/>
      <c r="AA24" s="1144"/>
      <c r="AB24" s="1144"/>
      <c r="AC24" s="1144"/>
      <c r="AD24" s="1144"/>
      <c r="AE24" s="1144"/>
      <c r="AF24" s="1144"/>
      <c r="AG24" s="1144"/>
      <c r="AH24" s="1144"/>
      <c r="AI24" s="1144"/>
      <c r="AJ24" s="1144"/>
      <c r="AK24" s="1144"/>
      <c r="AL24" s="1144"/>
      <c r="AM24" s="1144"/>
      <c r="AN24" s="1144"/>
      <c r="AO24" s="1144"/>
      <c r="AP24" s="1144"/>
      <c r="AQ24" s="1144"/>
      <c r="AR24" s="1144"/>
      <c r="AS24" s="1144"/>
      <c r="AT24" s="1144"/>
      <c r="AU24" s="1144"/>
      <c r="AV24" s="1144"/>
      <c r="AW24" s="1144"/>
      <c r="AX24" s="1144"/>
      <c r="AY24" s="1144"/>
      <c r="AZ24" s="1144"/>
      <c r="BA24" s="1144"/>
      <c r="BB24" s="1144"/>
      <c r="BC24" s="1144"/>
      <c r="BD24" s="1144"/>
      <c r="BE24" s="1144"/>
      <c r="BF24" s="1144"/>
      <c r="BG24" s="1144"/>
      <c r="BH24" s="1144"/>
      <c r="BI24" s="1144"/>
      <c r="BJ24" s="1144"/>
      <c r="BK24" s="1144"/>
      <c r="BL24" s="1144"/>
      <c r="BM24" s="1144"/>
      <c r="BN24" s="1144"/>
      <c r="BO24" s="1144"/>
      <c r="BP24" s="1144"/>
      <c r="BQ24" s="1144"/>
      <c r="BR24" s="1144"/>
      <c r="BS24" s="1144"/>
      <c r="BT24" s="1144"/>
      <c r="BU24" s="1144"/>
      <c r="BV24" s="1144"/>
      <c r="BW24" s="1144"/>
      <c r="BX24" s="1144"/>
      <c r="BY24" s="1144"/>
      <c r="BZ24" s="1144"/>
      <c r="CA24" s="1144"/>
      <c r="CB24" s="1144"/>
      <c r="CC24" s="1144"/>
      <c r="CD24" s="1144"/>
      <c r="CE24" s="1144"/>
      <c r="CF24" s="1144"/>
      <c r="CG24" s="1144"/>
      <c r="CH24" s="1144"/>
      <c r="CI24" s="1144"/>
      <c r="CJ24" s="1144"/>
      <c r="CK24" s="1144"/>
      <c r="CL24" s="1144"/>
      <c r="CM24" s="1144"/>
      <c r="CN24" s="1144"/>
      <c r="CO24" s="1144"/>
      <c r="CP24" s="1144"/>
      <c r="CQ24" s="1144"/>
      <c r="CR24" s="1144"/>
      <c r="CS24" s="1144"/>
      <c r="CT24" s="1144"/>
      <c r="CU24" s="1144"/>
      <c r="CV24" s="1144"/>
      <c r="CW24" s="1144"/>
      <c r="CX24" s="1144"/>
      <c r="CY24" s="1144"/>
      <c r="CZ24" s="1144"/>
      <c r="DA24" s="1144"/>
      <c r="DB24" s="1144"/>
      <c r="DC24" s="1144"/>
      <c r="DD24" s="1144"/>
      <c r="DE24" s="1144"/>
      <c r="DF24" s="1144"/>
      <c r="DG24" s="1144"/>
      <c r="DH24" s="1144"/>
      <c r="DI24" s="1144"/>
      <c r="DJ24" s="1144"/>
      <c r="DK24" s="1144"/>
      <c r="DL24" s="1144"/>
      <c r="DM24" s="1144"/>
      <c r="DN24" s="1144"/>
      <c r="DO24" s="1144"/>
      <c r="DP24" s="1144"/>
      <c r="DQ24" s="1144"/>
      <c r="DR24" s="1144"/>
      <c r="DS24" s="1144"/>
      <c r="DT24" s="1144"/>
      <c r="DU24" s="1144"/>
      <c r="DV24" s="1144"/>
      <c r="DW24" s="1144"/>
      <c r="DX24" s="1144"/>
      <c r="DY24" s="1144"/>
      <c r="DZ24" s="1144"/>
      <c r="EA24" s="1144"/>
      <c r="EB24" s="1144"/>
      <c r="EC24" s="1144"/>
      <c r="ED24" s="1144"/>
      <c r="EE24" s="1144"/>
      <c r="EF24" s="1144"/>
      <c r="EG24" s="1144"/>
      <c r="EH24" s="1144"/>
      <c r="EI24" s="1144"/>
      <c r="EJ24" s="1144"/>
      <c r="EK24" s="1144"/>
      <c r="EL24" s="1144"/>
      <c r="EM24" s="1144"/>
      <c r="EN24" s="1144"/>
      <c r="EO24" s="1144"/>
      <c r="EP24" s="1144"/>
      <c r="EQ24" s="1144"/>
      <c r="ER24" s="1144"/>
      <c r="ES24" s="1144"/>
      <c r="ET24" s="1144"/>
      <c r="EU24" s="1144"/>
      <c r="EV24" s="1144"/>
      <c r="EW24" s="1144"/>
      <c r="EX24" s="1144"/>
      <c r="EY24" s="1144"/>
      <c r="EZ24" s="1144"/>
      <c r="FA24" s="1144"/>
      <c r="FB24" s="1144"/>
      <c r="FC24" s="1144"/>
      <c r="FD24" s="1144"/>
      <c r="FE24" s="1144"/>
      <c r="FF24" s="1144"/>
      <c r="FG24" s="1144"/>
      <c r="FH24" s="1144"/>
      <c r="FI24" s="1144"/>
      <c r="FJ24" s="1144"/>
      <c r="FK24" s="1144"/>
      <c r="FL24" s="1144"/>
      <c r="FM24" s="1144"/>
      <c r="FN24" s="1144"/>
      <c r="FO24" s="1144"/>
      <c r="FP24" s="1144"/>
      <c r="FQ24" s="1144"/>
      <c r="FR24" s="1144"/>
      <c r="FS24" s="1144"/>
      <c r="FT24" s="1144"/>
      <c r="FU24" s="1144"/>
      <c r="FV24" s="1144"/>
      <c r="FW24" s="1144"/>
      <c r="FX24" s="1144"/>
      <c r="FY24" s="1144"/>
      <c r="FZ24" s="1144"/>
      <c r="GA24" s="1144"/>
      <c r="GB24" s="1144"/>
      <c r="GC24" s="1144"/>
      <c r="GD24" s="1144"/>
      <c r="GE24" s="274"/>
      <c r="GF24" s="274"/>
      <c r="GG24" s="274"/>
      <c r="GH24" s="274"/>
      <c r="GI24" s="274"/>
      <c r="GJ24" s="274"/>
      <c r="GK24" s="274"/>
      <c r="GL24" s="274"/>
      <c r="GM24" s="274"/>
      <c r="GN24" s="274"/>
      <c r="GO24" s="274"/>
      <c r="GP24" s="274"/>
      <c r="GQ24" s="274"/>
      <c r="GR24" s="274"/>
      <c r="GS24" s="274"/>
      <c r="GT24" s="274"/>
      <c r="GU24" s="274"/>
      <c r="GV24" s="274"/>
      <c r="GW24" s="274"/>
      <c r="GX24" s="274"/>
      <c r="GY24" s="274"/>
      <c r="GZ24" s="274"/>
      <c r="HA24" s="274"/>
      <c r="HB24" s="274"/>
      <c r="HC24" s="274"/>
      <c r="HD24" s="274"/>
      <c r="HE24" s="274"/>
      <c r="HF24" s="274"/>
      <c r="HG24" s="274"/>
      <c r="HH24" s="274"/>
      <c r="HI24" s="274"/>
      <c r="HJ24" s="274"/>
      <c r="HK24" s="274"/>
      <c r="HL24" s="274"/>
      <c r="HM24" s="274"/>
      <c r="HN24" s="274"/>
      <c r="HO24" s="274"/>
      <c r="HP24" s="274"/>
      <c r="HQ24" s="274"/>
      <c r="HR24" s="274"/>
      <c r="HS24" s="274"/>
      <c r="HT24" s="274"/>
      <c r="HU24" s="274"/>
      <c r="HV24" s="274"/>
      <c r="HW24" s="274"/>
      <c r="HX24" s="274"/>
      <c r="HY24" s="274"/>
      <c r="HZ24" s="274"/>
      <c r="IA24" s="274"/>
      <c r="IB24" s="274"/>
      <c r="IC24" s="274"/>
      <c r="ID24" s="274"/>
      <c r="IE24" s="274"/>
      <c r="IF24" s="274"/>
      <c r="IG24" s="274"/>
      <c r="IH24" s="274"/>
      <c r="II24" s="274"/>
      <c r="IJ24" s="274"/>
      <c r="IK24" s="274"/>
      <c r="IL24" s="274"/>
      <c r="IM24" s="274"/>
      <c r="IN24" s="274"/>
      <c r="IO24" s="274"/>
      <c r="IP24" s="274"/>
      <c r="IQ24" s="274"/>
      <c r="IR24" s="274"/>
      <c r="IS24" s="274"/>
      <c r="IT24" s="274"/>
      <c r="IU24" s="274"/>
    </row>
    <row r="25" spans="1:255" ht="365.25" customHeight="1" thickBot="1">
      <c r="A25" s="908" t="s">
        <v>1303</v>
      </c>
      <c r="B25" s="962" t="s">
        <v>1387</v>
      </c>
      <c r="C25" s="962" t="s">
        <v>1454</v>
      </c>
      <c r="D25" s="1141" t="s">
        <v>2038</v>
      </c>
      <c r="E25" s="2003">
        <f>IF(F25="na",0,2)</f>
        <v>2</v>
      </c>
      <c r="F25" s="2094"/>
      <c r="G25" s="2094"/>
      <c r="H25" s="2008"/>
      <c r="I25" s="1151" t="str">
        <f>IF(OR(ISTEXT(F25)=TRUE,ISTEXT(G25)=TRUE),Calculation1!$B$87,IF(F25+G25&gt;E25,Calculation1!$B$84,""))</f>
        <v/>
      </c>
      <c r="J25" s="905"/>
      <c r="K25" s="906"/>
      <c r="L25" s="899"/>
    </row>
    <row r="26" spans="1:255" ht="18.75" thickBot="1">
      <c r="A26" s="1197"/>
      <c r="B26" s="1198"/>
      <c r="C26" s="1198"/>
      <c r="D26" s="1199"/>
      <c r="E26" s="1200">
        <f>SUM(E5:E25)</f>
        <v>24</v>
      </c>
      <c r="F26" s="1200">
        <f>SUM(F5:F25)</f>
        <v>0</v>
      </c>
      <c r="G26" s="1200">
        <f>SUM(G5:G25)</f>
        <v>0</v>
      </c>
      <c r="H26" s="1233"/>
      <c r="I26" s="1144"/>
    </row>
    <row r="27" spans="1:255" ht="12.75" customHeight="1"/>
    <row r="28" spans="1:255" ht="12.75" customHeight="1"/>
    <row r="29" spans="1:255" ht="12.75" customHeight="1"/>
    <row r="30" spans="1:255" ht="12.75" customHeight="1">
      <c r="A30" s="595" t="str">
        <f>Calculation1!$B$93</f>
        <v>Project Teams are to refer to the Green Star SA Public Building PILOT Technical Manual for explicit credit criteria and documentation requirements.</v>
      </c>
    </row>
    <row r="31" spans="1:255">
      <c r="A31" s="595" t="str">
        <f>Calculation1!$B$94</f>
        <v>The Green Star Technical Clarifications (TC) and Credit Interpretation Request (CIR) rulings provide an essential source of information to all</v>
      </c>
    </row>
    <row r="32" spans="1:255">
      <c r="A32" s="595" t="str">
        <f>Calculation1!$B$95</f>
        <v>projects undertaking Green Star assessment. They are available on the GBCSA website http://www.gbcsa.org.za . Technical Clarifications</v>
      </c>
    </row>
    <row r="33" spans="1:1">
      <c r="A33" s="595" t="str">
        <f>Calculation1!$B$96</f>
        <v xml:space="preserve">often represent the GBCSA answers to technical queries and complement Green Star SA Technical Manuals. They do not amend but clarify </v>
      </c>
    </row>
    <row r="34" spans="1:1">
      <c r="A34" s="595" t="str">
        <f>Calculation1!$B$97</f>
        <v xml:space="preserve">Credit Criteria or Compliance Requirements. They are an extension of the Technical Manual; it is the responsibility of the project teams to stay </v>
      </c>
    </row>
    <row r="35" spans="1:1">
      <c r="A35" s="595" t="str">
        <f>Calculation1!$B$98</f>
        <v xml:space="preserve">up-to-date with this section of the GBCSA website. The CIR rulings offer alternative compliance options whenever those have been deemed </v>
      </c>
    </row>
    <row r="36" spans="1:1">
      <c r="A36" s="595" t="str">
        <f>Calculation1!$B$99</f>
        <v>equivalent in meeting the Aim of Credit.</v>
      </c>
    </row>
    <row r="37" spans="1:1">
      <c r="A37" s="595"/>
    </row>
  </sheetData>
  <sheetProtection password="AD9B" sheet="1" objects="1" scenarios="1"/>
  <mergeCells count="13">
    <mergeCell ref="A17:A22"/>
    <mergeCell ref="A10:A11"/>
    <mergeCell ref="G17:G22"/>
    <mergeCell ref="C17:C22"/>
    <mergeCell ref="C10:C11"/>
    <mergeCell ref="I17:I22"/>
    <mergeCell ref="H10:H11"/>
    <mergeCell ref="E17:E22"/>
    <mergeCell ref="B10:B11"/>
    <mergeCell ref="H12:H13"/>
    <mergeCell ref="F17:F22"/>
    <mergeCell ref="B17:B22"/>
    <mergeCell ref="H17:H22"/>
  </mergeCells>
  <phoneticPr fontId="0"/>
  <printOptions horizontalCentered="1"/>
  <pageMargins left="0.59055118110236227" right="0.59055118110236227" top="0.47244094488188981" bottom="0.47244094488188981" header="0.23622047244094491" footer="0.35433070866141736"/>
  <pageSetup paperSize="9" scale="55" fitToHeight="4" orientation="landscape" blackAndWhite="1" r:id="rId1"/>
  <headerFooter alignWithMargins="0">
    <oddHeader>&amp;LGreen Building Council of South Africa&amp;R&amp;T   &amp;D</oddHeader>
    <oddFooter>&amp;L&amp;F&amp;CPage &amp;P of &amp;N&amp;RCategory: &amp;A</oddFooter>
  </headerFooter>
  <ignoredErrors>
    <ignoredError sqref="I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32803" r:id="rId4" name="Button 3">
              <controlPr defaultSize="0" print="0" autoFill="0" autoPict="0" macro="[0]!GoToCreditSummary">
                <anchor moveWithCells="1" sizeWithCells="1">
                  <from>
                    <xdr:col>4</xdr:col>
                    <xdr:colOff>581025</xdr:colOff>
                    <xdr:row>27</xdr:row>
                    <xdr:rowOff>0</xdr:rowOff>
                  </from>
                  <to>
                    <xdr:col>7</xdr:col>
                    <xdr:colOff>0</xdr:colOff>
                    <xdr:row>29</xdr:row>
                    <xdr:rowOff>152400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G90"/>
  <sheetViews>
    <sheetView topLeftCell="A4" zoomScaleNormal="100" zoomScaleSheetLayoutView="100" workbookViewId="0">
      <selection activeCell="B113" sqref="B113"/>
    </sheetView>
  </sheetViews>
  <sheetFormatPr defaultColWidth="7.875" defaultRowHeight="12.75"/>
  <cols>
    <col min="1" max="1" width="3.375" style="756" customWidth="1"/>
    <col min="2" max="2" width="128.5" style="756" customWidth="1"/>
    <col min="3" max="3" width="1.25" style="756" customWidth="1"/>
    <col min="4" max="4" width="5.875" style="756" hidden="1" customWidth="1"/>
    <col min="5" max="16384" width="7.875" style="756"/>
  </cols>
  <sheetData>
    <row r="1" spans="1:7" ht="44.25" customHeight="1">
      <c r="A1" s="1980"/>
      <c r="B1" s="757"/>
    </row>
    <row r="2" spans="1:7">
      <c r="A2" s="1980"/>
      <c r="B2" s="1980"/>
    </row>
    <row r="3" spans="1:7">
      <c r="A3" s="1980"/>
      <c r="B3" s="922" t="s">
        <v>2105</v>
      </c>
      <c r="C3" s="758"/>
      <c r="E3" s="758"/>
      <c r="G3" s="758"/>
    </row>
    <row r="4" spans="1:7" ht="6.75" customHeight="1">
      <c r="A4" s="1980"/>
      <c r="B4" s="1980"/>
    </row>
    <row r="5" spans="1:7" ht="8.25" customHeight="1">
      <c r="A5" s="1351"/>
      <c r="B5" s="1351"/>
    </row>
    <row r="6" spans="1:7" ht="6.75" customHeight="1">
      <c r="A6" s="1980"/>
      <c r="B6" s="1980"/>
    </row>
    <row r="7" spans="1:7" ht="54.75" customHeight="1">
      <c r="A7" s="759"/>
      <c r="B7" s="760" t="s">
        <v>2114</v>
      </c>
    </row>
    <row r="8" spans="1:7">
      <c r="A8" s="1980"/>
      <c r="B8" s="1980"/>
    </row>
    <row r="9" spans="1:7">
      <c r="A9" s="1980"/>
      <c r="B9" s="1980"/>
    </row>
    <row r="10" spans="1:7" ht="5.25" customHeight="1">
      <c r="A10" s="1980"/>
      <c r="B10" s="1980"/>
    </row>
    <row r="11" spans="1:7" ht="15">
      <c r="A11" s="758"/>
      <c r="B11" s="956" t="s">
        <v>385</v>
      </c>
      <c r="C11" s="758"/>
      <c r="E11" s="758"/>
      <c r="G11" s="758"/>
    </row>
    <row r="12" spans="1:7" ht="11.1" customHeight="1">
      <c r="A12" s="1980"/>
      <c r="B12" s="957"/>
    </row>
    <row r="13" spans="1:7" ht="15">
      <c r="A13" s="1980"/>
      <c r="B13" s="956" t="s">
        <v>2115</v>
      </c>
    </row>
    <row r="14" spans="1:7" ht="11.1" customHeight="1">
      <c r="A14" s="1980"/>
      <c r="B14" s="957"/>
    </row>
    <row r="15" spans="1:7" ht="15">
      <c r="A15" s="1980"/>
      <c r="B15" s="956" t="s">
        <v>2116</v>
      </c>
    </row>
    <row r="16" spans="1:7" ht="11.1" customHeight="1">
      <c r="A16" s="1980"/>
      <c r="B16" s="957"/>
    </row>
    <row r="17" spans="1:7" ht="15">
      <c r="A17" s="1980"/>
      <c r="B17" s="956" t="s">
        <v>386</v>
      </c>
    </row>
    <row r="18" spans="1:7" ht="11.1" customHeight="1">
      <c r="A18" s="1980"/>
      <c r="B18" s="957"/>
    </row>
    <row r="19" spans="1:7" ht="15">
      <c r="A19" s="1980"/>
      <c r="B19" s="956" t="s">
        <v>387</v>
      </c>
    </row>
    <row r="20" spans="1:7" ht="11.1" customHeight="1">
      <c r="A20" s="1980"/>
      <c r="B20" s="1980"/>
    </row>
    <row r="21" spans="1:7" ht="15.75">
      <c r="A21" s="1980"/>
      <c r="B21" s="784"/>
    </row>
    <row r="22" spans="1:7" ht="15.75">
      <c r="A22" s="1980"/>
      <c r="B22" s="784"/>
    </row>
    <row r="23" spans="1:7" ht="12.75" customHeight="1">
      <c r="A23" s="1980"/>
      <c r="B23" s="1980"/>
    </row>
    <row r="24" spans="1:7" ht="12.75" customHeight="1">
      <c r="A24" s="1980"/>
      <c r="B24" s="784"/>
    </row>
    <row r="25" spans="1:7" ht="8.25" customHeight="1">
      <c r="A25" s="1351"/>
      <c r="B25" s="1355"/>
    </row>
    <row r="26" spans="1:7" ht="8.25" customHeight="1">
      <c r="A26" s="1980"/>
      <c r="B26" s="1980"/>
    </row>
    <row r="27" spans="1:7" ht="24" customHeight="1">
      <c r="A27" s="775"/>
      <c r="B27" s="785" t="str">
        <f>$B$11</f>
        <v>What is Green Star SA?</v>
      </c>
      <c r="C27" s="775"/>
      <c r="D27" s="775"/>
      <c r="E27" s="775"/>
      <c r="F27" s="775"/>
      <c r="G27" s="775"/>
    </row>
    <row r="28" spans="1:7" ht="38.25">
      <c r="A28" s="775"/>
      <c r="B28" s="775" t="s">
        <v>626</v>
      </c>
      <c r="C28" s="775"/>
      <c r="D28" s="775"/>
      <c r="E28" s="775"/>
      <c r="F28" s="775"/>
      <c r="G28" s="775"/>
    </row>
    <row r="29" spans="1:7">
      <c r="A29" s="775"/>
      <c r="B29" s="775"/>
      <c r="C29" s="775"/>
      <c r="D29" s="775"/>
      <c r="E29" s="775"/>
      <c r="F29" s="775"/>
      <c r="G29" s="775"/>
    </row>
    <row r="30" spans="1:7" ht="27" customHeight="1">
      <c r="A30" s="775"/>
      <c r="B30" s="775" t="s">
        <v>993</v>
      </c>
      <c r="C30" s="775"/>
      <c r="D30" s="775"/>
      <c r="E30" s="775"/>
      <c r="F30" s="775"/>
      <c r="G30" s="775"/>
    </row>
    <row r="31" spans="1:7" ht="38.25">
      <c r="A31" s="775"/>
      <c r="B31" s="786" t="s">
        <v>997</v>
      </c>
      <c r="C31" s="775"/>
      <c r="D31" s="775"/>
      <c r="E31" s="775"/>
      <c r="F31" s="775"/>
      <c r="G31" s="775"/>
    </row>
    <row r="32" spans="1:7">
      <c r="A32" s="775"/>
      <c r="B32" s="775"/>
      <c r="C32" s="775"/>
      <c r="D32" s="775"/>
      <c r="E32" s="775"/>
      <c r="F32" s="775"/>
      <c r="G32" s="775"/>
    </row>
    <row r="33" spans="1:7">
      <c r="A33" s="775"/>
      <c r="B33" s="775" t="s">
        <v>998</v>
      </c>
      <c r="C33" s="775"/>
      <c r="D33" s="775"/>
      <c r="E33" s="775"/>
      <c r="F33" s="775"/>
      <c r="G33" s="775"/>
    </row>
    <row r="34" spans="1:7">
      <c r="A34" s="775"/>
      <c r="B34" s="775"/>
      <c r="C34" s="775"/>
      <c r="D34" s="775"/>
      <c r="E34" s="775"/>
      <c r="F34" s="775"/>
      <c r="G34" s="775"/>
    </row>
    <row r="35" spans="1:7">
      <c r="A35" s="775"/>
      <c r="B35" s="775" t="s">
        <v>999</v>
      </c>
      <c r="C35" s="775"/>
      <c r="D35" s="775"/>
      <c r="E35" s="775"/>
      <c r="F35" s="775"/>
      <c r="G35" s="775"/>
    </row>
    <row r="36" spans="1:7">
      <c r="A36" s="775"/>
      <c r="B36" s="775" t="s">
        <v>1000</v>
      </c>
      <c r="C36" s="775"/>
      <c r="D36" s="775"/>
      <c r="E36" s="775"/>
      <c r="F36" s="775"/>
      <c r="G36" s="775"/>
    </row>
    <row r="37" spans="1:7">
      <c r="A37" s="775"/>
      <c r="B37" s="775" t="s">
        <v>1001</v>
      </c>
      <c r="C37" s="775"/>
      <c r="D37" s="775"/>
      <c r="E37" s="775"/>
      <c r="F37" s="775"/>
      <c r="G37" s="775"/>
    </row>
    <row r="38" spans="1:7">
      <c r="A38" s="775"/>
      <c r="B38" s="775" t="s">
        <v>771</v>
      </c>
      <c r="C38" s="775"/>
      <c r="D38" s="775"/>
      <c r="E38" s="775"/>
      <c r="F38" s="775"/>
      <c r="G38" s="775"/>
    </row>
    <row r="39" spans="1:7">
      <c r="A39" s="775"/>
      <c r="B39" s="775" t="s">
        <v>772</v>
      </c>
      <c r="C39" s="775"/>
      <c r="D39" s="775"/>
      <c r="E39" s="775"/>
      <c r="F39" s="775"/>
      <c r="G39" s="775"/>
    </row>
    <row r="40" spans="1:7">
      <c r="A40" s="775"/>
      <c r="B40" s="775"/>
      <c r="C40" s="775"/>
      <c r="D40" s="775"/>
      <c r="E40" s="775"/>
      <c r="F40" s="775"/>
      <c r="G40" s="775"/>
    </row>
    <row r="41" spans="1:7">
      <c r="A41" s="775"/>
      <c r="B41" s="775"/>
      <c r="C41" s="775"/>
      <c r="D41" s="775"/>
      <c r="E41" s="775"/>
      <c r="F41" s="775"/>
      <c r="G41" s="775"/>
    </row>
    <row r="42" spans="1:7" ht="8.25" customHeight="1">
      <c r="A42" s="1356"/>
      <c r="B42" s="1356"/>
      <c r="C42" s="775"/>
      <c r="D42" s="775"/>
      <c r="E42" s="775"/>
      <c r="F42" s="775"/>
      <c r="G42" s="775"/>
    </row>
    <row r="43" spans="1:7" ht="8.25" customHeight="1">
      <c r="A43" s="775"/>
      <c r="B43" s="775"/>
      <c r="C43" s="775"/>
      <c r="D43" s="775"/>
      <c r="E43" s="775"/>
      <c r="F43" s="775"/>
      <c r="G43" s="775"/>
    </row>
    <row r="44" spans="1:7" ht="15.75">
      <c r="A44" s="775"/>
      <c r="B44" s="785" t="str">
        <f>$B$13</f>
        <v>What does Green Star SA - Public &amp; Education Building v1 do?</v>
      </c>
      <c r="C44" s="775"/>
      <c r="D44" s="775"/>
      <c r="E44" s="775"/>
      <c r="F44" s="775"/>
      <c r="G44" s="775"/>
    </row>
    <row r="45" spans="1:7">
      <c r="A45" s="775"/>
      <c r="B45" s="775"/>
      <c r="C45" s="775"/>
      <c r="D45" s="775"/>
      <c r="E45" s="775"/>
      <c r="F45" s="775"/>
      <c r="G45" s="775"/>
    </row>
    <row r="46" spans="1:7">
      <c r="A46" s="775"/>
      <c r="B46" s="786" t="s">
        <v>2112</v>
      </c>
      <c r="C46" s="775"/>
      <c r="D46" s="775"/>
      <c r="E46" s="775"/>
      <c r="F46" s="775"/>
      <c r="G46" s="775"/>
    </row>
    <row r="47" spans="1:7">
      <c r="A47" s="775"/>
      <c r="B47" s="786"/>
      <c r="C47" s="775"/>
      <c r="D47" s="775"/>
      <c r="E47" s="775"/>
      <c r="F47" s="775"/>
      <c r="G47" s="775"/>
    </row>
    <row r="48" spans="1:7">
      <c r="A48" s="775"/>
      <c r="B48" s="786"/>
      <c r="C48" s="775"/>
      <c r="D48" s="775"/>
      <c r="E48" s="775"/>
      <c r="F48" s="775"/>
      <c r="G48" s="775"/>
    </row>
    <row r="49" spans="1:7" ht="8.25" customHeight="1">
      <c r="A49" s="1356"/>
      <c r="B49" s="1357"/>
      <c r="C49" s="775"/>
      <c r="D49" s="775"/>
      <c r="E49" s="775"/>
      <c r="F49" s="775"/>
      <c r="G49" s="775"/>
    </row>
    <row r="50" spans="1:7" ht="8.25" customHeight="1">
      <c r="A50" s="775"/>
      <c r="B50" s="787"/>
      <c r="C50" s="775"/>
      <c r="D50" s="775"/>
      <c r="E50" s="775"/>
      <c r="F50" s="775"/>
      <c r="G50" s="775"/>
    </row>
    <row r="51" spans="1:7" ht="24" customHeight="1">
      <c r="A51" s="775"/>
      <c r="B51" s="785" t="str">
        <f>$B$15</f>
        <v>Who can use Green Star SA - Public &amp; Education Building v1?</v>
      </c>
      <c r="C51" s="775"/>
      <c r="D51" s="775"/>
      <c r="E51" s="775"/>
      <c r="F51" s="775"/>
      <c r="G51" s="775"/>
    </row>
    <row r="52" spans="1:7" ht="38.25">
      <c r="A52" s="775"/>
      <c r="B52" s="775" t="s">
        <v>2117</v>
      </c>
      <c r="C52" s="775"/>
      <c r="D52" s="775"/>
      <c r="E52" s="775"/>
      <c r="F52" s="775"/>
      <c r="G52" s="775"/>
    </row>
    <row r="53" spans="1:7">
      <c r="A53" s="775"/>
      <c r="B53" s="775"/>
      <c r="C53" s="775"/>
      <c r="D53" s="775"/>
      <c r="E53" s="775"/>
      <c r="F53" s="775"/>
      <c r="G53" s="775"/>
    </row>
    <row r="54" spans="1:7" ht="38.25">
      <c r="A54" s="775"/>
      <c r="B54" s="788" t="s">
        <v>2118</v>
      </c>
      <c r="C54" s="775"/>
      <c r="D54" s="775"/>
      <c r="E54" s="775"/>
      <c r="F54" s="775"/>
      <c r="G54" s="775"/>
    </row>
    <row r="55" spans="1:7">
      <c r="A55" s="775"/>
      <c r="B55" s="789"/>
      <c r="C55" s="775"/>
      <c r="D55" s="775"/>
      <c r="E55" s="775"/>
      <c r="F55" s="775"/>
      <c r="G55" s="775"/>
    </row>
    <row r="56" spans="1:7">
      <c r="A56" s="775"/>
      <c r="B56" s="789"/>
      <c r="C56" s="775"/>
      <c r="D56" s="775"/>
      <c r="E56" s="775"/>
      <c r="F56" s="775"/>
      <c r="G56" s="775"/>
    </row>
    <row r="57" spans="1:7" ht="8.25" customHeight="1">
      <c r="A57" s="1356"/>
      <c r="B57" s="1358"/>
      <c r="C57" s="775"/>
      <c r="D57" s="775"/>
      <c r="E57" s="775"/>
      <c r="F57" s="775"/>
      <c r="G57" s="775"/>
    </row>
    <row r="58" spans="1:7" ht="8.25" customHeight="1">
      <c r="A58" s="775"/>
      <c r="B58" s="790"/>
      <c r="C58" s="790"/>
      <c r="D58" s="790"/>
      <c r="E58" s="790"/>
      <c r="F58" s="790"/>
      <c r="G58" s="790"/>
    </row>
    <row r="59" spans="1:7" s="793" customFormat="1" ht="24" customHeight="1">
      <c r="A59" s="783"/>
      <c r="B59" s="791" t="str">
        <f>$B$17</f>
        <v>What do Green Star SA ratings mean?</v>
      </c>
      <c r="C59" s="792"/>
      <c r="D59" s="792"/>
      <c r="E59" s="792"/>
      <c r="F59" s="792"/>
      <c r="G59" s="792"/>
    </row>
    <row r="60" spans="1:7" ht="25.5">
      <c r="A60" s="775"/>
      <c r="B60" s="1981" t="s">
        <v>773</v>
      </c>
      <c r="C60" s="794"/>
      <c r="D60" s="794"/>
      <c r="E60" s="794"/>
      <c r="F60" s="794"/>
      <c r="G60" s="794"/>
    </row>
    <row r="61" spans="1:7">
      <c r="A61" s="775"/>
      <c r="B61" s="1981" t="s">
        <v>446</v>
      </c>
      <c r="C61" s="775"/>
      <c r="D61" s="775"/>
      <c r="E61" s="775"/>
      <c r="F61" s="775"/>
      <c r="G61" s="775"/>
    </row>
    <row r="62" spans="1:7">
      <c r="A62" s="775"/>
      <c r="B62" s="1981" t="s">
        <v>251</v>
      </c>
      <c r="C62" s="775"/>
      <c r="D62" s="775"/>
      <c r="E62" s="775"/>
      <c r="F62" s="775"/>
      <c r="G62" s="775"/>
    </row>
    <row r="63" spans="1:7">
      <c r="A63" s="775"/>
      <c r="B63" s="1981" t="s">
        <v>566</v>
      </c>
      <c r="C63" s="775"/>
      <c r="D63" s="775"/>
      <c r="E63" s="775"/>
      <c r="F63" s="775"/>
      <c r="G63" s="775"/>
    </row>
    <row r="64" spans="1:7" ht="14.25">
      <c r="A64" s="1981"/>
      <c r="B64" s="795"/>
      <c r="C64" s="775"/>
      <c r="D64" s="775"/>
      <c r="E64" s="775"/>
      <c r="F64" s="775"/>
      <c r="G64" s="775"/>
    </row>
    <row r="65" spans="1:7" ht="25.5">
      <c r="A65" s="1981"/>
      <c r="B65" s="1981" t="s">
        <v>2119</v>
      </c>
      <c r="C65" s="775"/>
      <c r="D65" s="775"/>
      <c r="E65" s="775"/>
      <c r="F65" s="775"/>
      <c r="G65" s="775"/>
    </row>
    <row r="66" spans="1:7" ht="14.25">
      <c r="A66" s="1981"/>
      <c r="B66" s="795"/>
      <c r="C66" s="775"/>
      <c r="D66" s="775"/>
      <c r="E66" s="775"/>
      <c r="F66" s="775"/>
      <c r="G66" s="775"/>
    </row>
    <row r="67" spans="1:7" ht="25.5">
      <c r="A67" s="1981"/>
      <c r="B67" s="796" t="s">
        <v>2120</v>
      </c>
      <c r="C67" s="775"/>
      <c r="D67" s="775"/>
      <c r="E67" s="775"/>
      <c r="F67" s="775"/>
      <c r="G67" s="775"/>
    </row>
    <row r="68" spans="1:7">
      <c r="A68" s="1981"/>
      <c r="B68" s="797"/>
      <c r="C68" s="775"/>
      <c r="D68" s="775"/>
      <c r="E68" s="775"/>
      <c r="F68" s="775"/>
      <c r="G68" s="775"/>
    </row>
    <row r="69" spans="1:7">
      <c r="A69" s="1981"/>
      <c r="B69" s="797"/>
      <c r="C69" s="775"/>
      <c r="D69" s="775"/>
      <c r="E69" s="775"/>
      <c r="F69" s="775"/>
      <c r="G69" s="775"/>
    </row>
    <row r="70" spans="1:7" ht="8.25" customHeight="1">
      <c r="A70" s="1359"/>
      <c r="B70" s="1360"/>
      <c r="C70" s="775"/>
      <c r="D70" s="775"/>
      <c r="E70" s="775"/>
      <c r="F70" s="775"/>
      <c r="G70" s="775"/>
    </row>
    <row r="71" spans="1:7" ht="8.25" customHeight="1">
      <c r="A71" s="1981"/>
      <c r="B71" s="795"/>
      <c r="C71" s="775"/>
      <c r="D71" s="775"/>
      <c r="E71" s="775"/>
      <c r="F71" s="775"/>
      <c r="G71" s="775"/>
    </row>
    <row r="72" spans="1:7" s="793" customFormat="1" ht="24" customHeight="1">
      <c r="A72" s="783"/>
      <c r="B72" s="785" t="str">
        <f>$B$19</f>
        <v>Acknowledgements</v>
      </c>
      <c r="C72" s="783"/>
      <c r="D72" s="783"/>
      <c r="E72" s="783"/>
      <c r="F72" s="783"/>
      <c r="G72" s="783"/>
    </row>
    <row r="73" spans="1:7" ht="25.5">
      <c r="A73" s="775"/>
      <c r="B73" s="775" t="s">
        <v>2121</v>
      </c>
      <c r="C73" s="775"/>
      <c r="D73" s="775"/>
      <c r="E73" s="775"/>
      <c r="F73" s="775"/>
      <c r="G73" s="775"/>
    </row>
    <row r="74" spans="1:7">
      <c r="A74" s="775"/>
      <c r="B74" s="798"/>
      <c r="C74" s="775"/>
      <c r="D74" s="775"/>
      <c r="E74" s="775"/>
      <c r="F74" s="775"/>
      <c r="G74" s="775"/>
    </row>
    <row r="75" spans="1:7" ht="51">
      <c r="A75" s="775"/>
      <c r="B75" s="775" t="s">
        <v>2122</v>
      </c>
      <c r="C75" s="775"/>
      <c r="D75" s="775"/>
      <c r="E75" s="775"/>
      <c r="F75" s="775"/>
      <c r="G75" s="775"/>
    </row>
    <row r="76" spans="1:7">
      <c r="A76" s="775"/>
      <c r="B76" s="798"/>
      <c r="C76" s="775"/>
      <c r="D76" s="775"/>
      <c r="E76" s="775"/>
      <c r="F76" s="775"/>
      <c r="G76" s="775"/>
    </row>
    <row r="77" spans="1:7" ht="25.5">
      <c r="A77" s="775"/>
      <c r="B77" s="1087" t="s">
        <v>2123</v>
      </c>
      <c r="C77" s="775"/>
      <c r="D77" s="775"/>
      <c r="E77" s="775"/>
      <c r="F77" s="775"/>
      <c r="G77" s="775"/>
    </row>
    <row r="78" spans="1:7">
      <c r="A78" s="775"/>
      <c r="B78" s="799"/>
      <c r="C78" s="775"/>
      <c r="D78" s="775"/>
      <c r="E78" s="775"/>
      <c r="F78" s="775"/>
      <c r="G78" s="775"/>
    </row>
    <row r="79" spans="1:7" ht="25.5">
      <c r="A79" s="775"/>
      <c r="B79" s="800" t="s">
        <v>2124</v>
      </c>
      <c r="C79" s="775"/>
      <c r="D79" s="775"/>
      <c r="E79" s="775"/>
      <c r="F79" s="775"/>
      <c r="G79" s="775"/>
    </row>
    <row r="80" spans="1:7" ht="14.25">
      <c r="A80" s="1980"/>
      <c r="B80" s="801"/>
    </row>
    <row r="81" spans="1:2">
      <c r="A81" s="1980"/>
      <c r="B81" s="1980" t="s">
        <v>2125</v>
      </c>
    </row>
    <row r="82" spans="1:2">
      <c r="A82" s="1980"/>
      <c r="B82" s="1980"/>
    </row>
    <row r="83" spans="1:2">
      <c r="A83" s="1980"/>
      <c r="B83" s="1086"/>
    </row>
    <row r="84" spans="1:2">
      <c r="A84" s="1980"/>
      <c r="B84" s="1086"/>
    </row>
    <row r="85" spans="1:2">
      <c r="A85" s="1980"/>
      <c r="B85" s="1086"/>
    </row>
    <row r="86" spans="1:2">
      <c r="A86" s="1980"/>
      <c r="B86" s="1086"/>
    </row>
    <row r="87" spans="1:2">
      <c r="A87" s="1980"/>
      <c r="B87" s="1086"/>
    </row>
    <row r="88" spans="1:2">
      <c r="A88" s="1980"/>
      <c r="B88" s="1980"/>
    </row>
    <row r="89" spans="1:2" ht="8.25" customHeight="1">
      <c r="A89" s="1351"/>
      <c r="B89" s="1351"/>
    </row>
    <row r="90" spans="1:2" ht="8.25" customHeight="1">
      <c r="A90" s="1980"/>
      <c r="B90" s="1980"/>
    </row>
  </sheetData>
  <sheetProtection password="AD9B" sheet="1" objects="1" scenarios="1"/>
  <phoneticPr fontId="103" type="noConversion"/>
  <printOptions horizontalCentered="1"/>
  <pageMargins left="0.59055118110236227" right="0.70866141732283472" top="0.47244094488188981" bottom="0.47244094488188981" header="0.23622047244094491" footer="0.35433070866141736"/>
  <pageSetup paperSize="9" scale="72" fitToHeight="7" orientation="portrait" r:id="rId1"/>
  <headerFooter alignWithMargins="0">
    <oddHeader>&amp;LGreen Building Council of South Africa&amp;R&amp;T   &amp;D</oddHeader>
    <oddFooter>&amp;L&amp;F&amp;CPage &amp;P of &amp;N&amp;R&amp;A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3151" r:id="rId4" name="Button 175">
              <controlPr defaultSize="0" print="0" autoFill="0" autoPict="0" macro="[0]!BackToTop">
                <anchor moveWithCells="1" sizeWithCells="1">
                  <from>
                    <xdr:col>1</xdr:col>
                    <xdr:colOff>6715125</xdr:colOff>
                    <xdr:row>71</xdr:row>
                    <xdr:rowOff>57150</xdr:rowOff>
                  </from>
                  <to>
                    <xdr:col>2</xdr:col>
                    <xdr:colOff>0</xdr:colOff>
                    <xdr:row>71</xdr:row>
                    <xdr:rowOff>228600</xdr:rowOff>
                  </to>
                </anchor>
              </controlPr>
            </control>
          </mc:Choice>
        </mc:AlternateContent>
        <mc:AlternateContent xmlns:mc="http://schemas.openxmlformats.org/markup-compatibility/2006">
          <mc:Choice Requires="x14">
            <control shapeId="383152" r:id="rId5" name="Button 176">
              <controlPr defaultSize="0" print="0" autoFill="0" autoPict="0" macro="[0]!BackToTop">
                <anchor moveWithCells="1" sizeWithCells="1">
                  <from>
                    <xdr:col>1</xdr:col>
                    <xdr:colOff>6715125</xdr:colOff>
                    <xdr:row>58</xdr:row>
                    <xdr:rowOff>47625</xdr:rowOff>
                  </from>
                  <to>
                    <xdr:col>2</xdr:col>
                    <xdr:colOff>0</xdr:colOff>
                    <xdr:row>58</xdr:row>
                    <xdr:rowOff>219075</xdr:rowOff>
                  </to>
                </anchor>
              </controlPr>
            </control>
          </mc:Choice>
        </mc:AlternateContent>
        <mc:AlternateContent xmlns:mc="http://schemas.openxmlformats.org/markup-compatibility/2006">
          <mc:Choice Requires="x14">
            <control shapeId="383153" r:id="rId6" name="Button 177">
              <controlPr defaultSize="0" print="0" autoFill="0" autoPict="0" macro="[0]!BackToTop">
                <anchor moveWithCells="1" sizeWithCells="1">
                  <from>
                    <xdr:col>1</xdr:col>
                    <xdr:colOff>6715125</xdr:colOff>
                    <xdr:row>50</xdr:row>
                    <xdr:rowOff>19050</xdr:rowOff>
                  </from>
                  <to>
                    <xdr:col>2</xdr:col>
                    <xdr:colOff>0</xdr:colOff>
                    <xdr:row>50</xdr:row>
                    <xdr:rowOff>190500</xdr:rowOff>
                  </to>
                </anchor>
              </controlPr>
            </control>
          </mc:Choice>
        </mc:AlternateContent>
        <mc:AlternateContent xmlns:mc="http://schemas.openxmlformats.org/markup-compatibility/2006">
          <mc:Choice Requires="x14">
            <control shapeId="383154" r:id="rId7" name="Button 178">
              <controlPr defaultSize="0" print="0" autoFill="0" autoPict="0" macro="[0]!BackToTop">
                <anchor moveWithCells="1" sizeWithCells="1">
                  <from>
                    <xdr:col>1</xdr:col>
                    <xdr:colOff>6715125</xdr:colOff>
                    <xdr:row>43</xdr:row>
                    <xdr:rowOff>19050</xdr:rowOff>
                  </from>
                  <to>
                    <xdr:col>2</xdr:col>
                    <xdr:colOff>0</xdr:colOff>
                    <xdr:row>43</xdr:row>
                    <xdr:rowOff>190500</xdr:rowOff>
                  </to>
                </anchor>
              </controlPr>
            </control>
          </mc:Choice>
        </mc:AlternateContent>
        <mc:AlternateContent xmlns:mc="http://schemas.openxmlformats.org/markup-compatibility/2006">
          <mc:Choice Requires="x14">
            <control shapeId="383155" r:id="rId8" name="Button 179">
              <controlPr defaultSize="0" print="0" autoFill="0" autoPict="0" macro="[0]!BackToTop">
                <anchor moveWithCells="1" sizeWithCells="1">
                  <from>
                    <xdr:col>1</xdr:col>
                    <xdr:colOff>6715125</xdr:colOff>
                    <xdr:row>26</xdr:row>
                    <xdr:rowOff>19050</xdr:rowOff>
                  </from>
                  <to>
                    <xdr:col>2</xdr:col>
                    <xdr:colOff>0</xdr:colOff>
                    <xdr:row>26</xdr:row>
                    <xdr:rowOff>190500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IU33"/>
  <sheetViews>
    <sheetView zoomScale="80" zoomScaleNormal="80" zoomScaleSheetLayoutView="85" workbookViewId="0">
      <pane xSplit="2" ySplit="4" topLeftCell="C13" activePane="bottomRight" state="frozen"/>
      <selection pane="topRight"/>
      <selection pane="bottomLeft"/>
      <selection pane="bottomRight"/>
    </sheetView>
  </sheetViews>
  <sheetFormatPr defaultColWidth="7.875" defaultRowHeight="15"/>
  <cols>
    <col min="1" max="1" width="7.25" style="350" customWidth="1"/>
    <col min="2" max="2" width="15.125" style="350" customWidth="1"/>
    <col min="3" max="3" width="25.625" style="350" customWidth="1"/>
    <col min="4" max="4" width="64.875" style="350" customWidth="1"/>
    <col min="5" max="7" width="12.625" style="353" customWidth="1"/>
    <col min="8" max="8" width="31" style="2166" customWidth="1"/>
    <col min="9" max="9" width="10.875" style="2151" hidden="1" customWidth="1"/>
    <col min="10" max="11" width="8.875" style="2151" hidden="1" customWidth="1"/>
    <col min="12" max="47" width="7.875" style="2151" hidden="1" customWidth="1"/>
    <col min="48" max="48" width="7.875" style="2151" customWidth="1"/>
    <col min="49" max="57" width="7.875" style="350" customWidth="1"/>
    <col min="58" max="16384" width="7.875" style="350"/>
  </cols>
  <sheetData>
    <row r="1" spans="1:255" s="474" customFormat="1" ht="24" customHeight="1" thickBot="1">
      <c r="A1" s="600" t="str">
        <f>Management!A1</f>
        <v>Green Star SA - Public &amp; Education Building v1</v>
      </c>
      <c r="D1" s="1150"/>
      <c r="E1" s="275"/>
      <c r="F1" s="444" t="s">
        <v>134</v>
      </c>
      <c r="G1" s="445">
        <f>'Credit Summary'!J82</f>
        <v>7.0000000000000007E-2</v>
      </c>
      <c r="H1" s="2143" t="s">
        <v>136</v>
      </c>
      <c r="I1" s="2144"/>
      <c r="J1" s="817"/>
      <c r="K1" s="817"/>
      <c r="L1" s="817"/>
      <c r="M1" s="817"/>
      <c r="N1" s="817"/>
      <c r="O1" s="817"/>
      <c r="P1" s="817"/>
      <c r="Q1" s="817"/>
      <c r="R1" s="817"/>
      <c r="S1" s="817"/>
      <c r="T1" s="817"/>
      <c r="U1" s="817"/>
      <c r="V1" s="817"/>
      <c r="W1" s="817"/>
      <c r="X1" s="817"/>
      <c r="Y1" s="817"/>
      <c r="Z1" s="817"/>
      <c r="AA1" s="817"/>
      <c r="AB1" s="817"/>
      <c r="AC1" s="817"/>
      <c r="AD1" s="817"/>
      <c r="AE1" s="817"/>
      <c r="AF1" s="817"/>
      <c r="AG1" s="817"/>
      <c r="AH1" s="817"/>
      <c r="AI1" s="817"/>
      <c r="AJ1" s="817"/>
      <c r="AK1" s="817"/>
      <c r="AL1" s="817"/>
      <c r="AM1" s="817"/>
      <c r="AN1" s="817"/>
      <c r="AO1" s="817"/>
      <c r="AP1" s="817"/>
      <c r="AQ1" s="817"/>
      <c r="AR1" s="817"/>
      <c r="AS1" s="817"/>
      <c r="AT1" s="817"/>
      <c r="AU1" s="817"/>
      <c r="AV1" s="817"/>
    </row>
    <row r="2" spans="1:255" s="596" customFormat="1" ht="30" customHeight="1" thickBot="1">
      <c r="A2" s="272" t="s">
        <v>252</v>
      </c>
      <c r="D2" s="442" t="s">
        <v>135</v>
      </c>
      <c r="E2" s="1190">
        <f>E17</f>
        <v>12</v>
      </c>
      <c r="F2" s="1191">
        <f>F17</f>
        <v>0</v>
      </c>
      <c r="G2" s="1190">
        <f>G17</f>
        <v>0</v>
      </c>
      <c r="H2" s="2145">
        <f>'Credit Summary'!K82</f>
        <v>0</v>
      </c>
      <c r="I2" s="2144"/>
      <c r="J2" s="2146"/>
      <c r="K2" s="2146"/>
      <c r="L2" s="2146"/>
      <c r="M2" s="2146"/>
      <c r="N2" s="2146"/>
      <c r="O2" s="2146" t="s">
        <v>368</v>
      </c>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c r="AO2" s="2146"/>
      <c r="AP2" s="2146"/>
      <c r="AQ2" s="2146"/>
      <c r="AR2" s="2146"/>
      <c r="AS2" s="2146"/>
      <c r="AT2" s="2146"/>
      <c r="AU2" s="2146"/>
      <c r="AV2" s="2146"/>
    </row>
    <row r="3" spans="1:255" s="601" customFormat="1" ht="19.5" customHeight="1" thickBot="1">
      <c r="A3" s="458" t="s">
        <v>1037</v>
      </c>
      <c r="B3" s="459"/>
      <c r="C3" s="458" t="str">
        <f>IF('Building Input'!$C$5=0,"",'Building Input'!$C$5)</f>
        <v/>
      </c>
      <c r="D3" s="460"/>
      <c r="E3" s="275"/>
      <c r="F3" s="598" t="str">
        <f>IF(OR((I3=Calculation1!$B$84),(I3=Calculation1!$B$85),((F2+G2)&gt;E2)),Calculation1!$B$86,"")</f>
        <v/>
      </c>
      <c r="G3" s="275"/>
      <c r="H3" s="2147"/>
      <c r="I3" s="2148" t="str">
        <f>T(I8:I12)</f>
        <v/>
      </c>
      <c r="J3" s="2149"/>
      <c r="K3" s="2149"/>
      <c r="L3" s="2149"/>
      <c r="M3" s="2149"/>
      <c r="N3" s="2149"/>
      <c r="O3" s="2149"/>
      <c r="P3" s="2149"/>
      <c r="Q3" s="2149"/>
      <c r="R3" s="2149"/>
      <c r="S3" s="2149"/>
      <c r="T3" s="2149"/>
      <c r="U3" s="2149"/>
      <c r="V3" s="2149"/>
      <c r="W3" s="2149"/>
      <c r="X3" s="2149"/>
      <c r="Y3" s="2149"/>
      <c r="Z3" s="2149"/>
      <c r="AA3" s="2149"/>
      <c r="AB3" s="2149"/>
      <c r="AC3" s="2149"/>
      <c r="AD3" s="2149"/>
      <c r="AE3" s="2149"/>
      <c r="AF3" s="2149"/>
      <c r="AG3" s="2149"/>
      <c r="AH3" s="2149"/>
      <c r="AI3" s="2149"/>
      <c r="AJ3" s="2149"/>
      <c r="AK3" s="2149"/>
      <c r="AL3" s="2149"/>
      <c r="AM3" s="2149"/>
      <c r="AN3" s="2149"/>
      <c r="AO3" s="2149"/>
      <c r="AP3" s="2149"/>
      <c r="AQ3" s="2149"/>
      <c r="AR3" s="2149"/>
      <c r="AS3" s="2149"/>
      <c r="AT3" s="2149"/>
      <c r="AU3" s="2149"/>
      <c r="AV3" s="2149"/>
    </row>
    <row r="4" spans="1:255" ht="33" customHeight="1" thickBot="1">
      <c r="A4" s="1229" t="s">
        <v>1039</v>
      </c>
      <c r="B4" s="1230" t="s">
        <v>1040</v>
      </c>
      <c r="C4" s="1230" t="s">
        <v>1041</v>
      </c>
      <c r="D4" s="1230" t="s">
        <v>1168</v>
      </c>
      <c r="E4" s="1231" t="s">
        <v>1169</v>
      </c>
      <c r="F4" s="1231" t="s">
        <v>451</v>
      </c>
      <c r="G4" s="1231" t="s">
        <v>452</v>
      </c>
      <c r="H4" s="2150" t="s">
        <v>453</v>
      </c>
    </row>
    <row r="5" spans="1:255" ht="214.5" customHeight="1">
      <c r="A5" s="1997" t="s">
        <v>575</v>
      </c>
      <c r="B5" s="911" t="s">
        <v>755</v>
      </c>
      <c r="C5" s="2635" t="s">
        <v>106</v>
      </c>
      <c r="D5" s="1123" t="s">
        <v>1306</v>
      </c>
      <c r="E5" s="2639" t="s">
        <v>713</v>
      </c>
      <c r="F5" s="2642"/>
      <c r="G5" s="2645" t="str">
        <f>IF(O2="Yes",O29,O30)</f>
        <v>Eco- Conditional Requirement NOT met</v>
      </c>
      <c r="H5" s="2648" t="str">
        <f>IF(O2="Yes",O32,O33)</f>
        <v>The project team acknowledges that the design does NOT meet the conditional requirements as stipulated in the Green Star SA Public &amp; Education Building v1 Technical Manual. This Green Star SA project is therefore NOT eligible for formal certification by the GBCSA. Please refer to the Technical Manual for further information.</v>
      </c>
      <c r="I5" s="2638"/>
      <c r="J5" s="2152"/>
      <c r="K5" s="2153"/>
      <c r="L5" s="2154"/>
    </row>
    <row r="6" spans="1:255" ht="162.75" customHeight="1">
      <c r="A6" s="1997"/>
      <c r="B6" s="911"/>
      <c r="C6" s="2636"/>
      <c r="D6" s="1123" t="s">
        <v>1460</v>
      </c>
      <c r="E6" s="2640"/>
      <c r="F6" s="2643"/>
      <c r="G6" s="2646"/>
      <c r="H6" s="2649"/>
      <c r="I6" s="2638"/>
      <c r="J6" s="2152"/>
      <c r="K6" s="2153"/>
      <c r="L6" s="2154"/>
    </row>
    <row r="7" spans="1:255" ht="124.5" customHeight="1">
      <c r="A7" s="913"/>
      <c r="B7" s="910"/>
      <c r="C7" s="2637"/>
      <c r="D7" s="1124" t="s">
        <v>284</v>
      </c>
      <c r="E7" s="2641"/>
      <c r="F7" s="2644"/>
      <c r="G7" s="2647"/>
      <c r="H7" s="2650"/>
      <c r="I7" s="2638"/>
      <c r="J7" s="2152"/>
      <c r="K7" s="2153"/>
      <c r="L7" s="2154"/>
    </row>
    <row r="8" spans="1:255" ht="229.5">
      <c r="A8" s="2002" t="s">
        <v>576</v>
      </c>
      <c r="B8" s="914" t="s">
        <v>74</v>
      </c>
      <c r="C8" s="1125" t="s">
        <v>560</v>
      </c>
      <c r="D8" s="1154" t="s">
        <v>2013</v>
      </c>
      <c r="E8" s="1146">
        <f>IF(F8="na",0,1)</f>
        <v>1</v>
      </c>
      <c r="F8" s="2050"/>
      <c r="G8" s="2118"/>
      <c r="H8" s="2155"/>
      <c r="I8" s="2156" t="str">
        <f>IF(ISBLANK(F8),IF(G8&gt;E8,Calculation1!$B$84,""),IF(F8="na","",IF(OR(F8="na",ISNUMBER(F8)),IF(F8+G8&gt;E8,Calculation1!$B$84,""),Calculation1!$B$85)))</f>
        <v/>
      </c>
      <c r="J8" s="2152"/>
      <c r="K8" s="2153"/>
      <c r="L8" s="2154"/>
    </row>
    <row r="9" spans="1:255" ht="137.25" customHeight="1">
      <c r="A9" s="2002" t="s">
        <v>741</v>
      </c>
      <c r="B9" s="914" t="s">
        <v>75</v>
      </c>
      <c r="C9" s="1125" t="s">
        <v>395</v>
      </c>
      <c r="D9" s="1157" t="s">
        <v>2014</v>
      </c>
      <c r="E9" s="1146">
        <v>2</v>
      </c>
      <c r="F9" s="2050"/>
      <c r="G9" s="2118"/>
      <c r="H9" s="2155"/>
      <c r="I9" s="2157" t="str">
        <f>IF(OR(ISTEXT(F9)=TRUE,ISTEXT(G9)=TRUE),Calculation1!$B$87,IF(F9+G9&gt;E9,Calculation1!$B$84,""))</f>
        <v/>
      </c>
      <c r="J9" s="2152"/>
      <c r="K9" s="2153"/>
      <c r="L9" s="2154"/>
    </row>
    <row r="10" spans="1:255" ht="138.75" customHeight="1">
      <c r="A10" s="2002" t="s">
        <v>742</v>
      </c>
      <c r="B10" s="914" t="s">
        <v>399</v>
      </c>
      <c r="C10" s="1125" t="s">
        <v>599</v>
      </c>
      <c r="D10" s="1157" t="s">
        <v>2015</v>
      </c>
      <c r="E10" s="1146">
        <f>IF(F10="na",0,2)</f>
        <v>2</v>
      </c>
      <c r="F10" s="2050"/>
      <c r="G10" s="2050"/>
      <c r="H10" s="2158"/>
      <c r="I10" s="2156" t="str">
        <f>IF(ISBLANK(F10),IF(G10&gt;E10,Calculation1!$B$84,""),IF(F10="na","",IF(OR(F10="na",ISNUMBER(F10)),IF(F10+G10&gt;E10,Calculation1!$B$84,""),Calculation1!$B$85)))</f>
        <v/>
      </c>
      <c r="J10" s="2152"/>
      <c r="K10" s="2153"/>
      <c r="L10" s="2154"/>
    </row>
    <row r="11" spans="1:255" ht="285.75" customHeight="1">
      <c r="A11" s="2002" t="s">
        <v>743</v>
      </c>
      <c r="B11" s="914" t="s">
        <v>391</v>
      </c>
      <c r="C11" s="914" t="s">
        <v>449</v>
      </c>
      <c r="D11" s="945" t="s">
        <v>2137</v>
      </c>
      <c r="E11" s="1146">
        <v>4</v>
      </c>
      <c r="F11" s="948">
        <f>'Ecology Calculator'!J3</f>
        <v>0</v>
      </c>
      <c r="G11" s="2050">
        <v>0</v>
      </c>
      <c r="H11" s="2158"/>
      <c r="I11" s="2157" t="str">
        <f>IF(OR(ISTEXT(F11)=TRUE,ISTEXT(G11)=TRUE),Calculation1!$B$87,IF(F11+G11&gt;E11,Calculation1!$B$84,""))</f>
        <v/>
      </c>
    </row>
    <row r="12" spans="1:255" ht="232.5" customHeight="1">
      <c r="A12" s="1996" t="s">
        <v>744</v>
      </c>
      <c r="B12" s="2006" t="s">
        <v>681</v>
      </c>
      <c r="C12" s="1126" t="s">
        <v>956</v>
      </c>
      <c r="D12" s="1127" t="s">
        <v>2138</v>
      </c>
      <c r="E12" s="2001">
        <f>IF(OR(F12="na"),0,1)</f>
        <v>1</v>
      </c>
      <c r="F12" s="2058"/>
      <c r="G12" s="2058"/>
      <c r="H12" s="2159"/>
      <c r="I12" s="2157" t="str">
        <f>IF(OR(ISTEXT(F12)=TRUE,ISTEXT(G12)=TRUE),Calculation1!$B$87,IF(F12+G12&gt;E12,Calculation1!$B$84,""))</f>
        <v/>
      </c>
      <c r="J12" s="2152"/>
      <c r="K12" s="2153"/>
      <c r="L12" s="2154"/>
    </row>
    <row r="13" spans="1:255" ht="203.25" customHeight="1">
      <c r="A13" s="913"/>
      <c r="B13" s="599"/>
      <c r="C13" s="769"/>
      <c r="D13" s="947" t="s">
        <v>2139</v>
      </c>
      <c r="E13" s="2001">
        <f>IF(OR(F13="na"),0,1)</f>
        <v>1</v>
      </c>
      <c r="F13" s="2058"/>
      <c r="G13" s="2058"/>
      <c r="H13" s="2159"/>
      <c r="I13" s="2157"/>
      <c r="J13" s="2152"/>
      <c r="K13" s="2153"/>
      <c r="L13" s="2154"/>
    </row>
    <row r="14" spans="1:255" s="912" customFormat="1" ht="25.5">
      <c r="A14" s="938" t="s">
        <v>1373</v>
      </c>
      <c r="B14" s="857" t="s">
        <v>1375</v>
      </c>
      <c r="C14" s="857"/>
      <c r="D14" s="939" t="s">
        <v>2104</v>
      </c>
      <c r="E14" s="940" t="s">
        <v>1308</v>
      </c>
      <c r="F14" s="946" t="s">
        <v>1308</v>
      </c>
      <c r="G14" s="946" t="s">
        <v>1308</v>
      </c>
      <c r="H14" s="2160"/>
      <c r="I14" s="2157" t="str">
        <f>IF(OR(ISTEXT(F14)=TRUE,ISTEXT(G14)=TRUE),Calculation1!$B$87,IF(F14+G14&gt;E14,Calculation1!$B$84,""))</f>
        <v>ERROR, text not valid!</v>
      </c>
      <c r="J14" s="2161"/>
      <c r="K14" s="2161"/>
      <c r="L14" s="2161"/>
      <c r="M14" s="2161"/>
      <c r="N14" s="2161"/>
      <c r="O14" s="2161"/>
      <c r="P14" s="2161"/>
      <c r="Q14" s="2161"/>
      <c r="R14" s="2161"/>
      <c r="S14" s="2161"/>
      <c r="T14" s="2161"/>
      <c r="U14" s="2161"/>
      <c r="V14" s="2161"/>
      <c r="W14" s="2161"/>
      <c r="X14" s="2161"/>
      <c r="Y14" s="2161"/>
      <c r="Z14" s="2161"/>
      <c r="AA14" s="2161"/>
      <c r="AB14" s="2161"/>
      <c r="AC14" s="2161"/>
      <c r="AD14" s="2161"/>
      <c r="AE14" s="2161"/>
      <c r="AF14" s="2161"/>
      <c r="AG14" s="2161"/>
      <c r="AH14" s="2161"/>
      <c r="AI14" s="2161"/>
      <c r="AJ14" s="2161"/>
      <c r="AK14" s="2161"/>
      <c r="AL14" s="2161"/>
      <c r="AM14" s="2161"/>
      <c r="AN14" s="2161"/>
      <c r="AO14" s="2161"/>
      <c r="AP14" s="2161"/>
      <c r="AQ14" s="2161"/>
      <c r="AR14" s="2161"/>
      <c r="AS14" s="2161"/>
      <c r="AT14" s="2161"/>
      <c r="AU14" s="2161"/>
      <c r="AV14" s="2161"/>
      <c r="AW14" s="1144"/>
      <c r="AX14" s="1144"/>
      <c r="AY14" s="1144"/>
      <c r="AZ14" s="1144"/>
      <c r="BA14" s="1144"/>
      <c r="BB14" s="1144"/>
      <c r="BC14" s="1144"/>
      <c r="BD14" s="1144"/>
      <c r="BE14" s="1144"/>
      <c r="BF14" s="1144"/>
      <c r="BG14" s="1144"/>
      <c r="BH14" s="1144"/>
      <c r="BI14" s="1144"/>
      <c r="BJ14" s="1144"/>
      <c r="BK14" s="1144"/>
      <c r="BL14" s="1144"/>
      <c r="BM14" s="1144"/>
      <c r="BN14" s="1144"/>
      <c r="BO14" s="1144"/>
      <c r="BP14" s="1144"/>
      <c r="BQ14" s="1144"/>
      <c r="BR14" s="1144"/>
      <c r="BS14" s="1144"/>
      <c r="BT14" s="1144"/>
      <c r="BU14" s="1144"/>
      <c r="BV14" s="1144"/>
      <c r="BW14" s="1144"/>
      <c r="BX14" s="1144"/>
      <c r="BY14" s="1144"/>
      <c r="BZ14" s="1144"/>
      <c r="CA14" s="1144"/>
      <c r="CB14" s="1144"/>
      <c r="CC14" s="1144"/>
      <c r="CD14" s="1144"/>
      <c r="CE14" s="1144"/>
      <c r="CF14" s="1144"/>
      <c r="CG14" s="1144"/>
      <c r="CH14" s="274"/>
      <c r="CI14" s="274"/>
      <c r="CJ14" s="274"/>
      <c r="CK14" s="274"/>
      <c r="CL14" s="274"/>
      <c r="CM14" s="274"/>
      <c r="CN14" s="274"/>
      <c r="CO14" s="274"/>
      <c r="CP14" s="274"/>
      <c r="CQ14" s="274"/>
      <c r="CR14" s="274"/>
      <c r="CS14" s="274"/>
      <c r="CT14" s="274"/>
      <c r="CU14" s="274"/>
      <c r="CV14" s="274"/>
      <c r="CW14" s="274"/>
      <c r="CX14" s="274"/>
      <c r="CY14" s="274"/>
      <c r="CZ14" s="274"/>
      <c r="DA14" s="274"/>
      <c r="DB14" s="274"/>
      <c r="DC14" s="274"/>
      <c r="DD14" s="274"/>
      <c r="DE14" s="274"/>
      <c r="DF14" s="274"/>
      <c r="DG14" s="274"/>
      <c r="DH14" s="274"/>
      <c r="DI14" s="274"/>
      <c r="DJ14" s="274"/>
      <c r="DK14" s="274"/>
      <c r="DL14" s="274"/>
      <c r="DM14" s="274"/>
      <c r="DN14" s="274"/>
      <c r="DO14" s="274"/>
      <c r="DP14" s="274"/>
      <c r="DQ14" s="274"/>
      <c r="DR14" s="274"/>
      <c r="DS14" s="274"/>
      <c r="DT14" s="274"/>
      <c r="DU14" s="274"/>
      <c r="DV14" s="274"/>
      <c r="DW14" s="274"/>
      <c r="DX14" s="274"/>
      <c r="DY14" s="274"/>
      <c r="DZ14" s="274"/>
      <c r="EA14" s="274"/>
      <c r="EB14" s="274"/>
      <c r="EC14" s="274"/>
      <c r="ED14" s="274"/>
      <c r="EE14" s="274"/>
      <c r="EF14" s="274"/>
      <c r="EG14" s="274"/>
      <c r="EH14" s="274"/>
      <c r="EI14" s="274"/>
      <c r="EJ14" s="274"/>
      <c r="EK14" s="274"/>
      <c r="EL14" s="274"/>
      <c r="EM14" s="274"/>
      <c r="EN14" s="274"/>
      <c r="EO14" s="274"/>
      <c r="EP14" s="274"/>
      <c r="EQ14" s="274"/>
      <c r="ER14" s="274"/>
      <c r="ES14" s="274"/>
      <c r="ET14" s="274"/>
      <c r="EU14" s="274"/>
      <c r="EV14" s="274"/>
      <c r="EW14" s="274"/>
      <c r="EX14" s="274"/>
      <c r="EY14" s="274"/>
      <c r="EZ14" s="274"/>
      <c r="FA14" s="274"/>
      <c r="FB14" s="274"/>
      <c r="FC14" s="274"/>
      <c r="FD14" s="274"/>
      <c r="FE14" s="274"/>
      <c r="FF14" s="274"/>
      <c r="FG14" s="274"/>
      <c r="FH14" s="274"/>
      <c r="FI14" s="274"/>
      <c r="FJ14" s="274"/>
      <c r="FK14" s="274"/>
      <c r="FL14" s="274"/>
      <c r="FM14" s="274"/>
      <c r="FN14" s="274"/>
      <c r="FO14" s="274"/>
      <c r="FP14" s="274"/>
      <c r="FQ14" s="274"/>
      <c r="FR14" s="274"/>
      <c r="FS14" s="274"/>
      <c r="FT14" s="274"/>
      <c r="FU14" s="274"/>
      <c r="FV14" s="274"/>
      <c r="FW14" s="274"/>
      <c r="FX14" s="274"/>
      <c r="FY14" s="274"/>
      <c r="FZ14" s="274"/>
      <c r="GA14" s="274"/>
      <c r="GB14" s="274"/>
      <c r="GC14" s="274"/>
      <c r="GD14" s="274"/>
      <c r="GE14" s="274"/>
      <c r="GF14" s="274"/>
      <c r="GG14" s="274"/>
      <c r="GH14" s="274"/>
      <c r="GI14" s="274"/>
      <c r="GJ14" s="274"/>
      <c r="GK14" s="274"/>
      <c r="GL14" s="274"/>
      <c r="GM14" s="274"/>
      <c r="GN14" s="274"/>
      <c r="GO14" s="274"/>
      <c r="GP14" s="274"/>
      <c r="GQ14" s="274"/>
      <c r="GR14" s="274"/>
      <c r="GS14" s="274"/>
      <c r="GT14" s="274"/>
      <c r="GU14" s="274"/>
      <c r="GV14" s="274"/>
      <c r="GW14" s="274"/>
      <c r="GX14" s="274"/>
      <c r="GY14" s="274"/>
      <c r="GZ14" s="274"/>
      <c r="HA14" s="274"/>
      <c r="HB14" s="274"/>
      <c r="HC14" s="274"/>
      <c r="HD14" s="274"/>
      <c r="HE14" s="274"/>
      <c r="HF14" s="274"/>
      <c r="HG14" s="274"/>
      <c r="HH14" s="274"/>
      <c r="HI14" s="274"/>
      <c r="HJ14" s="274"/>
      <c r="HK14" s="274"/>
      <c r="HL14" s="274"/>
      <c r="HM14" s="274"/>
      <c r="HN14" s="274"/>
      <c r="HO14" s="274"/>
      <c r="HP14" s="274"/>
      <c r="HQ14" s="274"/>
      <c r="HR14" s="274"/>
      <c r="HS14" s="274"/>
      <c r="HT14" s="274"/>
      <c r="HU14" s="274"/>
      <c r="HV14" s="274"/>
      <c r="HW14" s="274"/>
      <c r="HX14" s="274"/>
      <c r="HY14" s="274"/>
      <c r="HZ14" s="274"/>
      <c r="IA14" s="274"/>
      <c r="IB14" s="274"/>
      <c r="IC14" s="274"/>
      <c r="ID14" s="274"/>
      <c r="IE14" s="274"/>
      <c r="IF14" s="274"/>
      <c r="IG14" s="274"/>
      <c r="IH14" s="274"/>
      <c r="II14" s="274"/>
      <c r="IJ14" s="274"/>
      <c r="IK14" s="274"/>
      <c r="IL14" s="274"/>
      <c r="IM14" s="274"/>
      <c r="IN14" s="274"/>
      <c r="IO14" s="274"/>
      <c r="IP14" s="274"/>
      <c r="IQ14" s="274"/>
      <c r="IR14" s="274"/>
      <c r="IS14" s="274"/>
      <c r="IT14" s="274"/>
      <c r="IU14" s="274"/>
    </row>
    <row r="15" spans="1:255" s="912" customFormat="1" ht="25.5">
      <c r="A15" s="938" t="s">
        <v>1374</v>
      </c>
      <c r="B15" s="857" t="s">
        <v>1376</v>
      </c>
      <c r="C15" s="857"/>
      <c r="D15" s="939" t="s">
        <v>2104</v>
      </c>
      <c r="E15" s="940" t="s">
        <v>1308</v>
      </c>
      <c r="F15" s="946" t="s">
        <v>1308</v>
      </c>
      <c r="G15" s="946" t="s">
        <v>1308</v>
      </c>
      <c r="H15" s="2160"/>
      <c r="I15" s="2157" t="str">
        <f>IF(OR(ISTEXT(F15)=TRUE,ISTEXT(G15)=TRUE),Calculation1!$B$87,IF(F15+G15&gt;E15,Calculation1!$B$84,""))</f>
        <v>ERROR, text not valid!</v>
      </c>
      <c r="J15" s="2161"/>
      <c r="K15" s="2161"/>
      <c r="L15" s="2161"/>
      <c r="M15" s="2161"/>
      <c r="N15" s="2161"/>
      <c r="O15" s="2161"/>
      <c r="P15" s="2161"/>
      <c r="Q15" s="2161"/>
      <c r="R15" s="2161"/>
      <c r="S15" s="2161"/>
      <c r="T15" s="2161"/>
      <c r="U15" s="2161"/>
      <c r="V15" s="2161"/>
      <c r="W15" s="2161"/>
      <c r="X15" s="2161"/>
      <c r="Y15" s="2161"/>
      <c r="Z15" s="2161"/>
      <c r="AA15" s="2161"/>
      <c r="AB15" s="2161"/>
      <c r="AC15" s="2161"/>
      <c r="AD15" s="2161"/>
      <c r="AE15" s="2161"/>
      <c r="AF15" s="2161"/>
      <c r="AG15" s="2161"/>
      <c r="AH15" s="2161"/>
      <c r="AI15" s="2161"/>
      <c r="AJ15" s="2161"/>
      <c r="AK15" s="2161"/>
      <c r="AL15" s="2161"/>
      <c r="AM15" s="2161"/>
      <c r="AN15" s="2161"/>
      <c r="AO15" s="2161"/>
      <c r="AP15" s="2161"/>
      <c r="AQ15" s="2161"/>
      <c r="AR15" s="2161"/>
      <c r="AS15" s="2161"/>
      <c r="AT15" s="2161"/>
      <c r="AU15" s="2161"/>
      <c r="AV15" s="2161"/>
      <c r="AW15" s="1144"/>
      <c r="AX15" s="1144"/>
      <c r="AY15" s="1144"/>
      <c r="AZ15" s="1144"/>
      <c r="BA15" s="1144"/>
      <c r="BB15" s="1144"/>
      <c r="BC15" s="1144"/>
      <c r="BD15" s="1144"/>
      <c r="BE15" s="1144"/>
      <c r="BF15" s="1144"/>
      <c r="BG15" s="1144"/>
      <c r="BH15" s="1144"/>
      <c r="BI15" s="1144"/>
      <c r="BJ15" s="1144"/>
      <c r="BK15" s="1144"/>
      <c r="BL15" s="1144"/>
      <c r="BM15" s="1144"/>
      <c r="BN15" s="1144"/>
      <c r="BO15" s="1144"/>
      <c r="BP15" s="1144"/>
      <c r="BQ15" s="1144"/>
      <c r="BR15" s="1144"/>
      <c r="BS15" s="1144"/>
      <c r="BT15" s="1144"/>
      <c r="BU15" s="1144"/>
      <c r="BV15" s="1144"/>
      <c r="BW15" s="1144"/>
      <c r="BX15" s="1144"/>
      <c r="BY15" s="1144"/>
      <c r="BZ15" s="1144"/>
      <c r="CA15" s="1144"/>
      <c r="CB15" s="1144"/>
      <c r="CC15" s="1144"/>
      <c r="CD15" s="1144"/>
      <c r="CE15" s="1144"/>
      <c r="CF15" s="1144"/>
      <c r="CG15" s="1144"/>
      <c r="CH15" s="274"/>
      <c r="CI15" s="274"/>
      <c r="CJ15" s="274"/>
      <c r="CK15" s="274"/>
      <c r="CL15" s="274"/>
      <c r="CM15" s="274"/>
      <c r="CN15" s="274"/>
      <c r="CO15" s="274"/>
      <c r="CP15" s="274"/>
      <c r="CQ15" s="274"/>
      <c r="CR15" s="274"/>
      <c r="CS15" s="274"/>
      <c r="CT15" s="274"/>
      <c r="CU15" s="274"/>
      <c r="CV15" s="274"/>
      <c r="CW15" s="274"/>
      <c r="CX15" s="274"/>
      <c r="CY15" s="274"/>
      <c r="CZ15" s="274"/>
      <c r="DA15" s="274"/>
      <c r="DB15" s="274"/>
      <c r="DC15" s="274"/>
      <c r="DD15" s="274"/>
      <c r="DE15" s="274"/>
      <c r="DF15" s="274"/>
      <c r="DG15" s="274"/>
      <c r="DH15" s="274"/>
      <c r="DI15" s="274"/>
      <c r="DJ15" s="274"/>
      <c r="DK15" s="274"/>
      <c r="DL15" s="274"/>
      <c r="DM15" s="274"/>
      <c r="DN15" s="274"/>
      <c r="DO15" s="274"/>
      <c r="DP15" s="274"/>
      <c r="DQ15" s="274"/>
      <c r="DR15" s="274"/>
      <c r="DS15" s="274"/>
      <c r="DT15" s="274"/>
      <c r="DU15" s="274"/>
      <c r="DV15" s="274"/>
      <c r="DW15" s="274"/>
      <c r="DX15" s="274"/>
      <c r="DY15" s="274"/>
      <c r="DZ15" s="274"/>
      <c r="EA15" s="274"/>
      <c r="EB15" s="274"/>
      <c r="EC15" s="274"/>
      <c r="ED15" s="274"/>
      <c r="EE15" s="274"/>
      <c r="EF15" s="274"/>
      <c r="EG15" s="274"/>
      <c r="EH15" s="274"/>
      <c r="EI15" s="274"/>
      <c r="EJ15" s="274"/>
      <c r="EK15" s="274"/>
      <c r="EL15" s="274"/>
      <c r="EM15" s="274"/>
      <c r="EN15" s="274"/>
      <c r="EO15" s="274"/>
      <c r="EP15" s="274"/>
      <c r="EQ15" s="274"/>
      <c r="ER15" s="274"/>
      <c r="ES15" s="274"/>
      <c r="ET15" s="274"/>
      <c r="EU15" s="274"/>
      <c r="EV15" s="274"/>
      <c r="EW15" s="274"/>
      <c r="EX15" s="274"/>
      <c r="EY15" s="274"/>
      <c r="EZ15" s="274"/>
      <c r="FA15" s="274"/>
      <c r="FB15" s="274"/>
      <c r="FC15" s="274"/>
      <c r="FD15" s="274"/>
      <c r="FE15" s="274"/>
      <c r="FF15" s="274"/>
      <c r="FG15" s="274"/>
      <c r="FH15" s="274"/>
      <c r="FI15" s="274"/>
      <c r="FJ15" s="274"/>
      <c r="FK15" s="274"/>
      <c r="FL15" s="274"/>
      <c r="FM15" s="274"/>
      <c r="FN15" s="274"/>
      <c r="FO15" s="274"/>
      <c r="FP15" s="274"/>
      <c r="FQ15" s="274"/>
      <c r="FR15" s="274"/>
      <c r="FS15" s="274"/>
      <c r="FT15" s="274"/>
      <c r="FU15" s="274"/>
      <c r="FV15" s="274"/>
      <c r="FW15" s="274"/>
      <c r="FX15" s="274"/>
      <c r="FY15" s="274"/>
      <c r="FZ15" s="274"/>
      <c r="GA15" s="274"/>
      <c r="GB15" s="274"/>
      <c r="GC15" s="274"/>
      <c r="GD15" s="274"/>
      <c r="GE15" s="274"/>
      <c r="GF15" s="274"/>
      <c r="GG15" s="274"/>
      <c r="GH15" s="274"/>
      <c r="GI15" s="274"/>
      <c r="GJ15" s="274"/>
      <c r="GK15" s="274"/>
      <c r="GL15" s="274"/>
      <c r="GM15" s="274"/>
      <c r="GN15" s="274"/>
      <c r="GO15" s="274"/>
      <c r="GP15" s="274"/>
      <c r="GQ15" s="274"/>
      <c r="GR15" s="274"/>
      <c r="GS15" s="274"/>
      <c r="GT15" s="274"/>
      <c r="GU15" s="274"/>
      <c r="GV15" s="274"/>
      <c r="GW15" s="274"/>
      <c r="GX15" s="274"/>
      <c r="GY15" s="274"/>
      <c r="GZ15" s="274"/>
      <c r="HA15" s="274"/>
      <c r="HB15" s="274"/>
      <c r="HC15" s="274"/>
      <c r="HD15" s="274"/>
      <c r="HE15" s="274"/>
      <c r="HF15" s="274"/>
      <c r="HG15" s="274"/>
      <c r="HH15" s="274"/>
      <c r="HI15" s="274"/>
      <c r="HJ15" s="274"/>
      <c r="HK15" s="274"/>
      <c r="HL15" s="274"/>
      <c r="HM15" s="274"/>
      <c r="HN15" s="274"/>
      <c r="HO15" s="274"/>
      <c r="HP15" s="274"/>
      <c r="HQ15" s="274"/>
      <c r="HR15" s="274"/>
      <c r="HS15" s="274"/>
      <c r="HT15" s="274"/>
      <c r="HU15" s="274"/>
      <c r="HV15" s="274"/>
      <c r="HW15" s="274"/>
      <c r="HX15" s="274"/>
      <c r="HY15" s="274"/>
      <c r="HZ15" s="274"/>
      <c r="IA15" s="274"/>
      <c r="IB15" s="274"/>
      <c r="IC15" s="274"/>
      <c r="ID15" s="274"/>
      <c r="IE15" s="274"/>
      <c r="IF15" s="274"/>
      <c r="IG15" s="274"/>
      <c r="IH15" s="274"/>
      <c r="II15" s="274"/>
      <c r="IJ15" s="274"/>
      <c r="IK15" s="274"/>
      <c r="IL15" s="274"/>
      <c r="IM15" s="274"/>
      <c r="IN15" s="274"/>
      <c r="IO15" s="274"/>
      <c r="IP15" s="274"/>
      <c r="IQ15" s="274"/>
      <c r="IR15" s="274"/>
      <c r="IS15" s="274"/>
      <c r="IT15" s="274"/>
      <c r="IU15" s="274"/>
    </row>
    <row r="16" spans="1:255" ht="306.75" thickBot="1">
      <c r="A16" s="915" t="s">
        <v>1335</v>
      </c>
      <c r="B16" s="916" t="s">
        <v>1307</v>
      </c>
      <c r="C16" s="1133" t="s">
        <v>1451</v>
      </c>
      <c r="D16" s="1157" t="s">
        <v>2062</v>
      </c>
      <c r="E16" s="1146">
        <f>IF(F16="na",0,1)</f>
        <v>1</v>
      </c>
      <c r="F16" s="2050"/>
      <c r="G16" s="2050"/>
      <c r="H16" s="2162"/>
      <c r="I16" s="2157"/>
      <c r="J16" s="2152"/>
      <c r="K16" s="2153"/>
      <c r="L16" s="2154"/>
    </row>
    <row r="17" spans="1:17" ht="18.75" thickBot="1">
      <c r="A17" s="1197"/>
      <c r="B17" s="1198"/>
      <c r="C17" s="1198"/>
      <c r="D17" s="1199" t="s">
        <v>1035</v>
      </c>
      <c r="E17" s="1200">
        <f>SUM(E8:E16)</f>
        <v>12</v>
      </c>
      <c r="F17" s="1200">
        <f>SUM(F8:F16)</f>
        <v>0</v>
      </c>
      <c r="G17" s="1200">
        <f>SUM(G8:G16)</f>
        <v>0</v>
      </c>
      <c r="H17" s="2163"/>
      <c r="I17" s="2164"/>
    </row>
    <row r="18" spans="1:17">
      <c r="A18" s="1150"/>
      <c r="H18" s="2165"/>
    </row>
    <row r="19" spans="1:17">
      <c r="A19" s="1150"/>
      <c r="H19" s="2165"/>
    </row>
    <row r="20" spans="1:17">
      <c r="A20" s="1150"/>
      <c r="H20" s="2165"/>
    </row>
    <row r="21" spans="1:17">
      <c r="A21" s="595" t="str">
        <f>Calculation1!$B$93</f>
        <v>Project Teams are to refer to the Green Star SA Public Building PILOT Technical Manual for explicit credit criteria and documentation requirements.</v>
      </c>
      <c r="H21" s="2165"/>
    </row>
    <row r="22" spans="1:17">
      <c r="A22" s="595" t="str">
        <f>Calculation1!$B$94</f>
        <v>The Green Star Technical Clarifications (TC) and Credit Interpretation Request (CIR) rulings provide an essential source of information to all</v>
      </c>
    </row>
    <row r="23" spans="1:17">
      <c r="A23" s="595" t="str">
        <f>Calculation1!$B$95</f>
        <v>projects undertaking Green Star assessment. They are available on the GBCSA website http://www.gbcsa.org.za . Technical Clarifications</v>
      </c>
    </row>
    <row r="24" spans="1:17">
      <c r="A24" s="595" t="str">
        <f>Calculation1!$B$96</f>
        <v xml:space="preserve">often represent the GBCSA answers to technical queries and complement Green Star SA Technical Manuals. They do not amend but clarify </v>
      </c>
    </row>
    <row r="25" spans="1:17">
      <c r="A25" s="595" t="str">
        <f>Calculation1!$B$97</f>
        <v xml:space="preserve">Credit Criteria or Compliance Requirements. They are an extension of the Technical Manual; it is the responsibility of the project teams to stay </v>
      </c>
      <c r="O25" s="2151" t="s">
        <v>745</v>
      </c>
      <c r="Q25" s="2151" t="s">
        <v>730</v>
      </c>
    </row>
    <row r="26" spans="1:17">
      <c r="A26" s="595" t="str">
        <f>Calculation1!$B$98</f>
        <v xml:space="preserve">up-to-date with this section of the GBCSA website. The CIR rulings offer alternative compliance options whenever those have been deemed </v>
      </c>
      <c r="O26" s="2151" t="s">
        <v>588</v>
      </c>
      <c r="Q26" s="2151" t="b">
        <v>0</v>
      </c>
    </row>
    <row r="27" spans="1:17">
      <c r="A27" s="595" t="str">
        <f>Calculation1!$B$99</f>
        <v>equivalent in meeting the Aim of Credit.</v>
      </c>
      <c r="O27" s="2151" t="s">
        <v>368</v>
      </c>
      <c r="Q27" s="2151" t="b">
        <v>1</v>
      </c>
    </row>
    <row r="28" spans="1:17">
      <c r="A28" s="595"/>
    </row>
    <row r="29" spans="1:17">
      <c r="O29" s="2167" t="s">
        <v>746</v>
      </c>
    </row>
    <row r="30" spans="1:17">
      <c r="O30" s="817" t="s">
        <v>747</v>
      </c>
    </row>
    <row r="32" spans="1:17">
      <c r="O32" s="817" t="s">
        <v>2109</v>
      </c>
    </row>
    <row r="33" spans="15:15">
      <c r="O33" s="817" t="s">
        <v>2110</v>
      </c>
    </row>
  </sheetData>
  <sheetProtection password="AD9B" sheet="1" objects="1" scenarios="1"/>
  <mergeCells count="6">
    <mergeCell ref="C5:C7"/>
    <mergeCell ref="I5:I7"/>
    <mergeCell ref="E5:E7"/>
    <mergeCell ref="F5:F7"/>
    <mergeCell ref="G5:G7"/>
    <mergeCell ref="H5:H7"/>
  </mergeCells>
  <phoneticPr fontId="0"/>
  <conditionalFormatting sqref="G5:G7">
    <cfRule type="cellIs" dxfId="3" priority="1" stopIfTrue="1" operator="equal">
      <formula>$O$30</formula>
    </cfRule>
  </conditionalFormatting>
  <printOptions horizontalCentered="1"/>
  <pageMargins left="0.59055118110236227" right="0.59055118110236227" top="0.47244094488188981" bottom="0.47244094488188981" header="0.23622047244094491" footer="0.35433070866141736"/>
  <pageSetup paperSize="9" scale="59" fitToHeight="3" orientation="landscape" blackAndWhite="1" r:id="rId1"/>
  <headerFooter alignWithMargins="0">
    <oddHeader>&amp;LGreen Building Council of South Africa&amp;R&amp;T   &amp;D</oddHeader>
    <oddFooter>&amp;L&amp;F&amp;CPage &amp;P of &amp;N&amp;RCategory: &amp;A</oddFooter>
  </headerFooter>
  <ignoredErrors>
    <ignoredError sqref="I9" formula="1"/>
  </ignoredErrors>
  <drawing r:id="rId2"/>
  <legacyDrawing r:id="rId3"/>
  <controls>
    <mc:AlternateContent xmlns:mc="http://schemas.openxmlformats.org/markup-compatibility/2006">
      <mc:Choice Requires="x14">
        <control shapeId="43038" r:id="rId4" name="ComboBox1">
          <controlPr defaultSize="0" autoLine="0" linkedCell="O2" listFillRange="O26:O27" r:id="rId5">
            <anchor moveWithCells="1">
              <from>
                <xdr:col>5</xdr:col>
                <xdr:colOff>76200</xdr:colOff>
                <xdr:row>5</xdr:row>
                <xdr:rowOff>457200</xdr:rowOff>
              </from>
              <to>
                <xdr:col>5</xdr:col>
                <xdr:colOff>904875</xdr:colOff>
                <xdr:row>5</xdr:row>
                <xdr:rowOff>752475</xdr:rowOff>
              </to>
            </anchor>
          </controlPr>
        </control>
      </mc:Choice>
      <mc:Fallback>
        <control shapeId="43038" r:id="rId4" name="ComboBox1"/>
      </mc:Fallback>
    </mc:AlternateContent>
    <mc:AlternateContent xmlns:mc="http://schemas.openxmlformats.org/markup-compatibility/2006">
      <mc:Choice Requires="x14">
        <control shapeId="43015" r:id="rId6" name="Button 7">
          <controlPr defaultSize="0" print="0" autoFill="0" autoPict="0" macro="[0]!GoToEcologyCalc">
            <anchor moveWithCells="1" sizeWithCells="1">
              <from>
                <xdr:col>3</xdr:col>
                <xdr:colOff>409575</xdr:colOff>
                <xdr:row>10</xdr:row>
                <xdr:rowOff>3124200</xdr:rowOff>
              </from>
              <to>
                <xdr:col>3</xdr:col>
                <xdr:colOff>4467225</xdr:colOff>
                <xdr:row>10</xdr:row>
                <xdr:rowOff>3495675</xdr:rowOff>
              </to>
            </anchor>
          </controlPr>
        </control>
      </mc:Choice>
    </mc:AlternateContent>
    <mc:AlternateContent xmlns:mc="http://schemas.openxmlformats.org/markup-compatibility/2006">
      <mc:Choice Requires="x14">
        <control shapeId="43016" r:id="rId7" name="Button 8">
          <controlPr defaultSize="0" print="0" autoFill="0" autoPict="0" macro="[0]!GoToCreditSummary">
            <anchor moveWithCells="1" sizeWithCells="1">
              <from>
                <xdr:col>4</xdr:col>
                <xdr:colOff>571500</xdr:colOff>
                <xdr:row>17</xdr:row>
                <xdr:rowOff>171450</xdr:rowOff>
              </from>
              <to>
                <xdr:col>6</xdr:col>
                <xdr:colOff>952500</xdr:colOff>
                <xdr:row>20</xdr:row>
                <xdr:rowOff>76200</xdr:rowOff>
              </to>
            </anchor>
          </controlPr>
        </control>
      </mc:Choice>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pageSetUpPr fitToPage="1"/>
  </sheetPr>
  <dimension ref="A1:AK575"/>
  <sheetViews>
    <sheetView zoomScale="80" zoomScaleNormal="100" zoomScaleSheetLayoutView="100" workbookViewId="0">
      <pane ySplit="4" topLeftCell="A5" activePane="bottomLeft" state="frozen"/>
      <selection pane="bottomLeft" activeCell="B610" sqref="B610"/>
    </sheetView>
  </sheetViews>
  <sheetFormatPr defaultColWidth="7.875" defaultRowHeight="12.75"/>
  <cols>
    <col min="1" max="1" width="1.875" style="473" customWidth="1"/>
    <col min="2" max="2" width="44.875" style="473" customWidth="1"/>
    <col min="3" max="3" width="12" style="698" hidden="1" customWidth="1"/>
    <col min="4" max="4" width="11.75" style="698" hidden="1" customWidth="1"/>
    <col min="5" max="5" width="10.375" style="698" hidden="1" customWidth="1"/>
    <col min="6" max="6" width="19.5" style="576" customWidth="1"/>
    <col min="7" max="7" width="10.625" style="576" customWidth="1"/>
    <col min="8" max="8" width="16" style="576" customWidth="1"/>
    <col min="9" max="9" width="10.375" style="576" hidden="1" customWidth="1"/>
    <col min="10" max="10" width="9.875" style="473" customWidth="1"/>
    <col min="11" max="11" width="11.625" style="714" hidden="1" customWidth="1"/>
    <col min="12" max="12" width="16" style="714" hidden="1" customWidth="1"/>
    <col min="13" max="13" width="2.625" style="714" hidden="1" customWidth="1"/>
    <col min="14" max="14" width="28.75" style="714" hidden="1" customWidth="1"/>
    <col min="15" max="15" width="13.375" style="714" hidden="1" customWidth="1"/>
    <col min="16" max="16" width="13.125" style="714" hidden="1" customWidth="1"/>
    <col min="17" max="17" width="7.875" style="714" hidden="1" customWidth="1"/>
    <col min="18" max="18" width="11.125" style="714" hidden="1" customWidth="1"/>
    <col min="19" max="21" width="10.375" style="714" hidden="1" customWidth="1"/>
    <col min="22" max="26" width="7.875" style="714" hidden="1" customWidth="1"/>
    <col min="27" max="37" width="0" style="714" hidden="1" customWidth="1"/>
    <col min="38" max="16384" width="7.875" style="473"/>
  </cols>
  <sheetData>
    <row r="1" spans="1:37" hidden="1"/>
    <row r="2" spans="1:37" s="606" customFormat="1" ht="27" customHeight="1">
      <c r="B2" s="354" t="str">
        <f>'Building Input'!B1</f>
        <v>Green Star SA - Public &amp; Education Building v1</v>
      </c>
      <c r="C2" s="699"/>
      <c r="D2" s="699"/>
      <c r="E2" s="699"/>
      <c r="H2" s="607"/>
      <c r="I2" s="607"/>
      <c r="J2" s="608"/>
      <c r="K2" s="715"/>
      <c r="L2" s="699"/>
      <c r="M2" s="699"/>
      <c r="N2" s="699"/>
      <c r="O2" s="699"/>
      <c r="P2" s="699"/>
      <c r="Q2" s="699"/>
      <c r="R2" s="699"/>
      <c r="S2" s="699"/>
      <c r="T2" s="699"/>
      <c r="U2" s="699"/>
      <c r="V2" s="699"/>
      <c r="W2" s="699"/>
      <c r="X2" s="699"/>
      <c r="Y2" s="699"/>
      <c r="Z2" s="699"/>
      <c r="AA2" s="699"/>
      <c r="AB2" s="699"/>
      <c r="AC2" s="699"/>
      <c r="AD2" s="699"/>
      <c r="AE2" s="699"/>
      <c r="AF2" s="699"/>
      <c r="AG2" s="699"/>
      <c r="AH2" s="699"/>
      <c r="AI2" s="699"/>
      <c r="AJ2" s="699"/>
      <c r="AK2" s="699"/>
    </row>
    <row r="3" spans="1:37" s="372" customFormat="1" ht="27" customHeight="1">
      <c r="B3" s="609" t="s">
        <v>1205</v>
      </c>
      <c r="C3" s="700"/>
      <c r="D3" s="701"/>
      <c r="E3" s="701"/>
      <c r="F3" s="2651" t="s">
        <v>980</v>
      </c>
      <c r="G3" s="2652"/>
      <c r="H3" s="2653"/>
      <c r="I3" s="1212"/>
      <c r="J3" s="250">
        <f>F45</f>
        <v>0</v>
      </c>
      <c r="K3" s="716"/>
      <c r="L3" s="717" t="s">
        <v>1206</v>
      </c>
      <c r="M3" s="716"/>
      <c r="N3" s="716"/>
      <c r="O3" s="716"/>
      <c r="P3" s="716"/>
      <c r="Q3" s="716"/>
      <c r="R3" s="716"/>
      <c r="S3" s="716"/>
      <c r="T3" s="716"/>
      <c r="U3" s="716"/>
      <c r="V3" s="716"/>
      <c r="W3" s="716"/>
      <c r="X3" s="716"/>
      <c r="Y3" s="716"/>
      <c r="Z3" s="716"/>
      <c r="AA3" s="716"/>
      <c r="AB3" s="716"/>
      <c r="AC3" s="716"/>
      <c r="AD3" s="716"/>
      <c r="AE3" s="716"/>
      <c r="AF3" s="716"/>
      <c r="AG3" s="716"/>
      <c r="AH3" s="716"/>
      <c r="AI3" s="716"/>
      <c r="AJ3" s="716"/>
      <c r="AK3" s="716"/>
    </row>
    <row r="4" spans="1:37" s="372" customFormat="1" ht="6" customHeight="1">
      <c r="B4" s="611"/>
      <c r="C4" s="700"/>
      <c r="D4" s="701"/>
      <c r="E4" s="701"/>
      <c r="F4" s="355"/>
      <c r="G4" s="356"/>
      <c r="H4" s="356"/>
      <c r="I4" s="357"/>
      <c r="K4" s="718"/>
      <c r="L4" s="717"/>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row>
    <row r="5" spans="1:37" s="372" customFormat="1" ht="16.5" customHeight="1">
      <c r="B5" s="611"/>
      <c r="C5" s="700"/>
      <c r="D5" s="701"/>
      <c r="E5" s="701"/>
      <c r="F5" s="355"/>
      <c r="G5" s="356"/>
      <c r="H5" s="356"/>
      <c r="I5" s="357"/>
      <c r="K5" s="718"/>
      <c r="L5" s="717"/>
      <c r="M5" s="716"/>
      <c r="N5" s="716"/>
      <c r="O5" s="716"/>
      <c r="P5" s="716"/>
      <c r="Q5" s="716"/>
      <c r="R5" s="716"/>
      <c r="S5" s="716"/>
      <c r="T5" s="716"/>
      <c r="U5" s="716"/>
      <c r="V5" s="716"/>
      <c r="W5" s="716"/>
      <c r="X5" s="716"/>
      <c r="Y5" s="716"/>
      <c r="Z5" s="716"/>
      <c r="AA5" s="716"/>
      <c r="AB5" s="716"/>
      <c r="AC5" s="716"/>
      <c r="AD5" s="716"/>
      <c r="AE5" s="716"/>
      <c r="AF5" s="716"/>
      <c r="AG5" s="716"/>
      <c r="AH5" s="716"/>
      <c r="AI5" s="716"/>
      <c r="AJ5" s="716"/>
      <c r="AK5" s="716"/>
    </row>
    <row r="6" spans="1:37" s="337" customFormat="1" ht="15.75" customHeight="1">
      <c r="A6" s="332"/>
      <c r="B6" s="560" t="s">
        <v>507</v>
      </c>
      <c r="C6" s="702"/>
      <c r="D6" s="702"/>
      <c r="E6" s="703"/>
      <c r="F6" s="334"/>
      <c r="G6" s="334"/>
      <c r="H6" s="334"/>
      <c r="I6" s="335"/>
      <c r="J6" s="335"/>
      <c r="K6" s="693"/>
      <c r="L6" s="694"/>
      <c r="M6" s="693"/>
      <c r="N6" s="695"/>
      <c r="O6" s="694"/>
      <c r="P6" s="694"/>
      <c r="Q6" s="694"/>
      <c r="R6" s="694"/>
      <c r="S6" s="694"/>
      <c r="T6" s="694"/>
      <c r="U6" s="693"/>
      <c r="V6" s="693"/>
      <c r="W6" s="693"/>
      <c r="X6" s="693"/>
      <c r="Y6" s="693"/>
      <c r="Z6" s="693"/>
      <c r="AA6" s="693"/>
      <c r="AB6" s="693"/>
      <c r="AC6" s="693"/>
      <c r="AD6" s="693"/>
      <c r="AE6" s="693"/>
      <c r="AF6" s="693"/>
      <c r="AG6" s="693"/>
      <c r="AH6" s="693"/>
      <c r="AI6" s="693"/>
      <c r="AJ6" s="693"/>
      <c r="AK6" s="693"/>
    </row>
    <row r="7" spans="1:37" s="336" customFormat="1" ht="16.5" customHeight="1">
      <c r="A7" s="338"/>
      <c r="B7" s="541" t="s">
        <v>231</v>
      </c>
      <c r="C7" s="704"/>
      <c r="D7" s="705"/>
      <c r="E7" s="706"/>
      <c r="F7" s="2663"/>
      <c r="G7" s="2663"/>
      <c r="H7" s="2663"/>
      <c r="I7" s="605" t="e">
        <f>'Building Input'!#REF!</f>
        <v>#REF!</v>
      </c>
      <c r="J7" s="348"/>
      <c r="K7" s="719">
        <v>1</v>
      </c>
      <c r="L7" s="694" t="s">
        <v>589</v>
      </c>
      <c r="M7" s="694" t="e">
        <f>VLOOKUP($K7,$K178:$M181,3)</f>
        <v>#N/A</v>
      </c>
      <c r="N7" s="694" t="s">
        <v>590</v>
      </c>
      <c r="O7" s="694"/>
      <c r="P7" s="694"/>
      <c r="Q7" s="694"/>
      <c r="R7" s="694"/>
      <c r="S7" s="694"/>
      <c r="T7" s="694"/>
      <c r="U7" s="694"/>
      <c r="V7" s="694"/>
      <c r="W7" s="694"/>
      <c r="X7" s="694"/>
      <c r="Y7" s="694"/>
      <c r="Z7" s="694"/>
      <c r="AA7" s="694"/>
      <c r="AB7" s="694"/>
      <c r="AC7" s="694"/>
      <c r="AD7" s="694"/>
      <c r="AE7" s="694"/>
      <c r="AF7" s="694"/>
      <c r="AG7" s="694"/>
      <c r="AH7" s="694"/>
      <c r="AI7" s="694"/>
      <c r="AJ7" s="694"/>
      <c r="AK7" s="694"/>
    </row>
    <row r="8" spans="1:37" s="336" customFormat="1" ht="16.5" customHeight="1">
      <c r="A8" s="338"/>
      <c r="B8" s="541" t="s">
        <v>273</v>
      </c>
      <c r="C8" s="704"/>
      <c r="D8" s="705"/>
      <c r="E8" s="706"/>
      <c r="F8" s="604"/>
      <c r="G8" s="604"/>
      <c r="H8" s="604"/>
      <c r="I8" s="605" t="e">
        <f>I7/60</f>
        <v>#REF!</v>
      </c>
      <c r="J8" s="348"/>
      <c r="K8" s="694"/>
      <c r="L8" s="694"/>
      <c r="M8" s="694"/>
      <c r="N8" s="694"/>
      <c r="O8" s="694"/>
      <c r="P8" s="694"/>
      <c r="Q8" s="694"/>
      <c r="R8" s="694"/>
      <c r="S8" s="694"/>
      <c r="T8" s="694"/>
      <c r="U8" s="694"/>
      <c r="V8" s="694"/>
      <c r="W8" s="694"/>
      <c r="X8" s="694"/>
      <c r="Y8" s="694"/>
      <c r="Z8" s="694"/>
      <c r="AA8" s="694"/>
      <c r="AB8" s="694"/>
      <c r="AC8" s="694"/>
      <c r="AD8" s="694"/>
      <c r="AE8" s="694"/>
      <c r="AF8" s="694"/>
      <c r="AG8" s="694"/>
      <c r="AH8" s="694"/>
      <c r="AI8" s="694"/>
      <c r="AJ8" s="694"/>
      <c r="AK8" s="694"/>
    </row>
    <row r="9" spans="1:37" s="336" customFormat="1" ht="16.5" customHeight="1">
      <c r="A9" s="338"/>
      <c r="B9" s="541"/>
      <c r="C9" s="704"/>
      <c r="D9" s="705"/>
      <c r="E9" s="706"/>
      <c r="F9" s="604"/>
      <c r="G9" s="604"/>
      <c r="H9" s="604"/>
      <c r="I9" s="605" t="e">
        <f>I7*0.3</f>
        <v>#REF!</v>
      </c>
      <c r="J9" s="348"/>
      <c r="K9" s="694"/>
      <c r="L9" s="694"/>
      <c r="M9" s="694"/>
      <c r="N9" s="694"/>
      <c r="O9" s="694"/>
      <c r="P9" s="694"/>
      <c r="Q9" s="694"/>
      <c r="R9" s="694"/>
      <c r="S9" s="694"/>
      <c r="T9" s="694"/>
      <c r="U9" s="694"/>
      <c r="V9" s="694"/>
      <c r="W9" s="694"/>
      <c r="X9" s="694"/>
      <c r="Y9" s="694"/>
      <c r="Z9" s="694"/>
      <c r="AA9" s="694"/>
      <c r="AB9" s="694"/>
      <c r="AC9" s="694"/>
      <c r="AD9" s="694"/>
      <c r="AE9" s="694"/>
      <c r="AF9" s="694"/>
      <c r="AG9" s="694"/>
      <c r="AH9" s="694"/>
      <c r="AI9" s="694"/>
      <c r="AJ9" s="694"/>
      <c r="AK9" s="694"/>
    </row>
    <row r="10" spans="1:37" s="336" customFormat="1" ht="16.5" customHeight="1" thickBot="1">
      <c r="A10" s="338"/>
      <c r="B10" s="541"/>
      <c r="C10" s="704"/>
      <c r="D10" s="705"/>
      <c r="E10" s="706"/>
      <c r="F10" s="604"/>
      <c r="G10" s="604"/>
      <c r="H10" s="604"/>
      <c r="I10" s="603"/>
      <c r="J10" s="348"/>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row>
    <row r="11" spans="1:37" ht="36" customHeight="1" thickBot="1">
      <c r="B11" s="1213" t="s">
        <v>107</v>
      </c>
      <c r="C11" s="707"/>
      <c r="D11" s="635"/>
      <c r="F11" s="635"/>
      <c r="G11" s="612" t="str">
        <f>IF(M19=2,"If yes then no credits awarded","")</f>
        <v/>
      </c>
      <c r="L11" s="720"/>
    </row>
    <row r="12" spans="1:37">
      <c r="B12" s="586"/>
      <c r="C12" s="708"/>
      <c r="D12" s="635"/>
      <c r="E12" s="635"/>
      <c r="F12" s="612"/>
      <c r="G12" s="612"/>
    </row>
    <row r="13" spans="1:37">
      <c r="B13" s="586"/>
      <c r="C13" s="708"/>
      <c r="D13" s="635"/>
      <c r="E13" s="635"/>
      <c r="F13" s="612"/>
      <c r="G13" s="612"/>
      <c r="L13" s="714" t="str">
        <f>VLOOKUP(O14,M55:N106,2)</f>
        <v>Upper Karoo</v>
      </c>
    </row>
    <row r="14" spans="1:37">
      <c r="B14" s="1213" t="s">
        <v>1127</v>
      </c>
      <c r="C14" s="708"/>
      <c r="D14" s="635"/>
      <c r="E14" s="635"/>
      <c r="F14" s="636"/>
      <c r="G14" s="637"/>
      <c r="L14" s="714" t="str">
        <f ca="1">INDEX(INDIRECT(SUBSTITUTE(L13," ","_")),O16,0)</f>
        <v xml:space="preserve">Northern Upper Karoo </v>
      </c>
      <c r="O14" s="714">
        <v>45</v>
      </c>
    </row>
    <row r="15" spans="1:37">
      <c r="B15" s="580"/>
      <c r="C15" s="708"/>
      <c r="D15" s="635"/>
      <c r="E15" s="635"/>
      <c r="F15" s="636"/>
      <c r="G15" s="637"/>
    </row>
    <row r="16" spans="1:37">
      <c r="B16" s="1213" t="s">
        <v>631</v>
      </c>
      <c r="C16" s="708"/>
      <c r="D16" s="635"/>
      <c r="E16" s="635"/>
      <c r="F16" s="637"/>
      <c r="G16" s="637"/>
      <c r="O16" s="714">
        <v>3</v>
      </c>
    </row>
    <row r="17" spans="2:37" hidden="1">
      <c r="B17" s="580"/>
      <c r="C17" s="708"/>
      <c r="D17" s="635"/>
      <c r="E17" s="635"/>
      <c r="F17" s="612"/>
      <c r="G17" s="612"/>
    </row>
    <row r="18" spans="2:37" hidden="1">
      <c r="B18" s="586"/>
      <c r="C18" s="708"/>
      <c r="D18" s="635"/>
      <c r="E18" s="635"/>
      <c r="F18" s="612"/>
      <c r="G18" s="612"/>
    </row>
    <row r="19" spans="2:37" ht="14.25" hidden="1" customHeight="1">
      <c r="C19" s="708"/>
      <c r="D19" s="635"/>
      <c r="E19" s="635"/>
      <c r="F19" s="612"/>
      <c r="G19" s="612"/>
      <c r="M19" s="721">
        <v>1</v>
      </c>
      <c r="O19" s="714">
        <v>1</v>
      </c>
      <c r="P19" s="714" t="s">
        <v>368</v>
      </c>
    </row>
    <row r="20" spans="2:37" ht="18" hidden="1">
      <c r="B20" s="577"/>
      <c r="D20" s="701"/>
      <c r="E20" s="701"/>
      <c r="F20" s="610"/>
      <c r="G20" s="610"/>
      <c r="O20" s="714">
        <v>2</v>
      </c>
      <c r="P20" s="714" t="s">
        <v>588</v>
      </c>
    </row>
    <row r="21" spans="2:37" ht="13.5" customHeight="1" thickBot="1">
      <c r="B21" s="577"/>
      <c r="D21" s="701"/>
      <c r="E21" s="701"/>
      <c r="F21" s="610"/>
      <c r="G21" s="610"/>
    </row>
    <row r="22" spans="2:37" ht="18.75" thickBot="1">
      <c r="B22" s="1214"/>
      <c r="C22" s="1215" t="s">
        <v>1128</v>
      </c>
      <c r="D22" s="1215" t="s">
        <v>1128</v>
      </c>
      <c r="E22" s="1216" t="s">
        <v>1128</v>
      </c>
      <c r="F22" s="2660" t="s">
        <v>1129</v>
      </c>
      <c r="G22" s="2661"/>
      <c r="H22" s="2660" t="s">
        <v>1130</v>
      </c>
      <c r="I22" s="2662"/>
      <c r="J22" s="2661"/>
    </row>
    <row r="23" spans="2:37" s="583" customFormat="1" ht="51.75" thickBot="1">
      <c r="B23" s="1217" t="s">
        <v>1131</v>
      </c>
      <c r="C23" s="1218" t="s">
        <v>632</v>
      </c>
      <c r="D23" s="1218" t="s">
        <v>633</v>
      </c>
      <c r="E23" s="1219" t="s">
        <v>1132</v>
      </c>
      <c r="F23" s="1220" t="s">
        <v>537</v>
      </c>
      <c r="G23" s="1220" t="s">
        <v>1133</v>
      </c>
      <c r="H23" s="1220" t="s">
        <v>538</v>
      </c>
      <c r="I23" s="1221" t="s">
        <v>552</v>
      </c>
      <c r="J23" s="1220" t="s">
        <v>1133</v>
      </c>
      <c r="K23" s="722"/>
      <c r="L23" s="722"/>
      <c r="M23" s="714"/>
      <c r="N23" s="722"/>
      <c r="O23" s="714"/>
      <c r="P23" s="723" t="s">
        <v>789</v>
      </c>
      <c r="Q23" s="724" t="s">
        <v>1135</v>
      </c>
      <c r="R23" s="714"/>
      <c r="S23" s="697" t="s">
        <v>1136</v>
      </c>
      <c r="T23" s="725" t="s">
        <v>1137</v>
      </c>
      <c r="U23" s="726" t="s">
        <v>369</v>
      </c>
      <c r="V23" s="714"/>
      <c r="W23" s="722"/>
      <c r="X23" s="722"/>
      <c r="Y23" s="722"/>
      <c r="Z23" s="722"/>
      <c r="AA23" s="722"/>
      <c r="AB23" s="722"/>
      <c r="AC23" s="722"/>
      <c r="AD23" s="722"/>
      <c r="AE23" s="722"/>
      <c r="AF23" s="722"/>
      <c r="AG23" s="722"/>
      <c r="AH23" s="722"/>
      <c r="AI23" s="722"/>
      <c r="AJ23" s="722"/>
      <c r="AK23" s="722"/>
    </row>
    <row r="24" spans="2:37" ht="15" customHeight="1">
      <c r="B24" s="1222" t="s">
        <v>1138</v>
      </c>
      <c r="C24" s="1223">
        <f ca="1">IF(AND($L$13="Urban Area and Unallocated",$L$14="Brownfield Site"),2,1)</f>
        <v>1</v>
      </c>
      <c r="D24" s="1223">
        <v>1</v>
      </c>
      <c r="E24" s="1224">
        <v>0</v>
      </c>
      <c r="F24" s="638"/>
      <c r="G24" s="613">
        <f t="shared" ref="G24:G41" ca="1" si="0">C24*E24*F24*D24</f>
        <v>0</v>
      </c>
      <c r="H24" s="638"/>
      <c r="I24" s="614">
        <v>1</v>
      </c>
      <c r="J24" s="615">
        <f t="shared" ref="J24:J31" ca="1" si="1">H24*E24*C24*I24</f>
        <v>0</v>
      </c>
      <c r="P24" s="727" t="s">
        <v>790</v>
      </c>
      <c r="Q24" s="728">
        <v>2</v>
      </c>
      <c r="S24" s="729" t="s">
        <v>791</v>
      </c>
      <c r="T24" s="730">
        <v>-200</v>
      </c>
      <c r="U24" s="728">
        <v>0</v>
      </c>
    </row>
    <row r="25" spans="2:37" ht="15" customHeight="1">
      <c r="B25" s="1225" t="s">
        <v>1139</v>
      </c>
      <c r="C25" s="1223">
        <f t="shared" ref="C25:C38" ca="1" si="2">IF(AND($L$13="Urban Area and Unallocated",$L$14="Brownfield Site"),2,1)</f>
        <v>1</v>
      </c>
      <c r="D25" s="1223">
        <v>1</v>
      </c>
      <c r="E25" s="1224">
        <v>0</v>
      </c>
      <c r="F25" s="638"/>
      <c r="G25" s="613">
        <f t="shared" ca="1" si="0"/>
        <v>0</v>
      </c>
      <c r="H25" s="638"/>
      <c r="I25" s="614">
        <v>1</v>
      </c>
      <c r="J25" s="615">
        <f t="shared" ca="1" si="1"/>
        <v>0</v>
      </c>
      <c r="O25" s="722"/>
      <c r="P25" s="727" t="s">
        <v>792</v>
      </c>
      <c r="Q25" s="728">
        <v>1</v>
      </c>
      <c r="R25" s="722"/>
      <c r="S25" s="731" t="s">
        <v>793</v>
      </c>
      <c r="T25" s="732">
        <v>1</v>
      </c>
      <c r="U25" s="728">
        <v>1</v>
      </c>
    </row>
    <row r="26" spans="2:37" ht="15" customHeight="1">
      <c r="B26" s="1225" t="s">
        <v>1140</v>
      </c>
      <c r="C26" s="1223">
        <f t="shared" ca="1" si="2"/>
        <v>1</v>
      </c>
      <c r="D26" s="1223">
        <v>1</v>
      </c>
      <c r="E26" s="1224">
        <v>1</v>
      </c>
      <c r="F26" s="638"/>
      <c r="G26" s="613">
        <f t="shared" ca="1" si="0"/>
        <v>0</v>
      </c>
      <c r="H26" s="638"/>
      <c r="I26" s="614">
        <v>1</v>
      </c>
      <c r="J26" s="615">
        <f t="shared" ca="1" si="1"/>
        <v>0</v>
      </c>
      <c r="P26" s="727" t="s">
        <v>794</v>
      </c>
      <c r="Q26" s="728">
        <v>0.25</v>
      </c>
      <c r="S26" s="731" t="s">
        <v>795</v>
      </c>
      <c r="T26" s="727">
        <v>5</v>
      </c>
      <c r="U26" s="728">
        <v>2</v>
      </c>
    </row>
    <row r="27" spans="2:37" ht="15" customHeight="1" thickBot="1">
      <c r="B27" s="1225" t="s">
        <v>1141</v>
      </c>
      <c r="C27" s="1223">
        <f t="shared" ca="1" si="2"/>
        <v>1</v>
      </c>
      <c r="D27" s="1223">
        <v>1</v>
      </c>
      <c r="E27" s="1224">
        <v>2</v>
      </c>
      <c r="F27" s="638"/>
      <c r="G27" s="613">
        <f t="shared" ca="1" si="0"/>
        <v>0</v>
      </c>
      <c r="H27" s="638"/>
      <c r="I27" s="614">
        <v>1</v>
      </c>
      <c r="J27" s="615">
        <f t="shared" ca="1" si="1"/>
        <v>0</v>
      </c>
      <c r="P27" s="733" t="s">
        <v>796</v>
      </c>
      <c r="Q27" s="734">
        <v>0.5</v>
      </c>
      <c r="S27" s="731" t="s">
        <v>1142</v>
      </c>
      <c r="T27" s="727">
        <v>15</v>
      </c>
      <c r="U27" s="728">
        <v>3</v>
      </c>
    </row>
    <row r="28" spans="2:37" ht="15" customHeight="1" thickBot="1">
      <c r="B28" s="1225" t="s">
        <v>1143</v>
      </c>
      <c r="C28" s="1223">
        <f t="shared" ca="1" si="2"/>
        <v>1</v>
      </c>
      <c r="D28" s="1223">
        <v>1</v>
      </c>
      <c r="E28" s="1224">
        <v>5</v>
      </c>
      <c r="F28" s="638"/>
      <c r="G28" s="613">
        <f t="shared" ca="1" si="0"/>
        <v>0</v>
      </c>
      <c r="H28" s="638"/>
      <c r="I28" s="614">
        <v>1</v>
      </c>
      <c r="J28" s="615">
        <f t="shared" ca="1" si="1"/>
        <v>0</v>
      </c>
      <c r="S28" s="735" t="s">
        <v>1144</v>
      </c>
      <c r="T28" s="733">
        <v>25</v>
      </c>
      <c r="U28" s="734">
        <v>4</v>
      </c>
    </row>
    <row r="29" spans="2:37" ht="15" customHeight="1">
      <c r="B29" s="1225" t="s">
        <v>797</v>
      </c>
      <c r="C29" s="1223">
        <f t="shared" ca="1" si="2"/>
        <v>1</v>
      </c>
      <c r="D29" s="1223">
        <v>1</v>
      </c>
      <c r="E29" s="1224">
        <v>10</v>
      </c>
      <c r="F29" s="638"/>
      <c r="G29" s="613">
        <f t="shared" ca="1" si="0"/>
        <v>0</v>
      </c>
      <c r="H29" s="638"/>
      <c r="I29" s="614">
        <v>1</v>
      </c>
      <c r="J29" s="615">
        <f t="shared" ca="1" si="1"/>
        <v>0</v>
      </c>
    </row>
    <row r="30" spans="2:37" ht="15" customHeight="1" thickBot="1">
      <c r="B30" s="1225" t="s">
        <v>798</v>
      </c>
      <c r="C30" s="1223">
        <f t="shared" ca="1" si="2"/>
        <v>1</v>
      </c>
      <c r="D30" s="1223">
        <v>1</v>
      </c>
      <c r="E30" s="1224">
        <v>10</v>
      </c>
      <c r="F30" s="638"/>
      <c r="G30" s="613">
        <f t="shared" ca="1" si="0"/>
        <v>0</v>
      </c>
      <c r="H30" s="638"/>
      <c r="I30" s="614">
        <v>1</v>
      </c>
      <c r="J30" s="615">
        <f t="shared" ca="1" si="1"/>
        <v>0</v>
      </c>
      <c r="P30" s="698"/>
      <c r="Q30" s="698"/>
    </row>
    <row r="31" spans="2:37" ht="15" customHeight="1" thickBot="1">
      <c r="B31" s="1225" t="s">
        <v>1145</v>
      </c>
      <c r="C31" s="1223">
        <f t="shared" ca="1" si="2"/>
        <v>1</v>
      </c>
      <c r="D31" s="1223">
        <v>1</v>
      </c>
      <c r="E31" s="1224">
        <v>5</v>
      </c>
      <c r="F31" s="638"/>
      <c r="G31" s="613">
        <f t="shared" ca="1" si="0"/>
        <v>0</v>
      </c>
      <c r="H31" s="638"/>
      <c r="I31" s="614">
        <v>1</v>
      </c>
      <c r="J31" s="615">
        <f t="shared" ca="1" si="1"/>
        <v>0</v>
      </c>
      <c r="P31" s="736" t="s">
        <v>1146</v>
      </c>
      <c r="Q31" s="737">
        <v>2</v>
      </c>
    </row>
    <row r="32" spans="2:37" ht="15" customHeight="1" thickBot="1">
      <c r="B32" s="1225" t="s">
        <v>625</v>
      </c>
      <c r="C32" s="1223">
        <f ca="1">IF(AND($L$13="Urban Area and Unallocated",$L$14="Brownfield Site"),0,1)</f>
        <v>1</v>
      </c>
      <c r="D32" s="1223">
        <f ca="1">IF($L$14 ="&lt;Don't know&gt;",$Q$34,1)</f>
        <v>1</v>
      </c>
      <c r="E32" s="1224">
        <v>25</v>
      </c>
      <c r="F32" s="638"/>
      <c r="G32" s="613">
        <f t="shared" ca="1" si="0"/>
        <v>0</v>
      </c>
      <c r="H32" s="638"/>
      <c r="I32" s="614">
        <v>1</v>
      </c>
      <c r="J32" s="615">
        <f ca="1">IF(H32&gt;F32,G32,H32*E32*I32*C32)</f>
        <v>0</v>
      </c>
      <c r="P32" s="736" t="s">
        <v>1147</v>
      </c>
      <c r="Q32" s="737" t="str">
        <f ca="1">VLOOKUP(L14,B52:E573,4,FALSE)</f>
        <v>LT</v>
      </c>
    </row>
    <row r="33" spans="2:37" ht="15" customHeight="1" thickBot="1">
      <c r="B33" s="1225" t="s">
        <v>1149</v>
      </c>
      <c r="C33" s="1223">
        <f ca="1">IF(AND($L$13="Urban Area and Unallocated",$L$14="Brownfield Site"),0,1)</f>
        <v>1</v>
      </c>
      <c r="D33" s="1223">
        <v>1</v>
      </c>
      <c r="E33" s="1224">
        <v>5</v>
      </c>
      <c r="F33" s="638"/>
      <c r="G33" s="613">
        <f t="shared" ca="1" si="0"/>
        <v>0</v>
      </c>
      <c r="H33" s="638"/>
      <c r="I33" s="614">
        <v>1</v>
      </c>
      <c r="J33" s="615">
        <f ca="1">H33*E33*C33*I33</f>
        <v>0</v>
      </c>
      <c r="P33" s="698"/>
      <c r="Q33" s="698"/>
      <c r="S33" s="738" t="s">
        <v>1148</v>
      </c>
      <c r="T33" s="698">
        <f>VLOOKUP(F44,T24:U28,2)</f>
        <v>0</v>
      </c>
    </row>
    <row r="34" spans="2:37" ht="15" customHeight="1" thickBot="1">
      <c r="B34" s="1225" t="s">
        <v>1004</v>
      </c>
      <c r="C34" s="1223">
        <f ca="1">IF(AND($L$13="Urban Area and Unallocated",$L$14="Brownfield Site"),0,1)</f>
        <v>1</v>
      </c>
      <c r="D34" s="1223">
        <f ca="1">IF($L$14 ="&lt;Don't know&gt;",$Q$34,1)</f>
        <v>1</v>
      </c>
      <c r="E34" s="1224">
        <v>75</v>
      </c>
      <c r="F34" s="638"/>
      <c r="G34" s="613">
        <f t="shared" ca="1" si="0"/>
        <v>0</v>
      </c>
      <c r="H34" s="638"/>
      <c r="I34" s="614">
        <v>1</v>
      </c>
      <c r="J34" s="615">
        <f ca="1">IF(H34&gt;F34,G34,H34*E34*I34*C34)</f>
        <v>0</v>
      </c>
      <c r="P34" s="736" t="s">
        <v>593</v>
      </c>
      <c r="Q34" s="739">
        <f ca="1">VLOOKUP(Q32,P24:Q27,2)</f>
        <v>0.25</v>
      </c>
      <c r="S34" s="738" t="s">
        <v>1150</v>
      </c>
      <c r="T34" s="698">
        <f>M19</f>
        <v>1</v>
      </c>
      <c r="U34" s="714" t="s">
        <v>1151</v>
      </c>
    </row>
    <row r="35" spans="2:37" ht="15" customHeight="1">
      <c r="B35" s="1225" t="s">
        <v>984</v>
      </c>
      <c r="C35" s="1223">
        <f ca="1">IF(AND($L$13="Urban Area and Unallocated",$L$14="Brownfield Site"),0,1)</f>
        <v>1</v>
      </c>
      <c r="D35" s="1223">
        <f ca="1">IF($L$14 ="&lt;Don't know&gt;",$Q$34,1)</f>
        <v>1</v>
      </c>
      <c r="E35" s="1224">
        <v>100</v>
      </c>
      <c r="F35" s="638"/>
      <c r="G35" s="613">
        <f t="shared" ca="1" si="0"/>
        <v>0</v>
      </c>
      <c r="H35" s="638"/>
      <c r="I35" s="614">
        <v>1</v>
      </c>
      <c r="J35" s="615">
        <f ca="1">IF(H35&gt;F35,G35,H35*E35*I35*C35)</f>
        <v>0</v>
      </c>
      <c r="S35" s="738" t="s">
        <v>594</v>
      </c>
      <c r="T35" s="740">
        <f>IF(T34=2,0,T33)</f>
        <v>0</v>
      </c>
    </row>
    <row r="36" spans="2:37" ht="15" customHeight="1">
      <c r="B36" s="1225" t="s">
        <v>108</v>
      </c>
      <c r="C36" s="1223">
        <f t="shared" ca="1" si="2"/>
        <v>1</v>
      </c>
      <c r="D36" s="1223">
        <v>1</v>
      </c>
      <c r="E36" s="1224">
        <v>50</v>
      </c>
      <c r="F36" s="638"/>
      <c r="G36" s="613">
        <f t="shared" ca="1" si="0"/>
        <v>0</v>
      </c>
      <c r="H36" s="638"/>
      <c r="I36" s="614">
        <f ca="1">IF($L$14 ="&lt;Don't know&gt;",0,1)</f>
        <v>1</v>
      </c>
      <c r="J36" s="615">
        <f ca="1">H36*E36*C36*I36</f>
        <v>0</v>
      </c>
    </row>
    <row r="37" spans="2:37" ht="15" customHeight="1">
      <c r="B37" s="1225" t="s">
        <v>109</v>
      </c>
      <c r="C37" s="1223">
        <f t="shared" ca="1" si="2"/>
        <v>1</v>
      </c>
      <c r="D37" s="1223">
        <v>1</v>
      </c>
      <c r="E37" s="1224">
        <v>5</v>
      </c>
      <c r="F37" s="638"/>
      <c r="G37" s="613">
        <f t="shared" ca="1" si="0"/>
        <v>0</v>
      </c>
      <c r="H37" s="638"/>
      <c r="I37" s="614">
        <v>1</v>
      </c>
      <c r="J37" s="615">
        <f ca="1">H37*E37*C37*I37</f>
        <v>0</v>
      </c>
      <c r="S37" s="721" t="s">
        <v>595</v>
      </c>
    </row>
    <row r="38" spans="2:37" ht="15" customHeight="1">
      <c r="B38" s="1225" t="s">
        <v>110</v>
      </c>
      <c r="C38" s="1223">
        <f t="shared" ca="1" si="2"/>
        <v>1</v>
      </c>
      <c r="D38" s="1223">
        <v>1</v>
      </c>
      <c r="E38" s="1224">
        <v>20</v>
      </c>
      <c r="F38" s="638"/>
      <c r="G38" s="613">
        <f t="shared" ca="1" si="0"/>
        <v>0</v>
      </c>
      <c r="H38" s="638"/>
      <c r="I38" s="614">
        <v>1</v>
      </c>
      <c r="J38" s="615">
        <f ca="1">H38*E38*C38*I38</f>
        <v>0</v>
      </c>
      <c r="P38" s="738"/>
      <c r="Q38" s="698"/>
      <c r="S38" s="714" t="s">
        <v>371</v>
      </c>
    </row>
    <row r="39" spans="2:37" ht="15" customHeight="1">
      <c r="B39" s="1225" t="s">
        <v>484</v>
      </c>
      <c r="C39" s="1223">
        <f ca="1">IF(AND($L$13="Urban Area and Unallocated",$L$14="Brownfield Site"),0,1)</f>
        <v>1</v>
      </c>
      <c r="D39" s="1223">
        <f ca="1">IF($L$14 ="&lt;Don't know&gt;",$Q$34,1)</f>
        <v>1</v>
      </c>
      <c r="E39" s="1224">
        <v>50</v>
      </c>
      <c r="F39" s="638"/>
      <c r="G39" s="613">
        <f t="shared" ca="1" si="0"/>
        <v>0</v>
      </c>
      <c r="H39" s="638"/>
      <c r="I39" s="614">
        <f ca="1">IF($L$14 ="&lt;Don't know&gt;",0,1)</f>
        <v>1</v>
      </c>
      <c r="J39" s="615">
        <f ca="1">H39*E39*C39*I39</f>
        <v>0</v>
      </c>
      <c r="P39" s="738"/>
      <c r="Q39" s="740"/>
      <c r="R39" s="698"/>
      <c r="S39" s="738" t="s">
        <v>372</v>
      </c>
      <c r="T39" s="740">
        <f>IF(H42=F42,T35,0)</f>
        <v>0</v>
      </c>
    </row>
    <row r="40" spans="2:37" ht="15" customHeight="1">
      <c r="B40" s="1225" t="s">
        <v>904</v>
      </c>
      <c r="C40" s="1223">
        <f ca="1">IF(AND($L$13="Urban Area and Unallocated",$L$14="Brownfield Site"),0,1)</f>
        <v>1</v>
      </c>
      <c r="D40" s="1223">
        <f ca="1">IF($L$14 ="&lt;Don't know&gt;",$Q$34,1)</f>
        <v>1</v>
      </c>
      <c r="E40" s="1224">
        <v>75</v>
      </c>
      <c r="F40" s="638"/>
      <c r="G40" s="613">
        <f t="shared" ca="1" si="0"/>
        <v>0</v>
      </c>
      <c r="H40" s="638"/>
      <c r="I40" s="614">
        <v>1</v>
      </c>
      <c r="J40" s="615">
        <f ca="1">IF(H40&gt;F40,G40,H40*E40*I40*C40)</f>
        <v>0</v>
      </c>
      <c r="P40" s="738"/>
      <c r="Q40" s="698"/>
      <c r="R40" s="698"/>
    </row>
    <row r="41" spans="2:37" ht="15" customHeight="1">
      <c r="B41" s="1225" t="s">
        <v>905</v>
      </c>
      <c r="C41" s="1223">
        <f ca="1">IF(AND($L$13="Urban Area and Unallocated",$L$14="Brownfield Site"),0,1)</f>
        <v>1</v>
      </c>
      <c r="D41" s="1223">
        <f ca="1">IF($L$14 ="&lt;Don't know&gt;",$Q$34,1)</f>
        <v>1</v>
      </c>
      <c r="E41" s="1224">
        <v>100</v>
      </c>
      <c r="F41" s="639"/>
      <c r="G41" s="613">
        <f t="shared" ca="1" si="0"/>
        <v>0</v>
      </c>
      <c r="H41" s="638"/>
      <c r="I41" s="614">
        <v>1</v>
      </c>
      <c r="J41" s="615">
        <f ca="1">IF(H41&gt;F41,G41,H41*E41*I41*C41)</f>
        <v>0</v>
      </c>
      <c r="K41" s="721"/>
      <c r="L41" s="721"/>
      <c r="M41" s="721"/>
      <c r="N41" s="721"/>
      <c r="P41" s="738"/>
      <c r="Q41" s="741"/>
      <c r="R41" s="742"/>
    </row>
    <row r="42" spans="2:37" ht="16.5" customHeight="1">
      <c r="B42" s="1226" t="s">
        <v>261</v>
      </c>
      <c r="C42" s="1224"/>
      <c r="D42" s="1224"/>
      <c r="E42" s="1223"/>
      <c r="F42" s="255">
        <f>SUM(F24:F41)</f>
        <v>0</v>
      </c>
      <c r="G42" s="255">
        <f ca="1">SUM(G24:G41)</f>
        <v>0</v>
      </c>
      <c r="H42" s="255">
        <f>SUM(H24:H41)</f>
        <v>0</v>
      </c>
      <c r="I42" s="616"/>
      <c r="J42" s="617">
        <f ca="1">SUM(J24:J41)</f>
        <v>0</v>
      </c>
      <c r="R42" s="698"/>
    </row>
    <row r="43" spans="2:37" ht="18" customHeight="1" thickBot="1">
      <c r="B43" s="1227" t="s">
        <v>486</v>
      </c>
      <c r="C43" s="709"/>
      <c r="D43" s="709"/>
      <c r="E43" s="709"/>
      <c r="G43" s="256">
        <f>IF(F42=0,0,G42/F42)</f>
        <v>0</v>
      </c>
      <c r="I43" s="618"/>
      <c r="J43" s="256">
        <f>IF(H42=0,0,J42/H42)</f>
        <v>0</v>
      </c>
    </row>
    <row r="44" spans="2:37" s="620" customFormat="1" ht="19.5" customHeight="1" thickBot="1">
      <c r="B44" s="1227" t="s">
        <v>895</v>
      </c>
      <c r="C44" s="709"/>
      <c r="D44" s="709"/>
      <c r="E44" s="709"/>
      <c r="F44" s="257">
        <f>J43-G43</f>
        <v>0</v>
      </c>
      <c r="G44" s="358"/>
      <c r="H44" s="619"/>
      <c r="I44" s="580"/>
      <c r="J44" s="580"/>
      <c r="K44" s="714"/>
      <c r="L44" s="714"/>
      <c r="M44" s="714"/>
      <c r="N44" s="714"/>
      <c r="O44" s="714"/>
      <c r="P44" s="714"/>
      <c r="Q44" s="714"/>
      <c r="R44" s="714"/>
      <c r="S44" s="723" t="s">
        <v>1134</v>
      </c>
      <c r="T44" s="2658" t="s">
        <v>516</v>
      </c>
      <c r="U44" s="2659"/>
      <c r="V44" s="743"/>
      <c r="W44" s="743"/>
      <c r="X44" s="743"/>
      <c r="Y44" s="743"/>
      <c r="Z44" s="743"/>
      <c r="AA44" s="743"/>
      <c r="AB44" s="743"/>
      <c r="AC44" s="743"/>
      <c r="AD44" s="743"/>
      <c r="AE44" s="743"/>
      <c r="AF44" s="743"/>
      <c r="AG44" s="743"/>
      <c r="AH44" s="743"/>
      <c r="AI44" s="743"/>
      <c r="AJ44" s="743"/>
      <c r="AK44" s="743"/>
    </row>
    <row r="45" spans="2:37" ht="18">
      <c r="B45" s="1228" t="s">
        <v>258</v>
      </c>
      <c r="C45" s="710"/>
      <c r="D45" s="710"/>
      <c r="E45" s="710"/>
      <c r="F45" s="258">
        <f>IF(F42=0,0,T39)</f>
        <v>0</v>
      </c>
      <c r="G45" s="359"/>
      <c r="H45" s="360" t="str">
        <f>IF(H42=F42,"","Error - Check Areas")</f>
        <v/>
      </c>
      <c r="I45" s="621"/>
      <c r="J45" s="621"/>
      <c r="K45" s="743"/>
      <c r="L45" s="743"/>
      <c r="M45" s="743"/>
      <c r="N45" s="743"/>
      <c r="P45" s="743"/>
      <c r="Q45" s="743"/>
      <c r="S45" s="744" t="s">
        <v>790</v>
      </c>
      <c r="T45" s="745" t="s">
        <v>111</v>
      </c>
      <c r="U45" s="746"/>
    </row>
    <row r="46" spans="2:37" ht="18">
      <c r="B46" s="473" t="s">
        <v>896</v>
      </c>
      <c r="R46" s="743"/>
      <c r="S46" s="747" t="s">
        <v>792</v>
      </c>
      <c r="T46" s="2654" t="s">
        <v>112</v>
      </c>
      <c r="U46" s="2655"/>
    </row>
    <row r="47" spans="2:37" ht="18">
      <c r="O47" s="743"/>
      <c r="S47" s="747" t="s">
        <v>794</v>
      </c>
      <c r="T47" s="748" t="s">
        <v>113</v>
      </c>
      <c r="U47" s="749"/>
    </row>
    <row r="48" spans="2:37" ht="13.5" thickBot="1">
      <c r="S48" s="750" t="s">
        <v>796</v>
      </c>
      <c r="T48" s="2656" t="s">
        <v>114</v>
      </c>
      <c r="U48" s="2657"/>
    </row>
    <row r="49" spans="1:37">
      <c r="A49" s="580"/>
      <c r="B49" s="580"/>
      <c r="C49" s="708"/>
      <c r="D49" s="708"/>
      <c r="E49" s="708"/>
      <c r="F49" s="580"/>
      <c r="G49" s="580"/>
      <c r="H49" s="580"/>
      <c r="I49" s="580"/>
      <c r="M49" s="698"/>
      <c r="N49" s="698"/>
    </row>
    <row r="50" spans="1:37" s="626" customFormat="1" ht="15.75" hidden="1">
      <c r="A50" s="622"/>
      <c r="B50" s="623" t="s">
        <v>897</v>
      </c>
      <c r="C50" s="711"/>
      <c r="D50" s="712"/>
      <c r="E50" s="712"/>
      <c r="F50" s="625"/>
      <c r="G50" s="624"/>
      <c r="H50" s="624"/>
      <c r="I50" s="624"/>
      <c r="J50" s="623"/>
      <c r="K50" s="751"/>
      <c r="L50" s="751"/>
      <c r="M50" s="751"/>
      <c r="N50" s="751"/>
      <c r="O50" s="751"/>
      <c r="P50" s="751"/>
      <c r="Q50" s="751"/>
      <c r="R50" s="751"/>
      <c r="S50" s="751"/>
      <c r="T50" s="751"/>
      <c r="U50" s="751"/>
      <c r="V50" s="751"/>
      <c r="W50" s="751"/>
      <c r="X50" s="751"/>
      <c r="Y50" s="751"/>
      <c r="Z50" s="751"/>
      <c r="AA50" s="751"/>
      <c r="AB50" s="751"/>
      <c r="AC50" s="751"/>
      <c r="AD50" s="751"/>
      <c r="AE50" s="751"/>
      <c r="AF50" s="751"/>
      <c r="AG50" s="751"/>
      <c r="AH50" s="751"/>
      <c r="AI50" s="751"/>
      <c r="AJ50" s="751"/>
      <c r="AK50" s="751"/>
    </row>
    <row r="51" spans="1:37" s="586" customFormat="1" ht="38.25" hidden="1">
      <c r="A51" s="627"/>
      <c r="B51" s="628" t="s">
        <v>906</v>
      </c>
      <c r="C51" s="696" t="s">
        <v>898</v>
      </c>
      <c r="D51" s="696" t="s">
        <v>899</v>
      </c>
      <c r="E51" s="696" t="s">
        <v>900</v>
      </c>
      <c r="G51" s="629"/>
      <c r="H51" s="629"/>
      <c r="K51" s="752"/>
      <c r="L51" s="752"/>
      <c r="M51" s="752"/>
      <c r="N51" s="752"/>
      <c r="O51" s="752"/>
      <c r="P51" s="752"/>
      <c r="Q51" s="752"/>
      <c r="R51" s="752"/>
      <c r="S51" s="752"/>
      <c r="T51" s="752"/>
      <c r="U51" s="752"/>
      <c r="V51" s="752"/>
      <c r="W51" s="752"/>
      <c r="X51" s="752"/>
      <c r="Y51" s="752"/>
      <c r="Z51" s="752"/>
      <c r="AA51" s="752"/>
      <c r="AB51" s="752"/>
      <c r="AC51" s="752"/>
      <c r="AD51" s="752"/>
      <c r="AE51" s="752"/>
      <c r="AF51" s="752"/>
      <c r="AG51" s="752"/>
      <c r="AH51" s="752"/>
      <c r="AI51" s="752"/>
      <c r="AJ51" s="752"/>
      <c r="AK51" s="752"/>
    </row>
    <row r="52" spans="1:37" s="579" customFormat="1" hidden="1">
      <c r="A52" s="630"/>
      <c r="B52" s="631" t="s">
        <v>677</v>
      </c>
      <c r="C52" s="713"/>
      <c r="D52" s="713"/>
      <c r="E52" s="713"/>
      <c r="F52" s="630"/>
      <c r="G52" s="630"/>
      <c r="H52" s="630"/>
      <c r="I52" s="630"/>
      <c r="J52" s="630"/>
      <c r="K52" s="713"/>
      <c r="L52" s="753"/>
      <c r="M52" s="753"/>
      <c r="N52" s="753"/>
      <c r="O52" s="753"/>
      <c r="P52" s="753"/>
      <c r="Q52" s="753"/>
      <c r="R52" s="753"/>
      <c r="S52" s="753"/>
      <c r="T52" s="753"/>
      <c r="U52" s="753"/>
      <c r="V52" s="753"/>
      <c r="W52" s="753"/>
      <c r="X52" s="753"/>
      <c r="Y52" s="753"/>
      <c r="Z52" s="753"/>
      <c r="AA52" s="753"/>
      <c r="AB52" s="753"/>
      <c r="AC52" s="753"/>
      <c r="AD52" s="753"/>
      <c r="AE52" s="753"/>
      <c r="AF52" s="753"/>
      <c r="AG52" s="753"/>
      <c r="AH52" s="753"/>
      <c r="AI52" s="753"/>
      <c r="AJ52" s="753"/>
      <c r="AK52" s="753"/>
    </row>
    <row r="53" spans="1:37" s="579" customFormat="1" ht="12.75" hidden="1" customHeight="1">
      <c r="A53" s="630">
        <v>1</v>
      </c>
      <c r="B53" s="632" t="s">
        <v>901</v>
      </c>
      <c r="C53" s="713" t="s">
        <v>902</v>
      </c>
      <c r="D53" s="713">
        <v>1</v>
      </c>
      <c r="E53" s="713" t="s">
        <v>790</v>
      </c>
      <c r="F53" s="630" t="s">
        <v>903</v>
      </c>
      <c r="G53" s="630"/>
      <c r="H53" s="630"/>
      <c r="I53" s="630"/>
      <c r="J53" s="630"/>
      <c r="K53" s="713"/>
      <c r="L53" s="753"/>
      <c r="M53" s="753"/>
      <c r="N53" s="753"/>
      <c r="O53" s="753"/>
      <c r="P53" s="753"/>
      <c r="Q53" s="753"/>
      <c r="R53" s="753"/>
      <c r="S53" s="753"/>
      <c r="T53" s="753"/>
      <c r="U53" s="753"/>
      <c r="V53" s="753"/>
      <c r="W53" s="753"/>
      <c r="X53" s="753"/>
      <c r="Y53" s="753"/>
      <c r="Z53" s="753"/>
      <c r="AA53" s="753"/>
      <c r="AB53" s="753"/>
      <c r="AC53" s="753"/>
      <c r="AD53" s="753"/>
      <c r="AE53" s="753"/>
      <c r="AF53" s="753"/>
      <c r="AG53" s="753"/>
      <c r="AH53" s="753"/>
      <c r="AI53" s="753"/>
      <c r="AJ53" s="753"/>
      <c r="AK53" s="753"/>
    </row>
    <row r="54" spans="1:37" s="579" customFormat="1" ht="12.75" hidden="1" customHeight="1">
      <c r="A54" s="630">
        <v>2</v>
      </c>
      <c r="B54" s="632" t="s">
        <v>880</v>
      </c>
      <c r="C54" s="713" t="s">
        <v>902</v>
      </c>
      <c r="D54" s="713">
        <v>2</v>
      </c>
      <c r="E54" s="713" t="s">
        <v>790</v>
      </c>
      <c r="F54" s="630" t="s">
        <v>1201</v>
      </c>
      <c r="G54" s="630"/>
      <c r="H54" s="630"/>
      <c r="I54" s="630"/>
      <c r="J54" s="630"/>
      <c r="K54" s="713"/>
      <c r="L54" s="753"/>
      <c r="M54" s="754" t="s">
        <v>1202</v>
      </c>
      <c r="N54" s="754" t="s">
        <v>906</v>
      </c>
      <c r="O54" s="753"/>
      <c r="P54" s="753"/>
      <c r="Q54" s="753"/>
      <c r="R54" s="753"/>
      <c r="S54" s="753"/>
      <c r="T54" s="753"/>
      <c r="U54" s="753"/>
      <c r="V54" s="753"/>
      <c r="W54" s="753"/>
      <c r="X54" s="753"/>
      <c r="Y54" s="753"/>
      <c r="Z54" s="753"/>
      <c r="AA54" s="753"/>
      <c r="AB54" s="753"/>
      <c r="AC54" s="753"/>
      <c r="AD54" s="753"/>
      <c r="AE54" s="753"/>
      <c r="AF54" s="753"/>
      <c r="AG54" s="753"/>
      <c r="AH54" s="753"/>
      <c r="AI54" s="753"/>
      <c r="AJ54" s="753"/>
      <c r="AK54" s="753"/>
    </row>
    <row r="55" spans="1:37" s="579" customFormat="1" hidden="1">
      <c r="A55" s="630"/>
      <c r="B55" s="631" t="s">
        <v>1203</v>
      </c>
      <c r="C55" s="713"/>
      <c r="D55" s="713"/>
      <c r="E55" s="713"/>
      <c r="F55" s="630"/>
      <c r="G55" s="630"/>
      <c r="H55" s="630"/>
      <c r="I55" s="630"/>
      <c r="J55" s="630"/>
      <c r="K55" s="713"/>
      <c r="L55" s="753"/>
      <c r="M55" s="709">
        <v>1</v>
      </c>
      <c r="N55" s="713" t="s">
        <v>1203</v>
      </c>
      <c r="O55" s="753"/>
      <c r="P55" s="753"/>
      <c r="Q55" s="753"/>
      <c r="R55" s="753"/>
      <c r="S55" s="753"/>
      <c r="T55" s="753"/>
      <c r="U55" s="753"/>
      <c r="V55" s="753"/>
      <c r="W55" s="753"/>
      <c r="X55" s="753"/>
      <c r="Y55" s="753"/>
      <c r="Z55" s="753"/>
      <c r="AA55" s="753"/>
      <c r="AB55" s="753"/>
      <c r="AC55" s="753"/>
      <c r="AD55" s="753"/>
      <c r="AE55" s="753"/>
      <c r="AF55" s="753"/>
      <c r="AG55" s="753"/>
      <c r="AH55" s="753"/>
      <c r="AI55" s="753"/>
      <c r="AJ55" s="753"/>
      <c r="AK55" s="753"/>
    </row>
    <row r="56" spans="1:37" s="579" customFormat="1" hidden="1">
      <c r="A56" s="630">
        <v>1</v>
      </c>
      <c r="B56" s="632" t="s">
        <v>901</v>
      </c>
      <c r="C56" s="713" t="s">
        <v>902</v>
      </c>
      <c r="D56" s="713">
        <v>1</v>
      </c>
      <c r="E56" s="713" t="s">
        <v>790</v>
      </c>
      <c r="F56" s="630"/>
      <c r="G56" s="630"/>
      <c r="H56" s="630"/>
      <c r="I56" s="630"/>
      <c r="J56" s="630"/>
      <c r="K56" s="713"/>
      <c r="L56" s="753"/>
      <c r="M56" s="709">
        <v>2</v>
      </c>
      <c r="N56" s="713" t="s">
        <v>1092</v>
      </c>
      <c r="O56" s="753"/>
      <c r="P56" s="753"/>
      <c r="Q56" s="753"/>
      <c r="R56" s="753"/>
      <c r="S56" s="753"/>
      <c r="T56" s="753"/>
      <c r="U56" s="753"/>
      <c r="V56" s="753"/>
      <c r="W56" s="753"/>
      <c r="X56" s="753"/>
      <c r="Y56" s="753"/>
      <c r="Z56" s="753"/>
      <c r="AA56" s="753"/>
      <c r="AB56" s="753"/>
      <c r="AC56" s="753"/>
      <c r="AD56" s="753"/>
      <c r="AE56" s="753"/>
      <c r="AF56" s="753"/>
      <c r="AG56" s="753"/>
      <c r="AH56" s="753"/>
      <c r="AI56" s="753"/>
      <c r="AJ56" s="753"/>
      <c r="AK56" s="753"/>
    </row>
    <row r="57" spans="1:37" s="579" customFormat="1" hidden="1">
      <c r="A57" s="630">
        <v>2</v>
      </c>
      <c r="B57" s="632" t="s">
        <v>573</v>
      </c>
      <c r="C57" s="713">
        <v>833</v>
      </c>
      <c r="D57" s="713">
        <v>2</v>
      </c>
      <c r="E57" s="713" t="s">
        <v>243</v>
      </c>
      <c r="F57" s="630">
        <v>326915</v>
      </c>
      <c r="G57" s="630">
        <v>263815</v>
      </c>
      <c r="H57" s="630">
        <v>81</v>
      </c>
      <c r="I57" s="630">
        <v>1</v>
      </c>
      <c r="J57" s="630">
        <v>19</v>
      </c>
      <c r="K57" s="713" t="s">
        <v>574</v>
      </c>
      <c r="L57" s="753"/>
      <c r="M57" s="709">
        <v>3</v>
      </c>
      <c r="N57" s="713" t="s">
        <v>1095</v>
      </c>
      <c r="O57" s="753"/>
      <c r="P57" s="753"/>
      <c r="Q57" s="753"/>
      <c r="R57" s="753"/>
      <c r="S57" s="753"/>
      <c r="T57" s="753"/>
      <c r="U57" s="753"/>
      <c r="V57" s="753"/>
      <c r="W57" s="753"/>
      <c r="X57" s="753"/>
      <c r="Y57" s="753"/>
      <c r="Z57" s="753"/>
      <c r="AA57" s="753"/>
      <c r="AB57" s="753"/>
      <c r="AC57" s="753"/>
      <c r="AD57" s="753"/>
      <c r="AE57" s="753"/>
      <c r="AF57" s="753"/>
      <c r="AG57" s="753"/>
      <c r="AH57" s="753"/>
      <c r="AI57" s="753"/>
      <c r="AJ57" s="753"/>
      <c r="AK57" s="753"/>
    </row>
    <row r="58" spans="1:37" s="579" customFormat="1" hidden="1">
      <c r="A58" s="630">
        <v>3</v>
      </c>
      <c r="B58" s="632" t="s">
        <v>1093</v>
      </c>
      <c r="C58" s="713">
        <v>8060</v>
      </c>
      <c r="D58" s="713">
        <v>3</v>
      </c>
      <c r="E58" s="713" t="s">
        <v>245</v>
      </c>
      <c r="F58" s="630">
        <v>113220</v>
      </c>
      <c r="G58" s="630">
        <v>89394</v>
      </c>
      <c r="H58" s="630">
        <v>79</v>
      </c>
      <c r="I58" s="630">
        <v>1</v>
      </c>
      <c r="J58" s="630">
        <v>19</v>
      </c>
      <c r="K58" s="713" t="s">
        <v>1094</v>
      </c>
      <c r="L58" s="753"/>
      <c r="M58" s="709">
        <v>4</v>
      </c>
      <c r="N58" s="713" t="s">
        <v>1097</v>
      </c>
      <c r="O58" s="753"/>
      <c r="P58" s="753"/>
      <c r="Q58" s="753"/>
      <c r="R58" s="753"/>
      <c r="S58" s="753"/>
      <c r="T58" s="753"/>
      <c r="U58" s="753"/>
      <c r="V58" s="753"/>
      <c r="W58" s="753"/>
      <c r="X58" s="753"/>
      <c r="Y58" s="753"/>
      <c r="Z58" s="753"/>
      <c r="AA58" s="753"/>
      <c r="AB58" s="753"/>
      <c r="AC58" s="753"/>
      <c r="AD58" s="753"/>
      <c r="AE58" s="753"/>
      <c r="AF58" s="753"/>
      <c r="AG58" s="753"/>
      <c r="AH58" s="753"/>
      <c r="AI58" s="753"/>
      <c r="AJ58" s="753"/>
      <c r="AK58" s="753"/>
    </row>
    <row r="59" spans="1:37" s="579" customFormat="1" hidden="1">
      <c r="A59" s="630">
        <v>4</v>
      </c>
      <c r="B59" s="632" t="s">
        <v>1096</v>
      </c>
      <c r="C59" s="713">
        <v>851</v>
      </c>
      <c r="D59" s="713">
        <v>4</v>
      </c>
      <c r="E59" s="713" t="s">
        <v>243</v>
      </c>
      <c r="F59" s="630">
        <v>197622</v>
      </c>
      <c r="G59" s="630">
        <v>194933</v>
      </c>
      <c r="H59" s="630">
        <v>99</v>
      </c>
      <c r="I59" s="630">
        <v>5</v>
      </c>
      <c r="J59" s="630">
        <v>19</v>
      </c>
      <c r="K59" s="713" t="s">
        <v>574</v>
      </c>
      <c r="L59" s="753"/>
      <c r="M59" s="709">
        <v>5</v>
      </c>
      <c r="N59" s="713" t="s">
        <v>1099</v>
      </c>
      <c r="O59" s="753"/>
      <c r="P59" s="753"/>
      <c r="Q59" s="753"/>
      <c r="R59" s="753"/>
      <c r="S59" s="753"/>
      <c r="T59" s="753"/>
      <c r="U59" s="753"/>
      <c r="V59" s="753"/>
      <c r="W59" s="753"/>
      <c r="X59" s="753"/>
      <c r="Y59" s="753"/>
      <c r="Z59" s="753"/>
      <c r="AA59" s="753"/>
      <c r="AB59" s="753"/>
      <c r="AC59" s="753"/>
      <c r="AD59" s="753"/>
      <c r="AE59" s="753"/>
      <c r="AF59" s="753"/>
      <c r="AG59" s="753"/>
      <c r="AH59" s="753"/>
      <c r="AI59" s="753"/>
      <c r="AJ59" s="753"/>
      <c r="AK59" s="753"/>
    </row>
    <row r="60" spans="1:37" s="579" customFormat="1" hidden="1">
      <c r="A60" s="630">
        <v>5</v>
      </c>
      <c r="B60" s="632" t="s">
        <v>1098</v>
      </c>
      <c r="C60" s="713">
        <v>304</v>
      </c>
      <c r="D60" s="713">
        <v>5</v>
      </c>
      <c r="E60" s="713" t="s">
        <v>243</v>
      </c>
      <c r="F60" s="630">
        <v>24622</v>
      </c>
      <c r="G60" s="630">
        <v>22989</v>
      </c>
      <c r="H60" s="630">
        <v>93</v>
      </c>
      <c r="I60" s="630">
        <v>9</v>
      </c>
      <c r="J60" s="630">
        <v>19</v>
      </c>
      <c r="K60" s="713" t="s">
        <v>574</v>
      </c>
      <c r="L60" s="753"/>
      <c r="M60" s="709">
        <v>6</v>
      </c>
      <c r="N60" s="713" t="s">
        <v>1101</v>
      </c>
      <c r="O60" s="753"/>
      <c r="P60" s="753"/>
      <c r="Q60" s="753"/>
      <c r="R60" s="753"/>
      <c r="S60" s="753"/>
      <c r="T60" s="753"/>
      <c r="U60" s="753"/>
      <c r="V60" s="753"/>
      <c r="W60" s="753"/>
      <c r="X60" s="753"/>
      <c r="Y60" s="753"/>
      <c r="Z60" s="753"/>
      <c r="AA60" s="753"/>
      <c r="AB60" s="753"/>
      <c r="AC60" s="753"/>
      <c r="AD60" s="753"/>
      <c r="AE60" s="753"/>
      <c r="AF60" s="753"/>
      <c r="AG60" s="753"/>
      <c r="AH60" s="753"/>
      <c r="AI60" s="753"/>
      <c r="AJ60" s="753"/>
      <c r="AK60" s="753"/>
    </row>
    <row r="61" spans="1:37" s="579" customFormat="1" hidden="1">
      <c r="A61" s="630">
        <v>6</v>
      </c>
      <c r="B61" s="632" t="s">
        <v>1100</v>
      </c>
      <c r="C61" s="713">
        <v>8061</v>
      </c>
      <c r="D61" s="713">
        <v>6</v>
      </c>
      <c r="E61" s="713" t="s">
        <v>243</v>
      </c>
      <c r="F61" s="630">
        <v>129232</v>
      </c>
      <c r="G61" s="630">
        <v>123138</v>
      </c>
      <c r="H61" s="630">
        <v>95</v>
      </c>
      <c r="I61" s="630">
        <v>5</v>
      </c>
      <c r="J61" s="630">
        <v>19</v>
      </c>
      <c r="K61" s="713" t="s">
        <v>574</v>
      </c>
      <c r="L61" s="753"/>
      <c r="M61" s="709">
        <v>7</v>
      </c>
      <c r="N61" s="713" t="s">
        <v>1103</v>
      </c>
      <c r="O61" s="753"/>
      <c r="P61" s="753"/>
      <c r="Q61" s="753"/>
      <c r="R61" s="753"/>
      <c r="S61" s="753"/>
      <c r="T61" s="753"/>
      <c r="U61" s="753"/>
      <c r="V61" s="753"/>
      <c r="W61" s="753"/>
      <c r="X61" s="753"/>
      <c r="Y61" s="753"/>
      <c r="Z61" s="753"/>
      <c r="AA61" s="753"/>
      <c r="AB61" s="753"/>
      <c r="AC61" s="753"/>
      <c r="AD61" s="753"/>
      <c r="AE61" s="753"/>
      <c r="AF61" s="753"/>
      <c r="AG61" s="753"/>
      <c r="AH61" s="753"/>
      <c r="AI61" s="753"/>
      <c r="AJ61" s="753"/>
      <c r="AK61" s="753"/>
    </row>
    <row r="62" spans="1:37" s="579" customFormat="1" hidden="1">
      <c r="A62" s="630">
        <v>7</v>
      </c>
      <c r="B62" s="632" t="s">
        <v>1102</v>
      </c>
      <c r="C62" s="713">
        <v>8064</v>
      </c>
      <c r="D62" s="713">
        <v>7</v>
      </c>
      <c r="E62" s="713" t="s">
        <v>243</v>
      </c>
      <c r="F62" s="630">
        <v>168298</v>
      </c>
      <c r="G62" s="630">
        <v>153521</v>
      </c>
      <c r="H62" s="630">
        <v>91</v>
      </c>
      <c r="I62" s="630">
        <v>8</v>
      </c>
      <c r="J62" s="630">
        <v>19</v>
      </c>
      <c r="K62" s="713" t="s">
        <v>574</v>
      </c>
      <c r="L62" s="753"/>
      <c r="M62" s="709">
        <v>8</v>
      </c>
      <c r="N62" s="713" t="s">
        <v>1105</v>
      </c>
      <c r="O62" s="753"/>
      <c r="P62" s="753"/>
      <c r="Q62" s="753"/>
      <c r="R62" s="753"/>
      <c r="S62" s="753"/>
      <c r="T62" s="753"/>
      <c r="U62" s="753"/>
      <c r="V62" s="753"/>
      <c r="W62" s="753"/>
      <c r="X62" s="753"/>
      <c r="Y62" s="753"/>
      <c r="Z62" s="753"/>
      <c r="AA62" s="753"/>
      <c r="AB62" s="753"/>
      <c r="AC62" s="753"/>
      <c r="AD62" s="753"/>
      <c r="AE62" s="753"/>
      <c r="AF62" s="753"/>
      <c r="AG62" s="753"/>
      <c r="AH62" s="753"/>
      <c r="AI62" s="753"/>
      <c r="AJ62" s="753"/>
      <c r="AK62" s="753"/>
    </row>
    <row r="63" spans="1:37" s="579" customFormat="1" hidden="1">
      <c r="A63" s="630">
        <v>8</v>
      </c>
      <c r="B63" s="632" t="s">
        <v>1104</v>
      </c>
      <c r="C63" s="713">
        <v>8068</v>
      </c>
      <c r="D63" s="713">
        <v>8</v>
      </c>
      <c r="E63" s="713" t="s">
        <v>243</v>
      </c>
      <c r="F63" s="630">
        <v>88298</v>
      </c>
      <c r="G63" s="630">
        <v>75907</v>
      </c>
      <c r="H63" s="630">
        <v>86</v>
      </c>
      <c r="I63" s="630">
        <v>6</v>
      </c>
      <c r="J63" s="630">
        <v>19</v>
      </c>
      <c r="K63" s="713" t="s">
        <v>574</v>
      </c>
      <c r="L63" s="753"/>
      <c r="M63" s="709">
        <v>9</v>
      </c>
      <c r="N63" s="713" t="s">
        <v>1107</v>
      </c>
      <c r="O63" s="753"/>
      <c r="P63" s="753"/>
      <c r="Q63" s="753"/>
      <c r="R63" s="753"/>
      <c r="S63" s="753"/>
      <c r="T63" s="753"/>
      <c r="U63" s="753"/>
      <c r="V63" s="753"/>
      <c r="W63" s="753"/>
      <c r="X63" s="753"/>
      <c r="Y63" s="753"/>
      <c r="Z63" s="753"/>
      <c r="AA63" s="753"/>
      <c r="AB63" s="753"/>
      <c r="AC63" s="753"/>
      <c r="AD63" s="753"/>
      <c r="AE63" s="753"/>
      <c r="AF63" s="753"/>
      <c r="AG63" s="753"/>
      <c r="AH63" s="753"/>
      <c r="AI63" s="753"/>
      <c r="AJ63" s="753"/>
      <c r="AK63" s="753"/>
    </row>
    <row r="64" spans="1:37" s="579" customFormat="1" hidden="1">
      <c r="A64" s="630">
        <v>9</v>
      </c>
      <c r="B64" s="632" t="s">
        <v>1106</v>
      </c>
      <c r="C64" s="713">
        <v>9273</v>
      </c>
      <c r="D64" s="713">
        <v>9</v>
      </c>
      <c r="E64" s="713" t="s">
        <v>243</v>
      </c>
      <c r="F64" s="630">
        <v>67393</v>
      </c>
      <c r="G64" s="630">
        <v>64417</v>
      </c>
      <c r="H64" s="630">
        <v>96</v>
      </c>
      <c r="I64" s="630">
        <v>3</v>
      </c>
      <c r="J64" s="630">
        <v>19</v>
      </c>
      <c r="K64" s="713" t="s">
        <v>574</v>
      </c>
      <c r="L64" s="753"/>
      <c r="M64" s="709">
        <v>10</v>
      </c>
      <c r="N64" s="713" t="s">
        <v>1109</v>
      </c>
      <c r="O64" s="753"/>
      <c r="P64" s="753"/>
      <c r="Q64" s="753"/>
      <c r="R64" s="753"/>
      <c r="S64" s="753"/>
      <c r="T64" s="753"/>
      <c r="U64" s="753"/>
      <c r="V64" s="753"/>
      <c r="W64" s="753"/>
      <c r="X64" s="753"/>
      <c r="Y64" s="753"/>
      <c r="Z64" s="753"/>
      <c r="AA64" s="753"/>
      <c r="AB64" s="753"/>
      <c r="AC64" s="753"/>
      <c r="AD64" s="753"/>
      <c r="AE64" s="753"/>
      <c r="AF64" s="753"/>
      <c r="AG64" s="753"/>
      <c r="AH64" s="753"/>
      <c r="AI64" s="753"/>
      <c r="AJ64" s="753"/>
      <c r="AK64" s="753"/>
    </row>
    <row r="65" spans="1:37" s="579" customFormat="1" hidden="1">
      <c r="A65" s="630">
        <v>10</v>
      </c>
      <c r="B65" s="632" t="s">
        <v>1108</v>
      </c>
      <c r="C65" s="713">
        <v>8062</v>
      </c>
      <c r="D65" s="713">
        <v>10</v>
      </c>
      <c r="E65" s="713" t="s">
        <v>243</v>
      </c>
      <c r="F65" s="630">
        <v>676337</v>
      </c>
      <c r="G65" s="630">
        <v>648575</v>
      </c>
      <c r="H65" s="630">
        <v>96</v>
      </c>
      <c r="I65" s="630">
        <v>6</v>
      </c>
      <c r="J65" s="630">
        <v>19</v>
      </c>
      <c r="K65" s="713" t="s">
        <v>574</v>
      </c>
      <c r="L65" s="753"/>
      <c r="M65" s="709">
        <v>11</v>
      </c>
      <c r="N65" s="713" t="s">
        <v>1112</v>
      </c>
      <c r="O65" s="753"/>
      <c r="P65" s="753"/>
      <c r="Q65" s="753"/>
      <c r="R65" s="753"/>
      <c r="S65" s="753"/>
      <c r="T65" s="753"/>
      <c r="U65" s="753"/>
      <c r="V65" s="753"/>
      <c r="W65" s="753"/>
      <c r="X65" s="753"/>
      <c r="Y65" s="753"/>
      <c r="Z65" s="753"/>
      <c r="AA65" s="753"/>
      <c r="AB65" s="753"/>
      <c r="AC65" s="753"/>
      <c r="AD65" s="753"/>
      <c r="AE65" s="753"/>
      <c r="AF65" s="753"/>
      <c r="AG65" s="753"/>
      <c r="AH65" s="753"/>
      <c r="AI65" s="753"/>
      <c r="AJ65" s="753"/>
      <c r="AK65" s="753"/>
    </row>
    <row r="66" spans="1:37" s="579" customFormat="1" hidden="1">
      <c r="A66" s="630">
        <v>11</v>
      </c>
      <c r="B66" s="632" t="s">
        <v>1110</v>
      </c>
      <c r="C66" s="713">
        <v>8063</v>
      </c>
      <c r="D66" s="713">
        <v>11</v>
      </c>
      <c r="E66" s="713" t="s">
        <v>243</v>
      </c>
      <c r="F66" s="630">
        <v>248438</v>
      </c>
      <c r="G66" s="630">
        <v>244784</v>
      </c>
      <c r="H66" s="630">
        <v>99</v>
      </c>
      <c r="I66" s="630">
        <v>11</v>
      </c>
      <c r="J66" s="630">
        <v>19</v>
      </c>
      <c r="K66" s="713" t="s">
        <v>1111</v>
      </c>
      <c r="L66" s="753"/>
      <c r="M66" s="709">
        <v>12</v>
      </c>
      <c r="N66" s="713" t="s">
        <v>1114</v>
      </c>
      <c r="O66" s="753"/>
      <c r="P66" s="753"/>
      <c r="Q66" s="753"/>
      <c r="R66" s="753"/>
      <c r="S66" s="753"/>
      <c r="T66" s="753"/>
      <c r="U66" s="753"/>
      <c r="V66" s="753"/>
      <c r="W66" s="753"/>
      <c r="X66" s="753"/>
      <c r="Y66" s="753"/>
      <c r="Z66" s="753"/>
      <c r="AA66" s="753"/>
      <c r="AB66" s="753"/>
      <c r="AC66" s="753"/>
      <c r="AD66" s="753"/>
      <c r="AE66" s="753"/>
      <c r="AF66" s="753"/>
      <c r="AG66" s="753"/>
      <c r="AH66" s="753"/>
      <c r="AI66" s="753"/>
      <c r="AJ66" s="753"/>
      <c r="AK66" s="753"/>
    </row>
    <row r="67" spans="1:37" s="579" customFormat="1" hidden="1">
      <c r="A67" s="630">
        <v>12</v>
      </c>
      <c r="B67" s="632" t="s">
        <v>1113</v>
      </c>
      <c r="C67" s="713">
        <v>8066</v>
      </c>
      <c r="D67" s="713">
        <v>12</v>
      </c>
      <c r="E67" s="713" t="s">
        <v>243</v>
      </c>
      <c r="F67" s="630">
        <v>224866</v>
      </c>
      <c r="G67" s="630">
        <v>205961</v>
      </c>
      <c r="H67" s="630">
        <v>92</v>
      </c>
      <c r="I67" s="630">
        <v>5</v>
      </c>
      <c r="J67" s="630">
        <v>19</v>
      </c>
      <c r="K67" s="713" t="s">
        <v>574</v>
      </c>
      <c r="L67" s="753"/>
      <c r="M67" s="709">
        <v>13</v>
      </c>
      <c r="N67" s="713" t="s">
        <v>1116</v>
      </c>
      <c r="O67" s="753"/>
      <c r="P67" s="753"/>
      <c r="Q67" s="753"/>
      <c r="R67" s="753"/>
      <c r="S67" s="753"/>
      <c r="T67" s="753"/>
      <c r="U67" s="753"/>
      <c r="V67" s="753"/>
      <c r="W67" s="753"/>
      <c r="X67" s="753"/>
      <c r="Y67" s="753"/>
      <c r="Z67" s="753"/>
      <c r="AA67" s="753"/>
      <c r="AB67" s="753"/>
      <c r="AC67" s="753"/>
      <c r="AD67" s="753"/>
      <c r="AE67" s="753"/>
      <c r="AF67" s="753"/>
      <c r="AG67" s="753"/>
      <c r="AH67" s="753"/>
      <c r="AI67" s="753"/>
      <c r="AJ67" s="753"/>
      <c r="AK67" s="753"/>
    </row>
    <row r="68" spans="1:37" s="579" customFormat="1" hidden="1">
      <c r="A68" s="630">
        <v>13</v>
      </c>
      <c r="B68" s="632" t="s">
        <v>1115</v>
      </c>
      <c r="C68" s="713">
        <v>8069</v>
      </c>
      <c r="D68" s="713">
        <v>13</v>
      </c>
      <c r="E68" s="713" t="s">
        <v>243</v>
      </c>
      <c r="F68" s="630">
        <v>127114</v>
      </c>
      <c r="G68" s="630">
        <v>123568</v>
      </c>
      <c r="H68" s="630">
        <v>97</v>
      </c>
      <c r="I68" s="630">
        <v>13</v>
      </c>
      <c r="J68" s="630">
        <v>19</v>
      </c>
      <c r="K68" s="713" t="s">
        <v>1111</v>
      </c>
      <c r="L68" s="753"/>
      <c r="M68" s="709">
        <v>14</v>
      </c>
      <c r="N68" s="713" t="s">
        <v>1118</v>
      </c>
      <c r="O68" s="753"/>
      <c r="P68" s="753"/>
      <c r="Q68" s="753"/>
      <c r="R68" s="753"/>
      <c r="S68" s="753"/>
      <c r="T68" s="753"/>
      <c r="U68" s="753"/>
      <c r="V68" s="753"/>
      <c r="W68" s="753"/>
      <c r="X68" s="753"/>
      <c r="Y68" s="753"/>
      <c r="Z68" s="753"/>
      <c r="AA68" s="753"/>
      <c r="AB68" s="753"/>
      <c r="AC68" s="753"/>
      <c r="AD68" s="753"/>
      <c r="AE68" s="753"/>
      <c r="AF68" s="753"/>
      <c r="AG68" s="753"/>
      <c r="AH68" s="753"/>
      <c r="AI68" s="753"/>
      <c r="AJ68" s="753"/>
      <c r="AK68" s="753"/>
    </row>
    <row r="69" spans="1:37" s="579" customFormat="1" hidden="1">
      <c r="A69" s="630">
        <v>14</v>
      </c>
      <c r="B69" s="632" t="s">
        <v>1117</v>
      </c>
      <c r="C69" s="713">
        <v>8067</v>
      </c>
      <c r="D69" s="713">
        <v>14</v>
      </c>
      <c r="E69" s="713" t="s">
        <v>243</v>
      </c>
      <c r="F69" s="630">
        <v>523565</v>
      </c>
      <c r="G69" s="630">
        <v>494258</v>
      </c>
      <c r="H69" s="630">
        <v>94</v>
      </c>
      <c r="I69" s="630">
        <v>9</v>
      </c>
      <c r="J69" s="630">
        <v>19</v>
      </c>
      <c r="K69" s="713" t="s">
        <v>574</v>
      </c>
      <c r="L69" s="753"/>
      <c r="M69" s="709">
        <v>15</v>
      </c>
      <c r="N69" s="713" t="s">
        <v>95</v>
      </c>
      <c r="O69" s="753"/>
      <c r="P69" s="753"/>
      <c r="Q69" s="753"/>
      <c r="R69" s="753"/>
      <c r="S69" s="753"/>
      <c r="T69" s="753"/>
      <c r="U69" s="753"/>
      <c r="V69" s="753"/>
      <c r="W69" s="753"/>
      <c r="X69" s="753"/>
      <c r="Y69" s="753"/>
      <c r="Z69" s="753"/>
      <c r="AA69" s="753"/>
      <c r="AB69" s="753"/>
      <c r="AC69" s="753"/>
      <c r="AD69" s="753"/>
      <c r="AE69" s="753"/>
      <c r="AF69" s="753"/>
      <c r="AG69" s="753"/>
      <c r="AH69" s="753"/>
      <c r="AI69" s="753"/>
      <c r="AJ69" s="753"/>
      <c r="AK69" s="753"/>
    </row>
    <row r="70" spans="1:37" s="579" customFormat="1" hidden="1">
      <c r="A70" s="630"/>
      <c r="B70" s="631" t="s">
        <v>124</v>
      </c>
      <c r="C70" s="713"/>
      <c r="D70" s="713"/>
      <c r="E70" s="713"/>
      <c r="F70" s="630"/>
      <c r="G70" s="630"/>
      <c r="H70" s="630"/>
      <c r="I70" s="630"/>
      <c r="J70" s="630"/>
      <c r="K70" s="713"/>
      <c r="L70" s="753"/>
      <c r="M70" s="709">
        <v>16</v>
      </c>
      <c r="N70" s="713" t="s">
        <v>97</v>
      </c>
      <c r="O70" s="753"/>
      <c r="P70" s="753"/>
      <c r="Q70" s="753"/>
      <c r="R70" s="753"/>
      <c r="S70" s="753"/>
      <c r="T70" s="753"/>
      <c r="U70" s="753"/>
      <c r="V70" s="753"/>
      <c r="W70" s="753"/>
      <c r="X70" s="753"/>
      <c r="Y70" s="753"/>
      <c r="Z70" s="753"/>
      <c r="AA70" s="753"/>
      <c r="AB70" s="753"/>
      <c r="AC70" s="753"/>
      <c r="AD70" s="753"/>
      <c r="AE70" s="753"/>
      <c r="AF70" s="753"/>
      <c r="AG70" s="753"/>
      <c r="AH70" s="753"/>
      <c r="AI70" s="753"/>
      <c r="AJ70" s="753"/>
      <c r="AK70" s="753"/>
    </row>
    <row r="71" spans="1:37" s="579" customFormat="1" hidden="1">
      <c r="A71" s="630">
        <v>1</v>
      </c>
      <c r="B71" s="632" t="s">
        <v>901</v>
      </c>
      <c r="C71" s="713" t="s">
        <v>902</v>
      </c>
      <c r="D71" s="713">
        <v>1</v>
      </c>
      <c r="E71" s="713" t="s">
        <v>790</v>
      </c>
      <c r="F71" s="630"/>
      <c r="G71" s="630"/>
      <c r="H71" s="630"/>
      <c r="I71" s="630"/>
      <c r="J71" s="630"/>
      <c r="K71" s="713"/>
      <c r="L71" s="753"/>
      <c r="M71" s="709">
        <v>17</v>
      </c>
      <c r="N71" s="713" t="s">
        <v>98</v>
      </c>
      <c r="O71" s="753"/>
      <c r="P71" s="753"/>
      <c r="Q71" s="753"/>
      <c r="R71" s="753"/>
      <c r="S71" s="753"/>
      <c r="T71" s="753"/>
      <c r="U71" s="753"/>
      <c r="V71" s="753"/>
      <c r="W71" s="753"/>
      <c r="X71" s="753"/>
      <c r="Y71" s="753"/>
      <c r="Z71" s="753"/>
      <c r="AA71" s="753"/>
      <c r="AB71" s="753"/>
      <c r="AC71" s="753"/>
      <c r="AD71" s="753"/>
      <c r="AE71" s="753"/>
      <c r="AF71" s="753"/>
      <c r="AG71" s="753"/>
      <c r="AH71" s="753"/>
      <c r="AI71" s="753"/>
      <c r="AJ71" s="753"/>
      <c r="AK71" s="753"/>
    </row>
    <row r="72" spans="1:37" s="579" customFormat="1" hidden="1">
      <c r="A72" s="630">
        <v>2</v>
      </c>
      <c r="B72" s="632" t="s">
        <v>96</v>
      </c>
      <c r="C72" s="713">
        <v>866</v>
      </c>
      <c r="D72" s="713">
        <v>2</v>
      </c>
      <c r="E72" s="713" t="s">
        <v>247</v>
      </c>
      <c r="F72" s="630">
        <v>58399</v>
      </c>
      <c r="G72" s="630">
        <v>30006</v>
      </c>
      <c r="H72" s="630">
        <v>51</v>
      </c>
      <c r="I72" s="630">
        <v>6</v>
      </c>
      <c r="J72" s="630">
        <v>31</v>
      </c>
      <c r="K72" s="713" t="s">
        <v>574</v>
      </c>
      <c r="L72" s="753"/>
      <c r="M72" s="709">
        <v>18</v>
      </c>
      <c r="N72" s="713" t="s">
        <v>101</v>
      </c>
      <c r="O72" s="753"/>
      <c r="P72" s="753"/>
      <c r="Q72" s="753"/>
      <c r="R72" s="753"/>
      <c r="S72" s="753"/>
      <c r="T72" s="753"/>
      <c r="U72" s="753"/>
      <c r="V72" s="753"/>
      <c r="W72" s="753"/>
      <c r="X72" s="753"/>
      <c r="Y72" s="753"/>
      <c r="Z72" s="753"/>
      <c r="AA72" s="753"/>
      <c r="AB72" s="753"/>
      <c r="AC72" s="753"/>
      <c r="AD72" s="753"/>
      <c r="AE72" s="753"/>
      <c r="AF72" s="753"/>
      <c r="AG72" s="753"/>
      <c r="AH72" s="753"/>
      <c r="AI72" s="753"/>
      <c r="AJ72" s="753"/>
      <c r="AK72" s="753"/>
    </row>
    <row r="73" spans="1:37" s="579" customFormat="1" hidden="1">
      <c r="A73" s="630"/>
      <c r="B73" s="631" t="s">
        <v>1095</v>
      </c>
      <c r="C73" s="713"/>
      <c r="D73" s="713"/>
      <c r="E73" s="713"/>
      <c r="F73" s="630"/>
      <c r="G73" s="630"/>
      <c r="H73" s="630"/>
      <c r="I73" s="630"/>
      <c r="J73" s="630"/>
      <c r="K73" s="713"/>
      <c r="L73" s="753"/>
      <c r="M73" s="709">
        <v>19</v>
      </c>
      <c r="N73" s="713" t="s">
        <v>103</v>
      </c>
      <c r="O73" s="753"/>
      <c r="P73" s="753"/>
      <c r="Q73" s="753"/>
      <c r="R73" s="753"/>
      <c r="S73" s="753"/>
      <c r="T73" s="753"/>
      <c r="U73" s="753"/>
      <c r="V73" s="753"/>
      <c r="W73" s="753"/>
      <c r="X73" s="753"/>
      <c r="Y73" s="753"/>
      <c r="Z73" s="753"/>
      <c r="AA73" s="753"/>
      <c r="AB73" s="753"/>
      <c r="AC73" s="753"/>
      <c r="AD73" s="753"/>
      <c r="AE73" s="753"/>
      <c r="AF73" s="753"/>
      <c r="AG73" s="753"/>
      <c r="AH73" s="753"/>
      <c r="AI73" s="753"/>
      <c r="AJ73" s="753"/>
      <c r="AK73" s="753"/>
    </row>
    <row r="74" spans="1:37" s="579" customFormat="1" hidden="1">
      <c r="A74" s="630">
        <v>1</v>
      </c>
      <c r="B74" s="632" t="s">
        <v>901</v>
      </c>
      <c r="C74" s="713" t="s">
        <v>902</v>
      </c>
      <c r="D74" s="713">
        <v>1</v>
      </c>
      <c r="E74" s="713" t="s">
        <v>790</v>
      </c>
      <c r="F74" s="630"/>
      <c r="G74" s="630"/>
      <c r="H74" s="630"/>
      <c r="I74" s="630"/>
      <c r="J74" s="630"/>
      <c r="K74" s="713"/>
      <c r="L74" s="753"/>
      <c r="M74" s="709">
        <v>20</v>
      </c>
      <c r="N74" s="713" t="s">
        <v>850</v>
      </c>
      <c r="O74" s="753"/>
      <c r="P74" s="753"/>
      <c r="Q74" s="753"/>
      <c r="R74" s="753"/>
      <c r="S74" s="753"/>
      <c r="T74" s="753"/>
      <c r="U74" s="753"/>
      <c r="V74" s="753"/>
      <c r="W74" s="753"/>
      <c r="X74" s="753"/>
      <c r="Y74" s="753"/>
      <c r="Z74" s="753"/>
      <c r="AA74" s="753"/>
      <c r="AB74" s="753"/>
      <c r="AC74" s="753"/>
      <c r="AD74" s="753"/>
      <c r="AE74" s="753"/>
      <c r="AF74" s="753"/>
      <c r="AG74" s="753"/>
      <c r="AH74" s="753"/>
      <c r="AI74" s="753"/>
      <c r="AJ74" s="753"/>
      <c r="AK74" s="753"/>
    </row>
    <row r="75" spans="1:37" s="579" customFormat="1" hidden="1">
      <c r="A75" s="630">
        <v>2</v>
      </c>
      <c r="B75" s="632" t="s">
        <v>99</v>
      </c>
      <c r="C75" s="713">
        <v>9239</v>
      </c>
      <c r="D75" s="713">
        <v>2</v>
      </c>
      <c r="E75" s="713" t="s">
        <v>243</v>
      </c>
      <c r="F75" s="630">
        <v>17038</v>
      </c>
      <c r="G75" s="630">
        <v>15542</v>
      </c>
      <c r="H75" s="630">
        <v>91</v>
      </c>
      <c r="I75" s="630">
        <v>27</v>
      </c>
      <c r="J75" s="630">
        <v>20</v>
      </c>
      <c r="K75" s="713" t="s">
        <v>100</v>
      </c>
      <c r="L75" s="753"/>
      <c r="M75" s="709">
        <v>21</v>
      </c>
      <c r="N75" s="713" t="s">
        <v>852</v>
      </c>
      <c r="O75" s="753"/>
      <c r="P75" s="753"/>
      <c r="Q75" s="753"/>
      <c r="R75" s="753"/>
      <c r="S75" s="753"/>
      <c r="T75" s="753"/>
      <c r="U75" s="753"/>
      <c r="V75" s="753"/>
      <c r="W75" s="753"/>
      <c r="X75" s="753"/>
      <c r="Y75" s="753"/>
      <c r="Z75" s="753"/>
      <c r="AA75" s="753"/>
      <c r="AB75" s="753"/>
      <c r="AC75" s="753"/>
      <c r="AD75" s="753"/>
      <c r="AE75" s="753"/>
      <c r="AF75" s="753"/>
      <c r="AG75" s="753"/>
      <c r="AH75" s="753"/>
      <c r="AI75" s="753"/>
      <c r="AJ75" s="753"/>
      <c r="AK75" s="753"/>
    </row>
    <row r="76" spans="1:37" s="579" customFormat="1" hidden="1">
      <c r="A76" s="630">
        <v>3</v>
      </c>
      <c r="B76" s="632" t="s">
        <v>102</v>
      </c>
      <c r="C76" s="713">
        <v>846</v>
      </c>
      <c r="D76" s="713">
        <v>3</v>
      </c>
      <c r="E76" s="713" t="s">
        <v>243</v>
      </c>
      <c r="F76" s="630">
        <v>28154</v>
      </c>
      <c r="G76" s="630">
        <v>25035</v>
      </c>
      <c r="H76" s="630">
        <v>89</v>
      </c>
      <c r="I76" s="630">
        <v>4</v>
      </c>
      <c r="J76" s="630">
        <v>20</v>
      </c>
      <c r="K76" s="713" t="s">
        <v>574</v>
      </c>
      <c r="L76" s="753"/>
      <c r="M76" s="709">
        <v>22</v>
      </c>
      <c r="N76" s="713" t="s">
        <v>1018</v>
      </c>
      <c r="O76" s="753"/>
      <c r="P76" s="753"/>
      <c r="Q76" s="753"/>
      <c r="R76" s="753"/>
      <c r="S76" s="753"/>
      <c r="T76" s="753"/>
      <c r="U76" s="753"/>
      <c r="V76" s="753"/>
      <c r="W76" s="753"/>
      <c r="X76" s="753"/>
      <c r="Y76" s="753"/>
      <c r="Z76" s="753"/>
      <c r="AA76" s="753"/>
      <c r="AB76" s="753"/>
      <c r="AC76" s="753"/>
      <c r="AD76" s="753"/>
      <c r="AE76" s="753"/>
      <c r="AF76" s="753"/>
      <c r="AG76" s="753"/>
      <c r="AH76" s="753"/>
      <c r="AI76" s="753"/>
      <c r="AJ76" s="753"/>
      <c r="AK76" s="753"/>
    </row>
    <row r="77" spans="1:37" s="579" customFormat="1" hidden="1">
      <c r="A77" s="630">
        <v>4</v>
      </c>
      <c r="B77" s="632" t="s">
        <v>849</v>
      </c>
      <c r="C77" s="713">
        <v>8070</v>
      </c>
      <c r="D77" s="713">
        <v>4</v>
      </c>
      <c r="E77" s="713" t="s">
        <v>243</v>
      </c>
      <c r="F77" s="630">
        <v>1983</v>
      </c>
      <c r="G77" s="630">
        <v>1946</v>
      </c>
      <c r="H77" s="630">
        <v>98</v>
      </c>
      <c r="I77" s="630">
        <v>36</v>
      </c>
      <c r="J77" s="630">
        <v>20</v>
      </c>
      <c r="K77" s="713" t="s">
        <v>100</v>
      </c>
      <c r="L77" s="753"/>
      <c r="M77" s="709">
        <v>23</v>
      </c>
      <c r="N77" s="713" t="s">
        <v>570</v>
      </c>
      <c r="O77" s="753"/>
      <c r="P77" s="753"/>
      <c r="Q77" s="753"/>
      <c r="R77" s="753"/>
      <c r="S77" s="753"/>
      <c r="T77" s="753"/>
      <c r="U77" s="753"/>
      <c r="V77" s="753"/>
      <c r="W77" s="753"/>
      <c r="X77" s="753"/>
      <c r="Y77" s="753"/>
      <c r="Z77" s="753"/>
      <c r="AA77" s="753"/>
      <c r="AB77" s="753"/>
      <c r="AC77" s="753"/>
      <c r="AD77" s="753"/>
      <c r="AE77" s="753"/>
      <c r="AF77" s="753"/>
      <c r="AG77" s="753"/>
      <c r="AH77" s="753"/>
      <c r="AI77" s="753"/>
      <c r="AJ77" s="753"/>
      <c r="AK77" s="753"/>
    </row>
    <row r="78" spans="1:37" s="579" customFormat="1" hidden="1">
      <c r="A78" s="630">
        <v>5</v>
      </c>
      <c r="B78" s="632" t="s">
        <v>851</v>
      </c>
      <c r="C78" s="713">
        <v>937</v>
      </c>
      <c r="D78" s="713">
        <v>5</v>
      </c>
      <c r="E78" s="713" t="s">
        <v>243</v>
      </c>
      <c r="F78" s="630">
        <v>4147</v>
      </c>
      <c r="G78" s="630">
        <v>3755</v>
      </c>
      <c r="H78" s="630">
        <v>91</v>
      </c>
      <c r="I78" s="630">
        <v>42</v>
      </c>
      <c r="J78" s="630">
        <v>20</v>
      </c>
      <c r="K78" s="713" t="s">
        <v>100</v>
      </c>
      <c r="L78" s="753"/>
      <c r="M78" s="709">
        <v>24</v>
      </c>
      <c r="N78" s="713" t="s">
        <v>571</v>
      </c>
      <c r="O78" s="753"/>
      <c r="P78" s="753"/>
      <c r="Q78" s="753"/>
      <c r="R78" s="753"/>
      <c r="S78" s="753"/>
      <c r="T78" s="753"/>
      <c r="U78" s="753"/>
      <c r="V78" s="753"/>
      <c r="W78" s="753"/>
      <c r="X78" s="753"/>
      <c r="Y78" s="753"/>
      <c r="Z78" s="753"/>
      <c r="AA78" s="753"/>
      <c r="AB78" s="753"/>
      <c r="AC78" s="753"/>
      <c r="AD78" s="753"/>
      <c r="AE78" s="753"/>
      <c r="AF78" s="753"/>
      <c r="AG78" s="753"/>
      <c r="AH78" s="753"/>
      <c r="AI78" s="753"/>
      <c r="AJ78" s="753"/>
      <c r="AK78" s="753"/>
    </row>
    <row r="79" spans="1:37" s="579" customFormat="1" hidden="1">
      <c r="A79" s="630"/>
      <c r="B79" s="631" t="s">
        <v>1105</v>
      </c>
      <c r="C79" s="713"/>
      <c r="D79" s="713"/>
      <c r="E79" s="713"/>
      <c r="F79" s="630"/>
      <c r="G79" s="630"/>
      <c r="H79" s="630"/>
      <c r="I79" s="630"/>
      <c r="J79" s="630"/>
      <c r="K79" s="713"/>
      <c r="L79" s="753"/>
      <c r="M79" s="709">
        <v>25</v>
      </c>
      <c r="N79" s="713" t="s">
        <v>706</v>
      </c>
      <c r="O79" s="753"/>
      <c r="P79" s="753"/>
      <c r="Q79" s="753"/>
      <c r="R79" s="753"/>
      <c r="S79" s="753"/>
      <c r="T79" s="753"/>
      <c r="U79" s="753"/>
      <c r="V79" s="753"/>
      <c r="W79" s="753"/>
      <c r="X79" s="753"/>
      <c r="Y79" s="753"/>
      <c r="Z79" s="753"/>
      <c r="AA79" s="753"/>
      <c r="AB79" s="753"/>
      <c r="AC79" s="753"/>
      <c r="AD79" s="753"/>
      <c r="AE79" s="753"/>
      <c r="AF79" s="753"/>
      <c r="AG79" s="753"/>
      <c r="AH79" s="753"/>
      <c r="AI79" s="753"/>
      <c r="AJ79" s="753"/>
      <c r="AK79" s="753"/>
    </row>
    <row r="80" spans="1:37" s="579" customFormat="1" hidden="1">
      <c r="A80" s="630">
        <v>1</v>
      </c>
      <c r="B80" s="632" t="s">
        <v>901</v>
      </c>
      <c r="C80" s="713" t="s">
        <v>902</v>
      </c>
      <c r="D80" s="713">
        <v>1</v>
      </c>
      <c r="E80" s="713" t="s">
        <v>790</v>
      </c>
      <c r="F80" s="630"/>
      <c r="G80" s="630"/>
      <c r="H80" s="630"/>
      <c r="I80" s="630"/>
      <c r="J80" s="630"/>
      <c r="K80" s="713"/>
      <c r="L80" s="753"/>
      <c r="M80" s="709">
        <v>26</v>
      </c>
      <c r="N80" s="713" t="s">
        <v>708</v>
      </c>
      <c r="O80" s="753"/>
      <c r="P80" s="753"/>
      <c r="Q80" s="753"/>
      <c r="R80" s="753"/>
      <c r="S80" s="753"/>
      <c r="T80" s="753"/>
      <c r="U80" s="753"/>
      <c r="V80" s="753"/>
      <c r="W80" s="753"/>
      <c r="X80" s="753"/>
      <c r="Y80" s="753"/>
      <c r="Z80" s="753"/>
      <c r="AA80" s="753"/>
      <c r="AB80" s="753"/>
      <c r="AC80" s="753"/>
      <c r="AD80" s="753"/>
      <c r="AE80" s="753"/>
      <c r="AF80" s="753"/>
      <c r="AG80" s="753"/>
      <c r="AH80" s="753"/>
      <c r="AI80" s="753"/>
      <c r="AJ80" s="753"/>
      <c r="AK80" s="753"/>
    </row>
    <row r="81" spans="1:37" s="579" customFormat="1" hidden="1">
      <c r="A81" s="630">
        <v>2</v>
      </c>
      <c r="B81" s="632" t="s">
        <v>1019</v>
      </c>
      <c r="C81" s="713">
        <v>910</v>
      </c>
      <c r="D81" s="713">
        <v>2</v>
      </c>
      <c r="E81" s="713" t="s">
        <v>247</v>
      </c>
      <c r="F81" s="630">
        <v>75154</v>
      </c>
      <c r="G81" s="630">
        <v>24742</v>
      </c>
      <c r="H81" s="630">
        <v>33</v>
      </c>
      <c r="I81" s="630">
        <v>4</v>
      </c>
      <c r="J81" s="630">
        <v>31</v>
      </c>
      <c r="K81" s="713" t="s">
        <v>574</v>
      </c>
      <c r="L81" s="753"/>
      <c r="M81" s="709">
        <v>27</v>
      </c>
      <c r="N81" s="713" t="s">
        <v>647</v>
      </c>
      <c r="O81" s="753"/>
      <c r="P81" s="753"/>
      <c r="Q81" s="753"/>
      <c r="R81" s="753"/>
      <c r="S81" s="753"/>
      <c r="T81" s="753"/>
      <c r="U81" s="753"/>
      <c r="V81" s="753"/>
      <c r="W81" s="753"/>
      <c r="X81" s="753"/>
      <c r="Y81" s="753"/>
      <c r="Z81" s="753"/>
      <c r="AA81" s="753"/>
      <c r="AB81" s="753"/>
      <c r="AC81" s="753"/>
      <c r="AD81" s="753"/>
      <c r="AE81" s="753"/>
      <c r="AF81" s="753"/>
      <c r="AG81" s="753"/>
      <c r="AH81" s="753"/>
      <c r="AI81" s="753"/>
      <c r="AJ81" s="753"/>
      <c r="AK81" s="753"/>
    </row>
    <row r="82" spans="1:37" s="579" customFormat="1" hidden="1">
      <c r="A82" s="630"/>
      <c r="B82" s="631" t="s">
        <v>1109</v>
      </c>
      <c r="C82" s="713"/>
      <c r="D82" s="713"/>
      <c r="E82" s="713"/>
      <c r="F82" s="630"/>
      <c r="G82" s="630"/>
      <c r="H82" s="630"/>
      <c r="I82" s="630"/>
      <c r="J82" s="630"/>
      <c r="K82" s="713"/>
      <c r="L82" s="753"/>
      <c r="M82" s="709">
        <v>28</v>
      </c>
      <c r="N82" s="713" t="s">
        <v>649</v>
      </c>
      <c r="O82" s="753"/>
      <c r="P82" s="753"/>
      <c r="Q82" s="753"/>
      <c r="R82" s="753"/>
      <c r="S82" s="753"/>
      <c r="T82" s="753"/>
      <c r="U82" s="753"/>
      <c r="V82" s="753"/>
      <c r="W82" s="753"/>
      <c r="X82" s="753"/>
      <c r="Y82" s="753"/>
      <c r="Z82" s="753"/>
      <c r="AA82" s="753"/>
      <c r="AB82" s="753"/>
      <c r="AC82" s="753"/>
      <c r="AD82" s="753"/>
      <c r="AE82" s="753"/>
      <c r="AF82" s="753"/>
      <c r="AG82" s="753"/>
      <c r="AH82" s="753"/>
      <c r="AI82" s="753"/>
      <c r="AJ82" s="753"/>
      <c r="AK82" s="753"/>
    </row>
    <row r="83" spans="1:37" s="579" customFormat="1" hidden="1">
      <c r="A83" s="630">
        <v>1</v>
      </c>
      <c r="B83" s="632" t="s">
        <v>901</v>
      </c>
      <c r="C83" s="713" t="s">
        <v>902</v>
      </c>
      <c r="D83" s="713">
        <v>1</v>
      </c>
      <c r="E83" s="713" t="s">
        <v>790</v>
      </c>
      <c r="F83" s="630"/>
      <c r="G83" s="630"/>
      <c r="H83" s="630"/>
      <c r="I83" s="630"/>
      <c r="J83" s="630"/>
      <c r="K83" s="713"/>
      <c r="L83" s="753"/>
      <c r="M83" s="709">
        <v>29</v>
      </c>
      <c r="N83" s="713" t="s">
        <v>761</v>
      </c>
      <c r="O83" s="753"/>
      <c r="P83" s="753"/>
      <c r="Q83" s="753"/>
      <c r="R83" s="753"/>
      <c r="S83" s="753"/>
      <c r="T83" s="753"/>
      <c r="U83" s="753"/>
      <c r="V83" s="753"/>
      <c r="W83" s="753"/>
      <c r="X83" s="753"/>
      <c r="Y83" s="753"/>
      <c r="Z83" s="753"/>
      <c r="AA83" s="753"/>
      <c r="AB83" s="753"/>
      <c r="AC83" s="753"/>
      <c r="AD83" s="753"/>
      <c r="AE83" s="753"/>
      <c r="AF83" s="753"/>
      <c r="AG83" s="753"/>
      <c r="AH83" s="753"/>
      <c r="AI83" s="753"/>
      <c r="AJ83" s="753"/>
      <c r="AK83" s="753"/>
    </row>
    <row r="84" spans="1:37" s="579" customFormat="1" hidden="1">
      <c r="A84" s="630">
        <v>2</v>
      </c>
      <c r="B84" s="632" t="s">
        <v>572</v>
      </c>
      <c r="C84" s="713">
        <v>270</v>
      </c>
      <c r="D84" s="713">
        <v>2</v>
      </c>
      <c r="E84" s="713" t="s">
        <v>243</v>
      </c>
      <c r="F84" s="630">
        <v>63753</v>
      </c>
      <c r="G84" s="630">
        <v>63620</v>
      </c>
      <c r="H84" s="630">
        <v>100</v>
      </c>
      <c r="I84" s="630">
        <v>0</v>
      </c>
      <c r="J84" s="630">
        <v>34</v>
      </c>
      <c r="K84" s="713" t="s">
        <v>705</v>
      </c>
      <c r="L84" s="753"/>
      <c r="M84" s="709">
        <v>30</v>
      </c>
      <c r="N84" s="713" t="s">
        <v>763</v>
      </c>
      <c r="O84" s="753"/>
      <c r="P84" s="753"/>
      <c r="Q84" s="753"/>
      <c r="R84" s="753"/>
      <c r="S84" s="753"/>
      <c r="T84" s="753"/>
      <c r="U84" s="753"/>
      <c r="V84" s="753"/>
      <c r="W84" s="753"/>
      <c r="X84" s="753"/>
      <c r="Y84" s="753"/>
      <c r="Z84" s="753"/>
      <c r="AA84" s="753"/>
      <c r="AB84" s="753"/>
      <c r="AC84" s="753"/>
      <c r="AD84" s="753"/>
      <c r="AE84" s="753"/>
      <c r="AF84" s="753"/>
      <c r="AG84" s="753"/>
      <c r="AH84" s="753"/>
      <c r="AI84" s="753"/>
      <c r="AJ84" s="753"/>
      <c r="AK84" s="753"/>
    </row>
    <row r="85" spans="1:37" s="579" customFormat="1" hidden="1">
      <c r="A85" s="630">
        <v>3</v>
      </c>
      <c r="B85" s="632" t="s">
        <v>707</v>
      </c>
      <c r="C85" s="713">
        <v>269</v>
      </c>
      <c r="D85" s="713">
        <v>3</v>
      </c>
      <c r="E85" s="713" t="s">
        <v>243</v>
      </c>
      <c r="F85" s="630">
        <v>157801</v>
      </c>
      <c r="G85" s="630">
        <v>156502</v>
      </c>
      <c r="H85" s="630">
        <v>99</v>
      </c>
      <c r="I85" s="630">
        <v>0</v>
      </c>
      <c r="J85" s="630">
        <v>34</v>
      </c>
      <c r="K85" s="713" t="s">
        <v>705</v>
      </c>
      <c r="L85" s="753"/>
      <c r="M85" s="709">
        <v>31</v>
      </c>
      <c r="N85" s="713" t="s">
        <v>765</v>
      </c>
      <c r="O85" s="753"/>
      <c r="P85" s="753"/>
      <c r="Q85" s="753"/>
      <c r="R85" s="753"/>
      <c r="S85" s="753"/>
      <c r="T85" s="753"/>
      <c r="U85" s="753"/>
      <c r="V85" s="753"/>
      <c r="W85" s="753"/>
      <c r="X85" s="753"/>
      <c r="Y85" s="753"/>
      <c r="Z85" s="753"/>
      <c r="AA85" s="753"/>
      <c r="AB85" s="753"/>
      <c r="AC85" s="753"/>
      <c r="AD85" s="753"/>
      <c r="AE85" s="753"/>
      <c r="AF85" s="753"/>
      <c r="AG85" s="753"/>
      <c r="AH85" s="753"/>
      <c r="AI85" s="753"/>
      <c r="AJ85" s="753"/>
      <c r="AK85" s="753"/>
    </row>
    <row r="86" spans="1:37" s="579" customFormat="1" hidden="1">
      <c r="A86" s="630">
        <v>4</v>
      </c>
      <c r="B86" s="632" t="s">
        <v>646</v>
      </c>
      <c r="C86" s="713">
        <v>271</v>
      </c>
      <c r="D86" s="713">
        <v>4</v>
      </c>
      <c r="E86" s="713" t="s">
        <v>243</v>
      </c>
      <c r="F86" s="630">
        <v>256852</v>
      </c>
      <c r="G86" s="630">
        <v>255544</v>
      </c>
      <c r="H86" s="630">
        <v>99</v>
      </c>
      <c r="I86" s="630">
        <v>0</v>
      </c>
      <c r="J86" s="630">
        <v>34</v>
      </c>
      <c r="K86" s="713" t="s">
        <v>705</v>
      </c>
      <c r="L86" s="753"/>
      <c r="M86" s="709">
        <v>32</v>
      </c>
      <c r="N86" s="713" t="s">
        <v>665</v>
      </c>
      <c r="O86" s="753"/>
      <c r="P86" s="753"/>
      <c r="Q86" s="753"/>
      <c r="R86" s="753"/>
      <c r="S86" s="753"/>
      <c r="T86" s="753"/>
      <c r="U86" s="753"/>
      <c r="V86" s="753"/>
      <c r="W86" s="753"/>
      <c r="X86" s="753"/>
      <c r="Y86" s="753"/>
      <c r="Z86" s="753"/>
      <c r="AA86" s="753"/>
      <c r="AB86" s="753"/>
      <c r="AC86" s="753"/>
      <c r="AD86" s="753"/>
      <c r="AE86" s="753"/>
      <c r="AF86" s="753"/>
      <c r="AG86" s="753"/>
      <c r="AH86" s="753"/>
      <c r="AI86" s="753"/>
      <c r="AJ86" s="753"/>
      <c r="AK86" s="753"/>
    </row>
    <row r="87" spans="1:37" s="579" customFormat="1" hidden="1">
      <c r="A87" s="630">
        <v>5</v>
      </c>
      <c r="B87" s="632" t="s">
        <v>648</v>
      </c>
      <c r="C87" s="713">
        <v>774</v>
      </c>
      <c r="D87" s="713">
        <v>5</v>
      </c>
      <c r="E87" s="713" t="s">
        <v>243</v>
      </c>
      <c r="F87" s="630">
        <v>826</v>
      </c>
      <c r="G87" s="630">
        <v>821</v>
      </c>
      <c r="H87" s="630">
        <v>99</v>
      </c>
      <c r="I87" s="630">
        <v>0</v>
      </c>
      <c r="J87" s="630">
        <v>34</v>
      </c>
      <c r="K87" s="713" t="s">
        <v>705</v>
      </c>
      <c r="L87" s="753"/>
      <c r="M87" s="709">
        <v>33</v>
      </c>
      <c r="N87" s="713" t="s">
        <v>1078</v>
      </c>
      <c r="O87" s="753"/>
      <c r="P87" s="753"/>
      <c r="Q87" s="753"/>
      <c r="R87" s="753"/>
      <c r="S87" s="753"/>
      <c r="T87" s="753"/>
      <c r="U87" s="753"/>
      <c r="V87" s="753"/>
      <c r="W87" s="753"/>
      <c r="X87" s="753"/>
      <c r="Y87" s="753"/>
      <c r="Z87" s="753"/>
      <c r="AA87" s="753"/>
      <c r="AB87" s="753"/>
      <c r="AC87" s="753"/>
      <c r="AD87" s="753"/>
      <c r="AE87" s="753"/>
      <c r="AF87" s="753"/>
      <c r="AG87" s="753"/>
      <c r="AH87" s="753"/>
      <c r="AI87" s="753"/>
      <c r="AJ87" s="753"/>
      <c r="AK87" s="753"/>
    </row>
    <row r="88" spans="1:37" s="579" customFormat="1" hidden="1">
      <c r="A88" s="630">
        <v>6</v>
      </c>
      <c r="B88" s="632" t="s">
        <v>760</v>
      </c>
      <c r="C88" s="713">
        <v>778</v>
      </c>
      <c r="D88" s="713">
        <v>6</v>
      </c>
      <c r="E88" s="713" t="s">
        <v>243</v>
      </c>
      <c r="F88" s="630">
        <v>33646</v>
      </c>
      <c r="G88" s="630">
        <v>33496</v>
      </c>
      <c r="H88" s="630">
        <v>100</v>
      </c>
      <c r="I88" s="630">
        <v>100</v>
      </c>
      <c r="J88" s="630">
        <v>34</v>
      </c>
      <c r="K88" s="713" t="s">
        <v>100</v>
      </c>
      <c r="L88" s="753"/>
      <c r="M88" s="709">
        <v>34</v>
      </c>
      <c r="N88" s="713" t="s">
        <v>159</v>
      </c>
      <c r="O88" s="753"/>
      <c r="P88" s="753"/>
      <c r="Q88" s="753"/>
      <c r="R88" s="753"/>
      <c r="S88" s="753"/>
      <c r="T88" s="753"/>
      <c r="U88" s="753"/>
      <c r="V88" s="753"/>
      <c r="W88" s="753"/>
      <c r="X88" s="753"/>
      <c r="Y88" s="753"/>
      <c r="Z88" s="753"/>
      <c r="AA88" s="753"/>
      <c r="AB88" s="753"/>
      <c r="AC88" s="753"/>
      <c r="AD88" s="753"/>
      <c r="AE88" s="753"/>
      <c r="AF88" s="753"/>
      <c r="AG88" s="753"/>
      <c r="AH88" s="753"/>
      <c r="AI88" s="753"/>
      <c r="AJ88" s="753"/>
      <c r="AK88" s="753"/>
    </row>
    <row r="89" spans="1:37" s="579" customFormat="1" hidden="1">
      <c r="A89" s="630">
        <v>7</v>
      </c>
      <c r="B89" s="632" t="s">
        <v>762</v>
      </c>
      <c r="C89" s="713">
        <v>777</v>
      </c>
      <c r="D89" s="713">
        <v>7</v>
      </c>
      <c r="E89" s="713" t="s">
        <v>243</v>
      </c>
      <c r="F89" s="630">
        <v>24586</v>
      </c>
      <c r="G89" s="630">
        <v>24229</v>
      </c>
      <c r="H89" s="630">
        <v>99</v>
      </c>
      <c r="I89" s="630">
        <v>0</v>
      </c>
      <c r="J89" s="630">
        <v>34</v>
      </c>
      <c r="K89" s="713" t="s">
        <v>705</v>
      </c>
      <c r="L89" s="753"/>
      <c r="M89" s="709">
        <v>35</v>
      </c>
      <c r="N89" s="713" t="s">
        <v>161</v>
      </c>
      <c r="O89" s="753"/>
      <c r="P89" s="753"/>
      <c r="Q89" s="753"/>
      <c r="R89" s="753"/>
      <c r="S89" s="753"/>
      <c r="T89" s="753"/>
      <c r="U89" s="753"/>
      <c r="V89" s="753"/>
      <c r="W89" s="753"/>
      <c r="X89" s="753"/>
      <c r="Y89" s="753"/>
      <c r="Z89" s="753"/>
      <c r="AA89" s="753"/>
      <c r="AB89" s="753"/>
      <c r="AC89" s="753"/>
      <c r="AD89" s="753"/>
      <c r="AE89" s="753"/>
      <c r="AF89" s="753"/>
      <c r="AG89" s="753"/>
      <c r="AH89" s="753"/>
      <c r="AI89" s="753"/>
      <c r="AJ89" s="753"/>
      <c r="AK89" s="753"/>
    </row>
    <row r="90" spans="1:37" s="579" customFormat="1" hidden="1">
      <c r="A90" s="630">
        <v>8</v>
      </c>
      <c r="B90" s="632" t="s">
        <v>764</v>
      </c>
      <c r="C90" s="713">
        <v>779</v>
      </c>
      <c r="D90" s="713">
        <v>8</v>
      </c>
      <c r="E90" s="713" t="s">
        <v>243</v>
      </c>
      <c r="F90" s="630">
        <v>39781</v>
      </c>
      <c r="G90" s="630">
        <v>39649</v>
      </c>
      <c r="H90" s="630">
        <v>100</v>
      </c>
      <c r="I90" s="630">
        <v>100</v>
      </c>
      <c r="J90" s="630">
        <v>34</v>
      </c>
      <c r="K90" s="713" t="s">
        <v>100</v>
      </c>
      <c r="L90" s="753"/>
      <c r="M90" s="709">
        <v>36</v>
      </c>
      <c r="N90" s="713" t="s">
        <v>163</v>
      </c>
      <c r="O90" s="753"/>
      <c r="P90" s="753"/>
      <c r="Q90" s="753"/>
      <c r="R90" s="753"/>
      <c r="S90" s="753"/>
      <c r="T90" s="753"/>
      <c r="U90" s="753"/>
      <c r="V90" s="753"/>
      <c r="W90" s="753"/>
      <c r="X90" s="753"/>
      <c r="Y90" s="753"/>
      <c r="Z90" s="753"/>
      <c r="AA90" s="753"/>
      <c r="AB90" s="753"/>
      <c r="AC90" s="753"/>
      <c r="AD90" s="753"/>
      <c r="AE90" s="753"/>
      <c r="AF90" s="753"/>
      <c r="AG90" s="753"/>
      <c r="AH90" s="753"/>
      <c r="AI90" s="753"/>
      <c r="AJ90" s="753"/>
      <c r="AK90" s="753"/>
    </row>
    <row r="91" spans="1:37" s="579" customFormat="1" hidden="1">
      <c r="A91" s="630">
        <v>9</v>
      </c>
      <c r="B91" s="632" t="s">
        <v>664</v>
      </c>
      <c r="C91" s="713">
        <v>791</v>
      </c>
      <c r="D91" s="713">
        <v>9</v>
      </c>
      <c r="E91" s="713" t="s">
        <v>243</v>
      </c>
      <c r="F91" s="630">
        <v>59448</v>
      </c>
      <c r="G91" s="630">
        <v>59271</v>
      </c>
      <c r="H91" s="630">
        <v>100</v>
      </c>
      <c r="I91" s="630">
        <v>8</v>
      </c>
      <c r="J91" s="630">
        <v>34</v>
      </c>
      <c r="K91" s="713" t="s">
        <v>574</v>
      </c>
      <c r="L91" s="753"/>
      <c r="M91" s="709">
        <v>37</v>
      </c>
      <c r="N91" s="713" t="s">
        <v>165</v>
      </c>
      <c r="O91" s="753"/>
      <c r="P91" s="753"/>
      <c r="Q91" s="753"/>
      <c r="R91" s="753"/>
      <c r="S91" s="753"/>
      <c r="T91" s="753"/>
      <c r="U91" s="753"/>
      <c r="V91" s="753"/>
      <c r="W91" s="753"/>
      <c r="X91" s="753"/>
      <c r="Y91" s="753"/>
      <c r="Z91" s="753"/>
      <c r="AA91" s="753"/>
      <c r="AB91" s="753"/>
      <c r="AC91" s="753"/>
      <c r="AD91" s="753"/>
      <c r="AE91" s="753"/>
      <c r="AF91" s="753"/>
      <c r="AG91" s="753"/>
      <c r="AH91" s="753"/>
      <c r="AI91" s="753"/>
      <c r="AJ91" s="753"/>
      <c r="AK91" s="753"/>
    </row>
    <row r="92" spans="1:37" s="579" customFormat="1" hidden="1">
      <c r="A92" s="630">
        <v>10</v>
      </c>
      <c r="B92" s="632" t="s">
        <v>666</v>
      </c>
      <c r="C92" s="713">
        <v>793</v>
      </c>
      <c r="D92" s="713">
        <v>10</v>
      </c>
      <c r="E92" s="713" t="s">
        <v>243</v>
      </c>
      <c r="F92" s="630">
        <v>34320</v>
      </c>
      <c r="G92" s="630">
        <v>34299</v>
      </c>
      <c r="H92" s="630">
        <v>100</v>
      </c>
      <c r="I92" s="630">
        <v>0</v>
      </c>
      <c r="J92" s="630">
        <v>34</v>
      </c>
      <c r="K92" s="713" t="s">
        <v>705</v>
      </c>
      <c r="L92" s="753"/>
      <c r="M92" s="709">
        <v>38</v>
      </c>
      <c r="N92" s="713" t="s">
        <v>167</v>
      </c>
      <c r="O92" s="753"/>
      <c r="P92" s="753"/>
      <c r="Q92" s="753"/>
      <c r="R92" s="753"/>
      <c r="S92" s="753"/>
      <c r="T92" s="753"/>
      <c r="U92" s="753"/>
      <c r="V92" s="753"/>
      <c r="W92" s="753"/>
      <c r="X92" s="753"/>
      <c r="Y92" s="753"/>
      <c r="Z92" s="753"/>
      <c r="AA92" s="753"/>
      <c r="AB92" s="753"/>
      <c r="AC92" s="753"/>
      <c r="AD92" s="753"/>
      <c r="AE92" s="753"/>
      <c r="AF92" s="753"/>
      <c r="AG92" s="753"/>
      <c r="AH92" s="753"/>
      <c r="AI92" s="753"/>
      <c r="AJ92" s="753"/>
      <c r="AK92" s="753"/>
    </row>
    <row r="93" spans="1:37" s="579" customFormat="1" hidden="1">
      <c r="A93" s="630">
        <v>11</v>
      </c>
      <c r="B93" s="632" t="s">
        <v>1079</v>
      </c>
      <c r="C93" s="713">
        <v>803</v>
      </c>
      <c r="D93" s="713">
        <v>11</v>
      </c>
      <c r="E93" s="713" t="s">
        <v>243</v>
      </c>
      <c r="F93" s="630">
        <v>10831</v>
      </c>
      <c r="G93" s="630">
        <v>10831</v>
      </c>
      <c r="H93" s="630">
        <v>100</v>
      </c>
      <c r="I93" s="630">
        <v>100</v>
      </c>
      <c r="J93" s="630">
        <v>34</v>
      </c>
      <c r="K93" s="713" t="s">
        <v>100</v>
      </c>
      <c r="L93" s="753"/>
      <c r="M93" s="709">
        <v>39</v>
      </c>
      <c r="N93" s="713" t="s">
        <v>169</v>
      </c>
      <c r="O93" s="753"/>
      <c r="P93" s="753"/>
      <c r="Q93" s="753"/>
      <c r="R93" s="753"/>
      <c r="S93" s="753"/>
      <c r="T93" s="753"/>
      <c r="U93" s="753"/>
      <c r="V93" s="753"/>
      <c r="W93" s="753"/>
      <c r="X93" s="753"/>
      <c r="Y93" s="753"/>
      <c r="Z93" s="753"/>
      <c r="AA93" s="753"/>
      <c r="AB93" s="753"/>
      <c r="AC93" s="753"/>
      <c r="AD93" s="753"/>
      <c r="AE93" s="753"/>
      <c r="AF93" s="753"/>
      <c r="AG93" s="753"/>
      <c r="AH93" s="753"/>
      <c r="AI93" s="753"/>
      <c r="AJ93" s="753"/>
      <c r="AK93" s="753"/>
    </row>
    <row r="94" spans="1:37" s="579" customFormat="1" hidden="1">
      <c r="A94" s="630">
        <v>12</v>
      </c>
      <c r="B94" s="632" t="s">
        <v>160</v>
      </c>
      <c r="C94" s="713">
        <v>802</v>
      </c>
      <c r="D94" s="713">
        <v>12</v>
      </c>
      <c r="E94" s="713" t="s">
        <v>243</v>
      </c>
      <c r="F94" s="630">
        <v>11271</v>
      </c>
      <c r="G94" s="630">
        <v>11162</v>
      </c>
      <c r="H94" s="630">
        <v>99</v>
      </c>
      <c r="I94" s="630">
        <v>100</v>
      </c>
      <c r="J94" s="630">
        <v>34</v>
      </c>
      <c r="K94" s="713" t="s">
        <v>100</v>
      </c>
      <c r="L94" s="753"/>
      <c r="M94" s="709">
        <v>40</v>
      </c>
      <c r="N94" s="713" t="s">
        <v>171</v>
      </c>
      <c r="O94" s="753"/>
      <c r="P94" s="753"/>
      <c r="Q94" s="753"/>
      <c r="R94" s="753"/>
      <c r="S94" s="753"/>
      <c r="T94" s="753"/>
      <c r="U94" s="753"/>
      <c r="V94" s="753"/>
      <c r="W94" s="753"/>
      <c r="X94" s="753"/>
      <c r="Y94" s="753"/>
      <c r="Z94" s="753"/>
      <c r="AA94" s="753"/>
      <c r="AB94" s="753"/>
      <c r="AC94" s="753"/>
      <c r="AD94" s="753"/>
      <c r="AE94" s="753"/>
      <c r="AF94" s="753"/>
      <c r="AG94" s="753"/>
      <c r="AH94" s="753"/>
      <c r="AI94" s="753"/>
      <c r="AJ94" s="753"/>
      <c r="AK94" s="753"/>
    </row>
    <row r="95" spans="1:37" s="579" customFormat="1" hidden="1">
      <c r="A95" s="630">
        <v>13</v>
      </c>
      <c r="B95" s="632" t="s">
        <v>162</v>
      </c>
      <c r="C95" s="713">
        <v>806</v>
      </c>
      <c r="D95" s="713">
        <v>13</v>
      </c>
      <c r="E95" s="713" t="s">
        <v>243</v>
      </c>
      <c r="F95" s="630">
        <v>328</v>
      </c>
      <c r="G95" s="630">
        <v>328</v>
      </c>
      <c r="H95" s="630">
        <v>100</v>
      </c>
      <c r="I95" s="630">
        <v>100</v>
      </c>
      <c r="J95" s="630">
        <v>34</v>
      </c>
      <c r="K95" s="713" t="s">
        <v>100</v>
      </c>
      <c r="L95" s="753"/>
      <c r="M95" s="709">
        <v>41</v>
      </c>
      <c r="N95" s="713" t="s">
        <v>173</v>
      </c>
      <c r="O95" s="753"/>
      <c r="P95" s="753"/>
      <c r="Q95" s="753"/>
      <c r="R95" s="753"/>
      <c r="S95" s="753"/>
      <c r="T95" s="753"/>
      <c r="U95" s="753"/>
      <c r="V95" s="753"/>
      <c r="W95" s="753"/>
      <c r="X95" s="753"/>
      <c r="Y95" s="753"/>
      <c r="Z95" s="753"/>
      <c r="AA95" s="753"/>
      <c r="AB95" s="753"/>
      <c r="AC95" s="753"/>
      <c r="AD95" s="753"/>
      <c r="AE95" s="753"/>
      <c r="AF95" s="753"/>
      <c r="AG95" s="753"/>
      <c r="AH95" s="753"/>
      <c r="AI95" s="753"/>
      <c r="AJ95" s="753"/>
      <c r="AK95" s="753"/>
    </row>
    <row r="96" spans="1:37" s="579" customFormat="1" hidden="1">
      <c r="A96" s="630"/>
      <c r="B96" s="631" t="s">
        <v>164</v>
      </c>
      <c r="C96" s="713"/>
      <c r="D96" s="713"/>
      <c r="E96" s="713"/>
      <c r="F96" s="630"/>
      <c r="G96" s="630"/>
      <c r="H96" s="630"/>
      <c r="I96" s="630"/>
      <c r="J96" s="630"/>
      <c r="K96" s="713"/>
      <c r="L96" s="753"/>
      <c r="M96" s="709">
        <v>42</v>
      </c>
      <c r="N96" s="713" t="s">
        <v>174</v>
      </c>
      <c r="O96" s="753"/>
      <c r="P96" s="753"/>
      <c r="Q96" s="753"/>
      <c r="R96" s="753"/>
      <c r="S96" s="753"/>
      <c r="T96" s="753"/>
      <c r="U96" s="753"/>
      <c r="V96" s="753"/>
      <c r="W96" s="753"/>
      <c r="X96" s="753"/>
      <c r="Y96" s="753"/>
      <c r="Z96" s="753"/>
      <c r="AA96" s="753"/>
      <c r="AB96" s="753"/>
      <c r="AC96" s="753"/>
      <c r="AD96" s="753"/>
      <c r="AE96" s="753"/>
      <c r="AF96" s="753"/>
      <c r="AG96" s="753"/>
      <c r="AH96" s="753"/>
      <c r="AI96" s="753"/>
      <c r="AJ96" s="753"/>
      <c r="AK96" s="753"/>
    </row>
    <row r="97" spans="1:37" s="579" customFormat="1" hidden="1">
      <c r="A97" s="630">
        <v>1</v>
      </c>
      <c r="B97" s="632" t="s">
        <v>901</v>
      </c>
      <c r="C97" s="713" t="s">
        <v>902</v>
      </c>
      <c r="D97" s="713">
        <v>1</v>
      </c>
      <c r="E97" s="713" t="s">
        <v>790</v>
      </c>
      <c r="F97" s="630"/>
      <c r="G97" s="630"/>
      <c r="H97" s="630"/>
      <c r="I97" s="630"/>
      <c r="J97" s="630"/>
      <c r="K97" s="713"/>
      <c r="L97" s="753"/>
      <c r="M97" s="709">
        <v>43</v>
      </c>
      <c r="N97" s="713" t="s">
        <v>677</v>
      </c>
      <c r="O97" s="753"/>
      <c r="P97" s="753"/>
      <c r="Q97" s="753"/>
      <c r="R97" s="753"/>
      <c r="S97" s="753"/>
      <c r="T97" s="753"/>
      <c r="U97" s="753"/>
      <c r="V97" s="753"/>
      <c r="W97" s="753"/>
      <c r="X97" s="753"/>
      <c r="Y97" s="753"/>
      <c r="Z97" s="753"/>
      <c r="AA97" s="753"/>
      <c r="AB97" s="753"/>
      <c r="AC97" s="753"/>
      <c r="AD97" s="753"/>
      <c r="AE97" s="753"/>
      <c r="AF97" s="753"/>
      <c r="AG97" s="753"/>
      <c r="AH97" s="753"/>
      <c r="AI97" s="753"/>
      <c r="AJ97" s="753"/>
      <c r="AK97" s="753"/>
    </row>
    <row r="98" spans="1:37" s="579" customFormat="1" hidden="1">
      <c r="A98" s="630">
        <v>2</v>
      </c>
      <c r="B98" s="632" t="s">
        <v>166</v>
      </c>
      <c r="C98" s="713">
        <v>3146</v>
      </c>
      <c r="D98" s="713">
        <v>2</v>
      </c>
      <c r="E98" s="713" t="s">
        <v>243</v>
      </c>
      <c r="F98" s="630">
        <v>1700</v>
      </c>
      <c r="G98" s="630">
        <v>1482</v>
      </c>
      <c r="H98" s="630">
        <v>87</v>
      </c>
      <c r="I98" s="630">
        <v>0</v>
      </c>
      <c r="J98" s="630">
        <v>28</v>
      </c>
      <c r="K98" s="713" t="s">
        <v>705</v>
      </c>
      <c r="L98" s="753"/>
      <c r="M98" s="709">
        <v>44</v>
      </c>
      <c r="N98" s="713" t="s">
        <v>238</v>
      </c>
      <c r="O98" s="753"/>
      <c r="P98" s="753"/>
      <c r="Q98" s="753"/>
      <c r="R98" s="753"/>
      <c r="S98" s="753"/>
      <c r="T98" s="753"/>
      <c r="U98" s="753"/>
      <c r="V98" s="753"/>
      <c r="W98" s="753"/>
      <c r="X98" s="753"/>
      <c r="Y98" s="753"/>
      <c r="Z98" s="753"/>
      <c r="AA98" s="753"/>
      <c r="AB98" s="753"/>
      <c r="AC98" s="753"/>
      <c r="AD98" s="753"/>
      <c r="AE98" s="753"/>
      <c r="AF98" s="753"/>
      <c r="AG98" s="753"/>
      <c r="AH98" s="753"/>
      <c r="AI98" s="753"/>
      <c r="AJ98" s="753"/>
      <c r="AK98" s="753"/>
    </row>
    <row r="99" spans="1:37" s="579" customFormat="1" hidden="1">
      <c r="A99" s="630">
        <v>3</v>
      </c>
      <c r="B99" s="632" t="s">
        <v>168</v>
      </c>
      <c r="C99" s="713">
        <v>812</v>
      </c>
      <c r="D99" s="713">
        <v>3</v>
      </c>
      <c r="E99" s="713" t="s">
        <v>243</v>
      </c>
      <c r="F99" s="630">
        <v>41361</v>
      </c>
      <c r="G99" s="630">
        <v>40621</v>
      </c>
      <c r="H99" s="630">
        <v>98</v>
      </c>
      <c r="I99" s="630">
        <v>11</v>
      </c>
      <c r="J99" s="630">
        <v>28</v>
      </c>
      <c r="K99" s="713" t="s">
        <v>574</v>
      </c>
      <c r="L99" s="753"/>
      <c r="M99" s="709">
        <v>45</v>
      </c>
      <c r="N99" s="713" t="s">
        <v>240</v>
      </c>
      <c r="O99" s="753"/>
      <c r="P99" s="753"/>
      <c r="Q99" s="753"/>
      <c r="R99" s="753"/>
      <c r="S99" s="753"/>
      <c r="T99" s="753"/>
      <c r="U99" s="753"/>
      <c r="V99" s="753"/>
      <c r="W99" s="753"/>
      <c r="X99" s="753"/>
      <c r="Y99" s="753"/>
      <c r="Z99" s="753"/>
      <c r="AA99" s="753"/>
      <c r="AB99" s="753"/>
      <c r="AC99" s="753"/>
      <c r="AD99" s="753"/>
      <c r="AE99" s="753"/>
      <c r="AF99" s="753"/>
      <c r="AG99" s="753"/>
      <c r="AH99" s="753"/>
      <c r="AI99" s="753"/>
      <c r="AJ99" s="753"/>
      <c r="AK99" s="753"/>
    </row>
    <row r="100" spans="1:37" s="579" customFormat="1" hidden="1">
      <c r="A100" s="630">
        <v>4</v>
      </c>
      <c r="B100" s="632" t="s">
        <v>170</v>
      </c>
      <c r="C100" s="713">
        <v>813</v>
      </c>
      <c r="D100" s="713">
        <v>4</v>
      </c>
      <c r="E100" s="713" t="s">
        <v>243</v>
      </c>
      <c r="F100" s="630">
        <v>23947</v>
      </c>
      <c r="G100" s="630">
        <v>23132</v>
      </c>
      <c r="H100" s="630">
        <v>97</v>
      </c>
      <c r="I100" s="630">
        <v>0</v>
      </c>
      <c r="J100" s="630">
        <v>28</v>
      </c>
      <c r="K100" s="713" t="s">
        <v>705</v>
      </c>
      <c r="L100" s="753"/>
      <c r="M100" s="709">
        <v>46</v>
      </c>
      <c r="N100" s="713" t="s">
        <v>635</v>
      </c>
      <c r="O100" s="753"/>
      <c r="P100" s="753"/>
      <c r="Q100" s="753"/>
      <c r="R100" s="753"/>
      <c r="S100" s="753"/>
      <c r="T100" s="753"/>
      <c r="U100" s="753"/>
      <c r="V100" s="753"/>
      <c r="W100" s="753"/>
      <c r="X100" s="753"/>
      <c r="Y100" s="753"/>
      <c r="Z100" s="753"/>
      <c r="AA100" s="753"/>
      <c r="AB100" s="753"/>
      <c r="AC100" s="753"/>
      <c r="AD100" s="753"/>
      <c r="AE100" s="753"/>
      <c r="AF100" s="753"/>
      <c r="AG100" s="753"/>
      <c r="AH100" s="753"/>
      <c r="AI100" s="753"/>
      <c r="AJ100" s="753"/>
      <c r="AK100" s="753"/>
    </row>
    <row r="101" spans="1:37" s="579" customFormat="1" hidden="1">
      <c r="A101" s="630">
        <v>5</v>
      </c>
      <c r="B101" s="632" t="s">
        <v>172</v>
      </c>
      <c r="C101" s="713">
        <v>811</v>
      </c>
      <c r="D101" s="713">
        <v>5</v>
      </c>
      <c r="E101" s="713" t="s">
        <v>243</v>
      </c>
      <c r="F101" s="630">
        <v>19224</v>
      </c>
      <c r="G101" s="630">
        <v>18550</v>
      </c>
      <c r="H101" s="630">
        <v>96</v>
      </c>
      <c r="I101" s="630">
        <v>0</v>
      </c>
      <c r="J101" s="630">
        <v>28</v>
      </c>
      <c r="K101" s="713" t="s">
        <v>705</v>
      </c>
      <c r="L101" s="753"/>
      <c r="M101" s="709">
        <v>47</v>
      </c>
      <c r="N101" s="713" t="s">
        <v>636</v>
      </c>
      <c r="O101" s="753"/>
      <c r="P101" s="753"/>
      <c r="Q101" s="753"/>
      <c r="R101" s="753"/>
      <c r="S101" s="753"/>
      <c r="T101" s="753"/>
      <c r="U101" s="753"/>
      <c r="V101" s="753"/>
      <c r="W101" s="753"/>
      <c r="X101" s="753"/>
      <c r="Y101" s="753"/>
      <c r="Z101" s="753"/>
      <c r="AA101" s="753"/>
      <c r="AB101" s="753"/>
      <c r="AC101" s="753"/>
      <c r="AD101" s="753"/>
      <c r="AE101" s="753"/>
      <c r="AF101" s="753"/>
      <c r="AG101" s="753"/>
      <c r="AH101" s="753"/>
      <c r="AI101" s="753"/>
      <c r="AJ101" s="753"/>
      <c r="AK101" s="753"/>
    </row>
    <row r="102" spans="1:37" s="579" customFormat="1" hidden="1">
      <c r="A102" s="630"/>
      <c r="B102" s="631" t="s">
        <v>647</v>
      </c>
      <c r="C102" s="713"/>
      <c r="D102" s="713"/>
      <c r="E102" s="713"/>
      <c r="F102" s="630"/>
      <c r="G102" s="630"/>
      <c r="H102" s="630"/>
      <c r="I102" s="630"/>
      <c r="J102" s="630"/>
      <c r="K102" s="713"/>
      <c r="L102" s="753"/>
      <c r="M102" s="709">
        <v>48</v>
      </c>
      <c r="N102" s="713" t="s">
        <v>164</v>
      </c>
      <c r="O102" s="753"/>
      <c r="P102" s="753"/>
      <c r="Q102" s="753"/>
      <c r="R102" s="753"/>
      <c r="S102" s="753"/>
      <c r="T102" s="753"/>
      <c r="U102" s="753"/>
      <c r="V102" s="753"/>
      <c r="W102" s="753"/>
      <c r="X102" s="753"/>
      <c r="Y102" s="753"/>
      <c r="Z102" s="753"/>
      <c r="AA102" s="753"/>
      <c r="AB102" s="753"/>
      <c r="AC102" s="753"/>
      <c r="AD102" s="753"/>
      <c r="AE102" s="753"/>
      <c r="AF102" s="753"/>
      <c r="AG102" s="753"/>
      <c r="AH102" s="753"/>
      <c r="AI102" s="753"/>
      <c r="AJ102" s="753"/>
      <c r="AK102" s="753"/>
    </row>
    <row r="103" spans="1:37" s="579" customFormat="1" hidden="1">
      <c r="A103" s="630">
        <v>1</v>
      </c>
      <c r="B103" s="632" t="s">
        <v>901</v>
      </c>
      <c r="C103" s="713" t="s">
        <v>902</v>
      </c>
      <c r="D103" s="713">
        <v>1</v>
      </c>
      <c r="E103" s="713" t="s">
        <v>790</v>
      </c>
      <c r="F103" s="630"/>
      <c r="G103" s="630"/>
      <c r="H103" s="630"/>
      <c r="I103" s="630"/>
      <c r="J103" s="630"/>
      <c r="K103" s="713"/>
      <c r="L103" s="753"/>
      <c r="M103" s="709">
        <v>49</v>
      </c>
      <c r="N103" s="713" t="s">
        <v>639</v>
      </c>
      <c r="O103" s="753"/>
      <c r="P103" s="753"/>
      <c r="Q103" s="753"/>
      <c r="R103" s="753"/>
      <c r="S103" s="753"/>
      <c r="T103" s="753"/>
      <c r="U103" s="753"/>
      <c r="V103" s="753"/>
      <c r="W103" s="753"/>
      <c r="X103" s="753"/>
      <c r="Y103" s="753"/>
      <c r="Z103" s="753"/>
      <c r="AA103" s="753"/>
      <c r="AB103" s="753"/>
      <c r="AC103" s="753"/>
      <c r="AD103" s="753"/>
      <c r="AE103" s="753"/>
      <c r="AF103" s="753"/>
      <c r="AG103" s="753"/>
      <c r="AH103" s="753"/>
      <c r="AI103" s="753"/>
      <c r="AJ103" s="753"/>
      <c r="AK103" s="753"/>
    </row>
    <row r="104" spans="1:37" s="579" customFormat="1" hidden="1">
      <c r="A104" s="630">
        <v>2</v>
      </c>
      <c r="B104" s="632" t="s">
        <v>175</v>
      </c>
      <c r="C104" s="713">
        <v>8051</v>
      </c>
      <c r="D104" s="713">
        <v>2</v>
      </c>
      <c r="E104" s="713" t="s">
        <v>176</v>
      </c>
      <c r="F104" s="630">
        <v>5913</v>
      </c>
      <c r="G104" s="630">
        <v>5904</v>
      </c>
      <c r="H104" s="630">
        <v>100</v>
      </c>
      <c r="I104" s="630">
        <v>100</v>
      </c>
      <c r="J104" s="630">
        <v>100</v>
      </c>
      <c r="K104" s="713" t="s">
        <v>100</v>
      </c>
      <c r="L104" s="753"/>
      <c r="M104" s="709">
        <v>50</v>
      </c>
      <c r="N104" s="713" t="s">
        <v>641</v>
      </c>
      <c r="O104" s="753"/>
      <c r="P104" s="753"/>
      <c r="Q104" s="753"/>
      <c r="R104" s="753"/>
      <c r="S104" s="753"/>
      <c r="T104" s="753"/>
      <c r="U104" s="753"/>
      <c r="V104" s="753"/>
      <c r="W104" s="753"/>
      <c r="X104" s="753"/>
      <c r="Y104" s="753"/>
      <c r="Z104" s="753"/>
      <c r="AA104" s="753"/>
      <c r="AB104" s="753"/>
      <c r="AC104" s="753"/>
      <c r="AD104" s="753"/>
      <c r="AE104" s="753"/>
      <c r="AF104" s="753"/>
      <c r="AG104" s="753"/>
      <c r="AH104" s="753"/>
      <c r="AI104" s="753"/>
      <c r="AJ104" s="753"/>
      <c r="AK104" s="753"/>
    </row>
    <row r="105" spans="1:37" s="579" customFormat="1" hidden="1">
      <c r="A105" s="630">
        <v>3</v>
      </c>
      <c r="B105" s="632" t="s">
        <v>237</v>
      </c>
      <c r="C105" s="713">
        <v>4175</v>
      </c>
      <c r="D105" s="713">
        <v>3</v>
      </c>
      <c r="E105" s="713" t="s">
        <v>243</v>
      </c>
      <c r="F105" s="630">
        <v>46705</v>
      </c>
      <c r="G105" s="630">
        <v>45205</v>
      </c>
      <c r="H105" s="630">
        <v>97</v>
      </c>
      <c r="I105" s="630">
        <v>100</v>
      </c>
      <c r="J105" s="630">
        <v>43</v>
      </c>
      <c r="K105" s="713" t="s">
        <v>100</v>
      </c>
      <c r="L105" s="753"/>
      <c r="M105" s="709">
        <v>51</v>
      </c>
      <c r="N105" s="713" t="s">
        <v>718</v>
      </c>
      <c r="O105" s="753"/>
      <c r="P105" s="753"/>
      <c r="Q105" s="753"/>
      <c r="R105" s="753"/>
      <c r="S105" s="753"/>
      <c r="T105" s="753"/>
      <c r="U105" s="753"/>
      <c r="V105" s="753"/>
      <c r="W105" s="753"/>
      <c r="X105" s="753"/>
      <c r="Y105" s="753"/>
      <c r="Z105" s="753"/>
      <c r="AA105" s="753"/>
      <c r="AB105" s="753"/>
      <c r="AC105" s="753"/>
      <c r="AD105" s="753"/>
      <c r="AE105" s="753"/>
      <c r="AF105" s="753"/>
      <c r="AG105" s="753"/>
      <c r="AH105" s="753"/>
      <c r="AI105" s="753"/>
      <c r="AJ105" s="753"/>
      <c r="AK105" s="753"/>
    </row>
    <row r="106" spans="1:37" s="579" customFormat="1" hidden="1">
      <c r="A106" s="630">
        <v>4</v>
      </c>
      <c r="B106" s="632" t="s">
        <v>239</v>
      </c>
      <c r="C106" s="713">
        <v>4184</v>
      </c>
      <c r="D106" s="713">
        <v>4</v>
      </c>
      <c r="E106" s="713" t="s">
        <v>176</v>
      </c>
      <c r="F106" s="630">
        <v>24276</v>
      </c>
      <c r="G106" s="630">
        <v>23906</v>
      </c>
      <c r="H106" s="630">
        <v>98</v>
      </c>
      <c r="I106" s="630">
        <v>100</v>
      </c>
      <c r="J106" s="630">
        <v>100</v>
      </c>
      <c r="K106" s="713" t="s">
        <v>100</v>
      </c>
      <c r="L106" s="753"/>
      <c r="M106" s="709">
        <v>52</v>
      </c>
      <c r="N106" s="713" t="s">
        <v>720</v>
      </c>
      <c r="O106" s="753"/>
      <c r="P106" s="753"/>
      <c r="Q106" s="753"/>
      <c r="R106" s="753"/>
      <c r="S106" s="753"/>
      <c r="T106" s="753"/>
      <c r="U106" s="753"/>
      <c r="V106" s="753"/>
      <c r="W106" s="753"/>
      <c r="X106" s="753"/>
      <c r="Y106" s="753"/>
      <c r="Z106" s="753"/>
      <c r="AA106" s="753"/>
      <c r="AB106" s="753"/>
      <c r="AC106" s="753"/>
      <c r="AD106" s="753"/>
      <c r="AE106" s="753"/>
      <c r="AF106" s="753"/>
      <c r="AG106" s="753"/>
      <c r="AH106" s="753"/>
      <c r="AI106" s="753"/>
      <c r="AJ106" s="753"/>
      <c r="AK106" s="753"/>
    </row>
    <row r="107" spans="1:37" s="579" customFormat="1" hidden="1">
      <c r="A107" s="630">
        <v>5</v>
      </c>
      <c r="B107" s="632" t="s">
        <v>634</v>
      </c>
      <c r="C107" s="713">
        <v>8031</v>
      </c>
      <c r="D107" s="713">
        <v>5</v>
      </c>
      <c r="E107" s="713" t="s">
        <v>243</v>
      </c>
      <c r="F107" s="630">
        <v>16530</v>
      </c>
      <c r="G107" s="630">
        <v>15573</v>
      </c>
      <c r="H107" s="630">
        <v>94</v>
      </c>
      <c r="I107" s="630">
        <v>89</v>
      </c>
      <c r="J107" s="630">
        <v>40</v>
      </c>
      <c r="K107" s="713" t="s">
        <v>100</v>
      </c>
      <c r="L107" s="753"/>
      <c r="M107" s="753"/>
      <c r="N107" s="753"/>
      <c r="O107" s="753"/>
      <c r="P107" s="753"/>
      <c r="Q107" s="753"/>
      <c r="R107" s="753"/>
      <c r="S107" s="753"/>
      <c r="T107" s="753"/>
      <c r="U107" s="753"/>
      <c r="V107" s="753"/>
      <c r="W107" s="753"/>
      <c r="X107" s="753"/>
      <c r="Y107" s="753"/>
      <c r="Z107" s="753"/>
      <c r="AA107" s="753"/>
      <c r="AB107" s="753"/>
      <c r="AC107" s="753"/>
      <c r="AD107" s="753"/>
      <c r="AE107" s="753"/>
      <c r="AF107" s="753"/>
      <c r="AG107" s="753"/>
      <c r="AH107" s="753"/>
      <c r="AI107" s="753"/>
      <c r="AJ107" s="753"/>
      <c r="AK107" s="753"/>
    </row>
    <row r="108" spans="1:37" s="579" customFormat="1" hidden="1">
      <c r="A108" s="630"/>
      <c r="B108" s="631" t="s">
        <v>238</v>
      </c>
      <c r="C108" s="713"/>
      <c r="D108" s="713"/>
      <c r="E108" s="713"/>
      <c r="F108" s="630"/>
      <c r="G108" s="630"/>
      <c r="H108" s="630"/>
      <c r="I108" s="630"/>
      <c r="J108" s="630"/>
      <c r="K108" s="713"/>
      <c r="L108" s="753"/>
      <c r="M108" s="753"/>
      <c r="N108" s="753"/>
      <c r="O108" s="753"/>
      <c r="P108" s="753"/>
      <c r="Q108" s="753"/>
      <c r="R108" s="753"/>
      <c r="S108" s="753"/>
      <c r="T108" s="753"/>
      <c r="U108" s="753"/>
      <c r="V108" s="753"/>
      <c r="W108" s="753"/>
      <c r="X108" s="753"/>
      <c r="Y108" s="753"/>
      <c r="Z108" s="753"/>
      <c r="AA108" s="753"/>
      <c r="AB108" s="753"/>
      <c r="AC108" s="753"/>
      <c r="AD108" s="753"/>
      <c r="AE108" s="753"/>
      <c r="AF108" s="753"/>
      <c r="AG108" s="753"/>
      <c r="AH108" s="753"/>
      <c r="AI108" s="753"/>
      <c r="AJ108" s="753"/>
      <c r="AK108" s="753"/>
    </row>
    <row r="109" spans="1:37" s="579" customFormat="1" hidden="1">
      <c r="A109" s="630">
        <v>1</v>
      </c>
      <c r="B109" s="632" t="s">
        <v>901</v>
      </c>
      <c r="C109" s="713" t="s">
        <v>902</v>
      </c>
      <c r="D109" s="713">
        <v>1</v>
      </c>
      <c r="E109" s="713" t="s">
        <v>790</v>
      </c>
      <c r="F109" s="630"/>
      <c r="G109" s="630"/>
      <c r="H109" s="630"/>
      <c r="I109" s="630"/>
      <c r="J109" s="630"/>
      <c r="K109" s="713"/>
      <c r="L109" s="753"/>
      <c r="M109" s="753"/>
      <c r="N109" s="753"/>
      <c r="O109" s="753"/>
      <c r="P109" s="753"/>
      <c r="Q109" s="753"/>
      <c r="R109" s="753"/>
      <c r="S109" s="753"/>
      <c r="T109" s="753"/>
      <c r="U109" s="753"/>
      <c r="V109" s="753"/>
      <c r="W109" s="753"/>
      <c r="X109" s="753"/>
      <c r="Y109" s="753"/>
      <c r="Z109" s="753"/>
      <c r="AA109" s="753"/>
      <c r="AB109" s="753"/>
      <c r="AC109" s="753"/>
      <c r="AD109" s="753"/>
      <c r="AE109" s="753"/>
      <c r="AF109" s="753"/>
      <c r="AG109" s="753"/>
      <c r="AH109" s="753"/>
      <c r="AI109" s="753"/>
      <c r="AJ109" s="753"/>
      <c r="AK109" s="753"/>
    </row>
    <row r="110" spans="1:37" s="579" customFormat="1" hidden="1">
      <c r="A110" s="630">
        <v>2</v>
      </c>
      <c r="B110" s="632" t="s">
        <v>637</v>
      </c>
      <c r="C110" s="713">
        <v>4187</v>
      </c>
      <c r="D110" s="713">
        <v>2</v>
      </c>
      <c r="E110" s="713" t="s">
        <v>243</v>
      </c>
      <c r="F110" s="630">
        <v>16974</v>
      </c>
      <c r="G110" s="630">
        <v>16725</v>
      </c>
      <c r="H110" s="630">
        <v>99</v>
      </c>
      <c r="I110" s="630">
        <v>37</v>
      </c>
      <c r="J110" s="630">
        <v>31</v>
      </c>
      <c r="K110" s="713" t="s">
        <v>100</v>
      </c>
      <c r="L110" s="753"/>
      <c r="M110" s="753"/>
      <c r="N110" s="753"/>
      <c r="O110" s="753"/>
      <c r="P110" s="753"/>
      <c r="Q110" s="753"/>
      <c r="R110" s="753"/>
      <c r="S110" s="753"/>
      <c r="T110" s="753"/>
      <c r="U110" s="753"/>
      <c r="V110" s="753"/>
      <c r="W110" s="753"/>
      <c r="X110" s="753"/>
      <c r="Y110" s="753"/>
      <c r="Z110" s="753"/>
      <c r="AA110" s="753"/>
      <c r="AB110" s="753"/>
      <c r="AC110" s="753"/>
      <c r="AD110" s="753"/>
      <c r="AE110" s="753"/>
      <c r="AF110" s="753"/>
      <c r="AG110" s="753"/>
      <c r="AH110" s="753"/>
      <c r="AI110" s="753"/>
      <c r="AJ110" s="753"/>
      <c r="AK110" s="753"/>
    </row>
    <row r="111" spans="1:37" s="579" customFormat="1" hidden="1">
      <c r="A111" s="630">
        <v>3</v>
      </c>
      <c r="B111" s="632" t="s">
        <v>638</v>
      </c>
      <c r="C111" s="713">
        <v>8000</v>
      </c>
      <c r="D111" s="713">
        <v>3</v>
      </c>
      <c r="E111" s="713" t="s">
        <v>243</v>
      </c>
      <c r="F111" s="630">
        <v>61338</v>
      </c>
      <c r="G111" s="630">
        <v>51341</v>
      </c>
      <c r="H111" s="630">
        <v>84</v>
      </c>
      <c r="I111" s="630">
        <v>11</v>
      </c>
      <c r="J111" s="630">
        <v>30</v>
      </c>
      <c r="K111" s="713" t="s">
        <v>574</v>
      </c>
      <c r="L111" s="753"/>
      <c r="M111" s="753"/>
      <c r="N111" s="753"/>
      <c r="O111" s="753"/>
      <c r="P111" s="753"/>
      <c r="Q111" s="753"/>
      <c r="R111" s="753"/>
      <c r="S111" s="753"/>
      <c r="T111" s="753"/>
      <c r="U111" s="753"/>
      <c r="V111" s="753"/>
      <c r="W111" s="753"/>
      <c r="X111" s="753"/>
      <c r="Y111" s="753"/>
      <c r="Z111" s="753"/>
      <c r="AA111" s="753"/>
      <c r="AB111" s="753"/>
      <c r="AC111" s="753"/>
      <c r="AD111" s="753"/>
      <c r="AE111" s="753"/>
      <c r="AF111" s="753"/>
      <c r="AG111" s="753"/>
      <c r="AH111" s="753"/>
      <c r="AI111" s="753"/>
      <c r="AJ111" s="753"/>
      <c r="AK111" s="753"/>
    </row>
    <row r="112" spans="1:37" s="579" customFormat="1" hidden="1">
      <c r="A112" s="630">
        <v>4</v>
      </c>
      <c r="B112" s="632" t="s">
        <v>640</v>
      </c>
      <c r="C112" s="713">
        <v>4181</v>
      </c>
      <c r="D112" s="713">
        <v>4</v>
      </c>
      <c r="E112" s="713" t="s">
        <v>243</v>
      </c>
      <c r="F112" s="630">
        <v>86718</v>
      </c>
      <c r="G112" s="630">
        <v>83054</v>
      </c>
      <c r="H112" s="630">
        <v>96</v>
      </c>
      <c r="I112" s="630">
        <v>34</v>
      </c>
      <c r="J112" s="630">
        <v>40</v>
      </c>
      <c r="K112" s="713" t="s">
        <v>1111</v>
      </c>
      <c r="L112" s="753"/>
      <c r="M112" s="753"/>
      <c r="N112" s="753"/>
      <c r="O112" s="753"/>
      <c r="P112" s="753"/>
      <c r="Q112" s="753"/>
      <c r="R112" s="753"/>
      <c r="S112" s="753"/>
      <c r="T112" s="753"/>
      <c r="U112" s="753"/>
      <c r="V112" s="753"/>
      <c r="W112" s="753"/>
      <c r="X112" s="753"/>
      <c r="Y112" s="753"/>
      <c r="Z112" s="753"/>
      <c r="AA112" s="753"/>
      <c r="AB112" s="753"/>
      <c r="AC112" s="753"/>
      <c r="AD112" s="753"/>
      <c r="AE112" s="753"/>
      <c r="AF112" s="753"/>
      <c r="AG112" s="753"/>
      <c r="AH112" s="753"/>
      <c r="AI112" s="753"/>
      <c r="AJ112" s="753"/>
      <c r="AK112" s="753"/>
    </row>
    <row r="113" spans="1:37" s="579" customFormat="1" hidden="1">
      <c r="A113" s="630">
        <v>5</v>
      </c>
      <c r="B113" s="632" t="s">
        <v>642</v>
      </c>
      <c r="C113" s="713">
        <v>4190</v>
      </c>
      <c r="D113" s="713">
        <v>5</v>
      </c>
      <c r="E113" s="713" t="s">
        <v>243</v>
      </c>
      <c r="F113" s="630">
        <v>81521</v>
      </c>
      <c r="G113" s="630">
        <v>79405</v>
      </c>
      <c r="H113" s="630">
        <v>97</v>
      </c>
      <c r="I113" s="630">
        <v>26</v>
      </c>
      <c r="J113" s="630">
        <v>34</v>
      </c>
      <c r="K113" s="713" t="s">
        <v>1111</v>
      </c>
      <c r="L113" s="753"/>
      <c r="M113" s="753"/>
      <c r="N113" s="753"/>
      <c r="O113" s="753"/>
      <c r="P113" s="753"/>
      <c r="Q113" s="753"/>
      <c r="R113" s="753"/>
      <c r="S113" s="753"/>
      <c r="T113" s="753"/>
      <c r="U113" s="753"/>
      <c r="V113" s="753"/>
      <c r="W113" s="753"/>
      <c r="X113" s="753"/>
      <c r="Y113" s="753"/>
      <c r="Z113" s="753"/>
      <c r="AA113" s="753"/>
      <c r="AB113" s="753"/>
      <c r="AC113" s="753"/>
      <c r="AD113" s="753"/>
      <c r="AE113" s="753"/>
      <c r="AF113" s="753"/>
      <c r="AG113" s="753"/>
      <c r="AH113" s="753"/>
      <c r="AI113" s="753"/>
      <c r="AJ113" s="753"/>
      <c r="AK113" s="753"/>
    </row>
    <row r="114" spans="1:37" s="579" customFormat="1" hidden="1">
      <c r="A114" s="630">
        <v>6</v>
      </c>
      <c r="B114" s="632" t="s">
        <v>719</v>
      </c>
      <c r="C114" s="713">
        <v>8002</v>
      </c>
      <c r="D114" s="713">
        <v>6</v>
      </c>
      <c r="E114" s="713" t="s">
        <v>243</v>
      </c>
      <c r="F114" s="630">
        <v>110016</v>
      </c>
      <c r="G114" s="630">
        <v>104415</v>
      </c>
      <c r="H114" s="630">
        <v>95</v>
      </c>
      <c r="I114" s="630">
        <v>10</v>
      </c>
      <c r="J114" s="630">
        <v>30</v>
      </c>
      <c r="K114" s="713" t="s">
        <v>574</v>
      </c>
      <c r="L114" s="753"/>
      <c r="M114" s="753"/>
      <c r="N114" s="753"/>
      <c r="O114" s="753"/>
      <c r="P114" s="753"/>
      <c r="Q114" s="753"/>
      <c r="R114" s="753"/>
      <c r="S114" s="753"/>
      <c r="T114" s="753"/>
      <c r="U114" s="753"/>
      <c r="V114" s="753"/>
      <c r="W114" s="753"/>
      <c r="X114" s="753"/>
      <c r="Y114" s="753"/>
      <c r="Z114" s="753"/>
      <c r="AA114" s="753"/>
      <c r="AB114" s="753"/>
      <c r="AC114" s="753"/>
      <c r="AD114" s="753"/>
      <c r="AE114" s="753"/>
      <c r="AF114" s="753"/>
      <c r="AG114" s="753"/>
      <c r="AH114" s="753"/>
      <c r="AI114" s="753"/>
      <c r="AJ114" s="753"/>
      <c r="AK114" s="753"/>
    </row>
    <row r="115" spans="1:37" s="579" customFormat="1" hidden="1">
      <c r="A115" s="630"/>
      <c r="B115" s="631" t="s">
        <v>720</v>
      </c>
      <c r="C115" s="713"/>
      <c r="D115" s="713"/>
      <c r="E115" s="713"/>
      <c r="F115" s="630"/>
      <c r="G115" s="630"/>
      <c r="H115" s="630"/>
      <c r="I115" s="630"/>
      <c r="J115" s="630"/>
      <c r="K115" s="713"/>
      <c r="L115" s="753"/>
      <c r="M115" s="753"/>
      <c r="N115" s="753"/>
      <c r="O115" s="753"/>
      <c r="P115" s="753"/>
      <c r="Q115" s="753"/>
      <c r="R115" s="753"/>
      <c r="S115" s="753"/>
      <c r="T115" s="753"/>
      <c r="U115" s="753"/>
      <c r="V115" s="753"/>
      <c r="W115" s="753"/>
      <c r="X115" s="753"/>
      <c r="Y115" s="753"/>
      <c r="Z115" s="753"/>
      <c r="AA115" s="753"/>
      <c r="AB115" s="753"/>
      <c r="AC115" s="753"/>
      <c r="AD115" s="753"/>
      <c r="AE115" s="753"/>
      <c r="AF115" s="753"/>
      <c r="AG115" s="753"/>
      <c r="AH115" s="753"/>
      <c r="AI115" s="753"/>
      <c r="AJ115" s="753"/>
      <c r="AK115" s="753"/>
    </row>
    <row r="116" spans="1:37" s="579" customFormat="1" hidden="1">
      <c r="A116" s="630">
        <v>1</v>
      </c>
      <c r="B116" s="632" t="s">
        <v>901</v>
      </c>
      <c r="C116" s="713" t="s">
        <v>902</v>
      </c>
      <c r="D116" s="713">
        <v>1</v>
      </c>
      <c r="E116" s="713" t="s">
        <v>790</v>
      </c>
      <c r="F116" s="630"/>
      <c r="G116" s="630"/>
      <c r="H116" s="630"/>
      <c r="I116" s="630"/>
      <c r="J116" s="630"/>
      <c r="K116" s="713"/>
      <c r="L116" s="753"/>
      <c r="M116" s="753"/>
      <c r="N116" s="753"/>
      <c r="O116" s="753"/>
      <c r="P116" s="753"/>
      <c r="Q116" s="753"/>
      <c r="R116" s="753"/>
      <c r="S116" s="753"/>
      <c r="T116" s="753"/>
      <c r="U116" s="753"/>
      <c r="V116" s="753"/>
      <c r="W116" s="753"/>
      <c r="X116" s="753"/>
      <c r="Y116" s="753"/>
      <c r="Z116" s="753"/>
      <c r="AA116" s="753"/>
      <c r="AB116" s="753"/>
      <c r="AC116" s="753"/>
      <c r="AD116" s="753"/>
      <c r="AE116" s="753"/>
      <c r="AF116" s="753"/>
      <c r="AG116" s="753"/>
      <c r="AH116" s="753"/>
      <c r="AI116" s="753"/>
      <c r="AJ116" s="753"/>
      <c r="AK116" s="753"/>
    </row>
    <row r="117" spans="1:37" s="633" customFormat="1" hidden="1">
      <c r="A117" s="630">
        <v>2</v>
      </c>
      <c r="B117" s="632" t="s">
        <v>721</v>
      </c>
      <c r="C117" s="713">
        <v>4191</v>
      </c>
      <c r="D117" s="713">
        <v>2</v>
      </c>
      <c r="E117" s="713" t="s">
        <v>176</v>
      </c>
      <c r="F117" s="630">
        <v>15837</v>
      </c>
      <c r="G117" s="630">
        <v>15423</v>
      </c>
      <c r="H117" s="630">
        <v>97</v>
      </c>
      <c r="I117" s="630">
        <v>100</v>
      </c>
      <c r="J117" s="630">
        <v>100</v>
      </c>
      <c r="K117" s="713" t="s">
        <v>100</v>
      </c>
      <c r="L117" s="755"/>
      <c r="M117" s="755"/>
      <c r="N117" s="755"/>
      <c r="O117" s="755"/>
      <c r="P117" s="755"/>
      <c r="Q117" s="755"/>
      <c r="R117" s="755"/>
      <c r="S117" s="755"/>
      <c r="T117" s="755"/>
      <c r="U117" s="755"/>
      <c r="V117" s="755"/>
      <c r="W117" s="755"/>
      <c r="X117" s="755"/>
      <c r="Y117" s="755"/>
      <c r="Z117" s="755"/>
      <c r="AA117" s="755"/>
      <c r="AB117" s="755"/>
      <c r="AC117" s="755"/>
      <c r="AD117" s="755"/>
      <c r="AE117" s="755"/>
      <c r="AF117" s="755"/>
      <c r="AG117" s="755"/>
      <c r="AH117" s="755"/>
      <c r="AI117" s="755"/>
      <c r="AJ117" s="755"/>
      <c r="AK117" s="755"/>
    </row>
    <row r="118" spans="1:37" hidden="1">
      <c r="A118" s="630">
        <v>3</v>
      </c>
      <c r="B118" s="632" t="s">
        <v>722</v>
      </c>
      <c r="C118" s="713">
        <v>4185</v>
      </c>
      <c r="D118" s="713">
        <v>3</v>
      </c>
      <c r="E118" s="713" t="s">
        <v>176</v>
      </c>
      <c r="F118" s="630">
        <v>3340</v>
      </c>
      <c r="G118" s="630">
        <v>3222</v>
      </c>
      <c r="H118" s="630">
        <v>96</v>
      </c>
      <c r="I118" s="630">
        <v>47</v>
      </c>
      <c r="J118" s="630">
        <v>100</v>
      </c>
      <c r="K118" s="713" t="s">
        <v>574</v>
      </c>
    </row>
    <row r="119" spans="1:37" hidden="1">
      <c r="A119" s="630">
        <v>4</v>
      </c>
      <c r="B119" s="632" t="s">
        <v>723</v>
      </c>
      <c r="C119" s="713">
        <v>4192</v>
      </c>
      <c r="D119" s="713">
        <v>4</v>
      </c>
      <c r="E119" s="713" t="s">
        <v>176</v>
      </c>
      <c r="F119" s="630">
        <v>3803</v>
      </c>
      <c r="G119" s="630">
        <v>3615</v>
      </c>
      <c r="H119" s="630">
        <v>95</v>
      </c>
      <c r="I119" s="630">
        <v>100</v>
      </c>
      <c r="J119" s="630">
        <v>100</v>
      </c>
      <c r="K119" s="713" t="s">
        <v>100</v>
      </c>
    </row>
    <row r="120" spans="1:37" hidden="1">
      <c r="A120" s="630"/>
      <c r="B120" s="631" t="s">
        <v>724</v>
      </c>
      <c r="C120" s="713"/>
      <c r="D120" s="713"/>
      <c r="E120" s="713"/>
      <c r="F120" s="630"/>
      <c r="G120" s="630"/>
      <c r="H120" s="630"/>
      <c r="I120" s="630"/>
      <c r="J120" s="630"/>
      <c r="K120" s="713"/>
    </row>
    <row r="121" spans="1:37" hidden="1">
      <c r="A121" s="630">
        <v>1</v>
      </c>
      <c r="B121" s="632" t="s">
        <v>901</v>
      </c>
      <c r="C121" s="713" t="s">
        <v>902</v>
      </c>
      <c r="D121" s="713">
        <v>1</v>
      </c>
      <c r="E121" s="713" t="s">
        <v>790</v>
      </c>
      <c r="F121" s="630"/>
      <c r="G121" s="630"/>
      <c r="H121" s="630"/>
      <c r="I121" s="630"/>
      <c r="J121" s="630"/>
      <c r="K121" s="713"/>
    </row>
    <row r="122" spans="1:37" hidden="1">
      <c r="A122" s="630">
        <v>2</v>
      </c>
      <c r="B122" s="632" t="s">
        <v>725</v>
      </c>
      <c r="C122" s="713">
        <v>8090</v>
      </c>
      <c r="D122" s="713">
        <v>2</v>
      </c>
      <c r="E122" s="713" t="s">
        <v>176</v>
      </c>
      <c r="F122" s="630">
        <v>28406</v>
      </c>
      <c r="G122" s="630">
        <v>8931</v>
      </c>
      <c r="H122" s="630">
        <v>31</v>
      </c>
      <c r="I122" s="630">
        <v>1</v>
      </c>
      <c r="J122" s="630">
        <v>31</v>
      </c>
      <c r="K122" s="713" t="s">
        <v>1094</v>
      </c>
    </row>
    <row r="123" spans="1:37" hidden="1">
      <c r="A123" s="630"/>
      <c r="B123" s="631" t="s">
        <v>726</v>
      </c>
      <c r="C123" s="713"/>
      <c r="D123" s="713"/>
      <c r="E123" s="713"/>
      <c r="F123" s="630"/>
      <c r="G123" s="630"/>
      <c r="H123" s="630"/>
      <c r="I123" s="630"/>
      <c r="J123" s="630"/>
      <c r="K123" s="713"/>
    </row>
    <row r="124" spans="1:37" hidden="1">
      <c r="A124" s="630">
        <v>1</v>
      </c>
      <c r="B124" s="632" t="s">
        <v>901</v>
      </c>
      <c r="C124" s="713" t="s">
        <v>902</v>
      </c>
      <c r="D124" s="713">
        <v>1</v>
      </c>
      <c r="E124" s="713" t="s">
        <v>790</v>
      </c>
      <c r="F124" s="630"/>
      <c r="G124" s="630"/>
      <c r="H124" s="630"/>
      <c r="I124" s="630"/>
      <c r="J124" s="630"/>
      <c r="K124" s="713"/>
    </row>
    <row r="125" spans="1:37" hidden="1">
      <c r="A125" s="630">
        <v>2</v>
      </c>
      <c r="B125" s="632" t="s">
        <v>727</v>
      </c>
      <c r="C125" s="713">
        <v>2875</v>
      </c>
      <c r="D125" s="713">
        <v>2</v>
      </c>
      <c r="E125" s="713" t="s">
        <v>243</v>
      </c>
      <c r="F125" s="630">
        <v>3637</v>
      </c>
      <c r="G125" s="630">
        <v>3556</v>
      </c>
      <c r="H125" s="630">
        <v>98</v>
      </c>
      <c r="I125" s="630">
        <v>0</v>
      </c>
      <c r="J125" s="630">
        <v>27</v>
      </c>
      <c r="K125" s="713" t="s">
        <v>705</v>
      </c>
    </row>
    <row r="126" spans="1:37" hidden="1">
      <c r="A126" s="630"/>
      <c r="B126" s="631" t="s">
        <v>965</v>
      </c>
      <c r="C126" s="713"/>
      <c r="D126" s="713"/>
      <c r="E126" s="713"/>
      <c r="F126" s="630"/>
      <c r="G126" s="630"/>
      <c r="H126" s="630"/>
      <c r="I126" s="630"/>
      <c r="J126" s="630"/>
      <c r="K126" s="713"/>
    </row>
    <row r="127" spans="1:37" hidden="1">
      <c r="A127" s="630">
        <v>1</v>
      </c>
      <c r="B127" s="632" t="s">
        <v>901</v>
      </c>
      <c r="C127" s="713" t="s">
        <v>902</v>
      </c>
      <c r="D127" s="713">
        <v>1</v>
      </c>
      <c r="E127" s="713" t="s">
        <v>790</v>
      </c>
      <c r="F127" s="630"/>
      <c r="G127" s="630"/>
      <c r="H127" s="630"/>
      <c r="I127" s="630"/>
      <c r="J127" s="630"/>
      <c r="K127" s="713"/>
    </row>
    <row r="128" spans="1:37" hidden="1">
      <c r="A128" s="630">
        <v>2</v>
      </c>
      <c r="B128" s="632" t="s">
        <v>966</v>
      </c>
      <c r="C128" s="713">
        <v>5579</v>
      </c>
      <c r="D128" s="713">
        <v>2</v>
      </c>
      <c r="E128" s="713" t="s">
        <v>243</v>
      </c>
      <c r="F128" s="630">
        <v>40580</v>
      </c>
      <c r="G128" s="630">
        <v>39678</v>
      </c>
      <c r="H128" s="630">
        <v>98</v>
      </c>
      <c r="I128" s="630">
        <v>4</v>
      </c>
      <c r="J128" s="630">
        <v>27</v>
      </c>
      <c r="K128" s="713" t="s">
        <v>574</v>
      </c>
    </row>
    <row r="129" spans="1:11" hidden="1">
      <c r="A129" s="630">
        <v>3</v>
      </c>
      <c r="B129" s="632" t="s">
        <v>967</v>
      </c>
      <c r="C129" s="713">
        <v>5551</v>
      </c>
      <c r="D129" s="713">
        <v>3</v>
      </c>
      <c r="E129" s="713" t="s">
        <v>243</v>
      </c>
      <c r="F129" s="630">
        <v>10888</v>
      </c>
      <c r="G129" s="630">
        <v>10153</v>
      </c>
      <c r="H129" s="630">
        <v>93</v>
      </c>
      <c r="I129" s="630">
        <v>32</v>
      </c>
      <c r="J129" s="630">
        <v>27</v>
      </c>
      <c r="K129" s="713" t="s">
        <v>100</v>
      </c>
    </row>
    <row r="130" spans="1:11" hidden="1">
      <c r="A130" s="630">
        <v>4</v>
      </c>
      <c r="B130" s="632" t="s">
        <v>968</v>
      </c>
      <c r="C130" s="713">
        <v>92</v>
      </c>
      <c r="D130" s="713">
        <v>4</v>
      </c>
      <c r="E130" s="713" t="s">
        <v>243</v>
      </c>
      <c r="F130" s="630">
        <v>126816</v>
      </c>
      <c r="G130" s="630">
        <v>125132</v>
      </c>
      <c r="H130" s="630">
        <v>99</v>
      </c>
      <c r="I130" s="630">
        <v>4</v>
      </c>
      <c r="J130" s="630">
        <v>27</v>
      </c>
      <c r="K130" s="713" t="s">
        <v>574</v>
      </c>
    </row>
    <row r="131" spans="1:11" hidden="1">
      <c r="A131" s="630">
        <v>5</v>
      </c>
      <c r="B131" s="632" t="s">
        <v>969</v>
      </c>
      <c r="C131" s="713">
        <v>8021</v>
      </c>
      <c r="D131" s="713">
        <v>5</v>
      </c>
      <c r="E131" s="713" t="s">
        <v>243</v>
      </c>
      <c r="F131" s="630">
        <v>10653</v>
      </c>
      <c r="G131" s="630">
        <v>10348</v>
      </c>
      <c r="H131" s="630">
        <v>97</v>
      </c>
      <c r="I131" s="630">
        <v>24</v>
      </c>
      <c r="J131" s="630">
        <v>27</v>
      </c>
      <c r="K131" s="713" t="s">
        <v>1111</v>
      </c>
    </row>
    <row r="132" spans="1:11" hidden="1">
      <c r="A132" s="630">
        <v>6</v>
      </c>
      <c r="B132" s="632" t="s">
        <v>211</v>
      </c>
      <c r="C132" s="713">
        <v>9227</v>
      </c>
      <c r="D132" s="713">
        <v>6</v>
      </c>
      <c r="E132" s="713" t="s">
        <v>243</v>
      </c>
      <c r="F132" s="630">
        <v>33259</v>
      </c>
      <c r="G132" s="630">
        <v>33103</v>
      </c>
      <c r="H132" s="630">
        <v>100</v>
      </c>
      <c r="I132" s="630">
        <v>60</v>
      </c>
      <c r="J132" s="630">
        <v>27</v>
      </c>
      <c r="K132" s="713" t="s">
        <v>100</v>
      </c>
    </row>
    <row r="133" spans="1:11" hidden="1">
      <c r="A133" s="630">
        <v>7</v>
      </c>
      <c r="B133" s="632" t="s">
        <v>428</v>
      </c>
      <c r="C133" s="713">
        <v>9222</v>
      </c>
      <c r="D133" s="713">
        <v>7</v>
      </c>
      <c r="E133" s="713" t="s">
        <v>243</v>
      </c>
      <c r="F133" s="630">
        <v>31873</v>
      </c>
      <c r="G133" s="630">
        <v>31861</v>
      </c>
      <c r="H133" s="630">
        <v>100</v>
      </c>
      <c r="I133" s="630">
        <v>28</v>
      </c>
      <c r="J133" s="630">
        <v>27</v>
      </c>
      <c r="K133" s="713" t="s">
        <v>100</v>
      </c>
    </row>
    <row r="134" spans="1:11" hidden="1">
      <c r="A134" s="630">
        <v>8</v>
      </c>
      <c r="B134" s="632" t="s">
        <v>429</v>
      </c>
      <c r="C134" s="713">
        <v>134</v>
      </c>
      <c r="D134" s="713">
        <v>8</v>
      </c>
      <c r="E134" s="713" t="s">
        <v>243</v>
      </c>
      <c r="F134" s="630">
        <v>86434</v>
      </c>
      <c r="G134" s="630">
        <v>84831</v>
      </c>
      <c r="H134" s="630">
        <v>98</v>
      </c>
      <c r="I134" s="630">
        <v>57</v>
      </c>
      <c r="J134" s="630">
        <v>27</v>
      </c>
      <c r="K134" s="713" t="s">
        <v>100</v>
      </c>
    </row>
    <row r="135" spans="1:11" hidden="1">
      <c r="A135" s="630">
        <v>9</v>
      </c>
      <c r="B135" s="632" t="s">
        <v>430</v>
      </c>
      <c r="C135" s="713">
        <v>9243</v>
      </c>
      <c r="D135" s="713">
        <v>9</v>
      </c>
      <c r="E135" s="713" t="s">
        <v>243</v>
      </c>
      <c r="F135" s="630">
        <v>30418</v>
      </c>
      <c r="G135" s="630">
        <v>29195</v>
      </c>
      <c r="H135" s="630">
        <v>96</v>
      </c>
      <c r="I135" s="630">
        <v>11</v>
      </c>
      <c r="J135" s="630">
        <v>27</v>
      </c>
      <c r="K135" s="713" t="s">
        <v>574</v>
      </c>
    </row>
    <row r="136" spans="1:11" hidden="1">
      <c r="A136" s="630">
        <v>10</v>
      </c>
      <c r="B136" s="632" t="s">
        <v>678</v>
      </c>
      <c r="C136" s="713">
        <v>9219</v>
      </c>
      <c r="D136" s="713">
        <v>10</v>
      </c>
      <c r="E136" s="713" t="s">
        <v>243</v>
      </c>
      <c r="F136" s="630">
        <v>38834</v>
      </c>
      <c r="G136" s="630">
        <v>38654</v>
      </c>
      <c r="H136" s="630">
        <v>100</v>
      </c>
      <c r="I136" s="630">
        <v>29</v>
      </c>
      <c r="J136" s="630">
        <v>27</v>
      </c>
      <c r="K136" s="713" t="s">
        <v>100</v>
      </c>
    </row>
    <row r="137" spans="1:11" hidden="1">
      <c r="A137" s="630">
        <v>11</v>
      </c>
      <c r="B137" s="632" t="s">
        <v>679</v>
      </c>
      <c r="C137" s="713">
        <v>9224</v>
      </c>
      <c r="D137" s="713">
        <v>11</v>
      </c>
      <c r="E137" s="713" t="s">
        <v>243</v>
      </c>
      <c r="F137" s="630">
        <v>108481</v>
      </c>
      <c r="G137" s="630">
        <v>108221</v>
      </c>
      <c r="H137" s="630">
        <v>100</v>
      </c>
      <c r="I137" s="630">
        <v>40</v>
      </c>
      <c r="J137" s="630">
        <v>27</v>
      </c>
      <c r="K137" s="713" t="s">
        <v>100</v>
      </c>
    </row>
    <row r="138" spans="1:11" hidden="1">
      <c r="A138" s="630">
        <v>12</v>
      </c>
      <c r="B138" s="632" t="s">
        <v>2</v>
      </c>
      <c r="C138" s="713">
        <v>9201</v>
      </c>
      <c r="D138" s="713">
        <v>12</v>
      </c>
      <c r="E138" s="713" t="s">
        <v>243</v>
      </c>
      <c r="F138" s="630">
        <v>7513</v>
      </c>
      <c r="G138" s="630">
        <v>6608</v>
      </c>
      <c r="H138" s="630">
        <v>88</v>
      </c>
      <c r="I138" s="630">
        <v>7</v>
      </c>
      <c r="J138" s="630">
        <v>27</v>
      </c>
      <c r="K138" s="713" t="s">
        <v>574</v>
      </c>
    </row>
    <row r="139" spans="1:11" hidden="1">
      <c r="A139" s="630"/>
      <c r="B139" s="631" t="s">
        <v>3</v>
      </c>
      <c r="C139" s="713"/>
      <c r="D139" s="713"/>
      <c r="E139" s="713"/>
      <c r="F139" s="630"/>
      <c r="G139" s="630"/>
      <c r="H139" s="630"/>
      <c r="I139" s="630"/>
      <c r="J139" s="630"/>
      <c r="K139" s="713"/>
    </row>
    <row r="140" spans="1:11" hidden="1">
      <c r="A140" s="630">
        <v>1</v>
      </c>
      <c r="B140" s="632" t="s">
        <v>901</v>
      </c>
      <c r="C140" s="713" t="s">
        <v>902</v>
      </c>
      <c r="D140" s="713">
        <v>1</v>
      </c>
      <c r="E140" s="713" t="s">
        <v>790</v>
      </c>
      <c r="F140" s="630"/>
      <c r="G140" s="630"/>
      <c r="H140" s="630"/>
      <c r="I140" s="630"/>
      <c r="J140" s="630"/>
      <c r="K140" s="713"/>
    </row>
    <row r="141" spans="1:11" hidden="1">
      <c r="A141" s="630">
        <v>2</v>
      </c>
      <c r="B141" s="632" t="s">
        <v>4</v>
      </c>
      <c r="C141" s="713">
        <v>8030</v>
      </c>
      <c r="D141" s="713">
        <v>2</v>
      </c>
      <c r="E141" s="713" t="s">
        <v>243</v>
      </c>
      <c r="F141" s="630">
        <v>5083</v>
      </c>
      <c r="G141" s="630">
        <v>5080</v>
      </c>
      <c r="H141" s="630">
        <v>100</v>
      </c>
      <c r="I141" s="630">
        <v>84</v>
      </c>
      <c r="J141" s="630">
        <v>29</v>
      </c>
      <c r="K141" s="713" t="s">
        <v>100</v>
      </c>
    </row>
    <row r="142" spans="1:11" hidden="1">
      <c r="A142" s="630">
        <v>3</v>
      </c>
      <c r="B142" s="632" t="s">
        <v>5</v>
      </c>
      <c r="C142" s="713">
        <v>3139</v>
      </c>
      <c r="D142" s="713">
        <v>3</v>
      </c>
      <c r="E142" s="713" t="s">
        <v>243</v>
      </c>
      <c r="F142" s="630">
        <v>136130</v>
      </c>
      <c r="G142" s="630">
        <v>111742</v>
      </c>
      <c r="H142" s="630">
        <v>82</v>
      </c>
      <c r="I142" s="630">
        <v>3</v>
      </c>
      <c r="J142" s="630">
        <v>29</v>
      </c>
      <c r="K142" s="713" t="s">
        <v>574</v>
      </c>
    </row>
    <row r="143" spans="1:11" hidden="1">
      <c r="A143" s="630">
        <v>4</v>
      </c>
      <c r="B143" s="632" t="s">
        <v>6</v>
      </c>
      <c r="C143" s="713">
        <v>34</v>
      </c>
      <c r="D143" s="713">
        <v>4</v>
      </c>
      <c r="E143" s="713" t="s">
        <v>243</v>
      </c>
      <c r="F143" s="630">
        <v>244857</v>
      </c>
      <c r="G143" s="630">
        <v>207709</v>
      </c>
      <c r="H143" s="630">
        <v>85</v>
      </c>
      <c r="I143" s="630">
        <v>17</v>
      </c>
      <c r="J143" s="630">
        <v>29</v>
      </c>
      <c r="K143" s="713" t="s">
        <v>1111</v>
      </c>
    </row>
    <row r="144" spans="1:11" hidden="1">
      <c r="A144" s="630">
        <v>5</v>
      </c>
      <c r="B144" s="632" t="s">
        <v>7</v>
      </c>
      <c r="C144" s="713">
        <v>35</v>
      </c>
      <c r="D144" s="713">
        <v>5</v>
      </c>
      <c r="E144" s="713" t="s">
        <v>247</v>
      </c>
      <c r="F144" s="630">
        <v>18005</v>
      </c>
      <c r="G144" s="630">
        <v>8692</v>
      </c>
      <c r="H144" s="630">
        <v>48</v>
      </c>
      <c r="I144" s="630">
        <v>0</v>
      </c>
      <c r="J144" s="630">
        <v>29</v>
      </c>
      <c r="K144" s="713" t="s">
        <v>705</v>
      </c>
    </row>
    <row r="145" spans="1:11" hidden="1">
      <c r="A145" s="630">
        <v>6</v>
      </c>
      <c r="B145" s="632" t="s">
        <v>8</v>
      </c>
      <c r="C145" s="713">
        <v>8013</v>
      </c>
      <c r="D145" s="713">
        <v>6</v>
      </c>
      <c r="E145" s="713" t="s">
        <v>245</v>
      </c>
      <c r="F145" s="630">
        <v>125367</v>
      </c>
      <c r="G145" s="630">
        <v>89727</v>
      </c>
      <c r="H145" s="630">
        <v>72</v>
      </c>
      <c r="I145" s="630">
        <v>0</v>
      </c>
      <c r="J145" s="630">
        <v>29</v>
      </c>
      <c r="K145" s="713" t="s">
        <v>705</v>
      </c>
    </row>
    <row r="146" spans="1:11" hidden="1">
      <c r="A146" s="630">
        <v>7</v>
      </c>
      <c r="B146" s="632" t="s">
        <v>9</v>
      </c>
      <c r="C146" s="713">
        <v>9288</v>
      </c>
      <c r="D146" s="713">
        <v>7</v>
      </c>
      <c r="E146" s="713" t="s">
        <v>243</v>
      </c>
      <c r="F146" s="630">
        <v>12569</v>
      </c>
      <c r="G146" s="630">
        <v>11858</v>
      </c>
      <c r="H146" s="630">
        <v>94</v>
      </c>
      <c r="I146" s="630">
        <v>0</v>
      </c>
      <c r="J146" s="630">
        <v>29</v>
      </c>
      <c r="K146" s="713" t="s">
        <v>705</v>
      </c>
    </row>
    <row r="147" spans="1:11" hidden="1">
      <c r="A147" s="630">
        <v>8</v>
      </c>
      <c r="B147" s="632" t="s">
        <v>1199</v>
      </c>
      <c r="C147" s="713">
        <v>2327</v>
      </c>
      <c r="D147" s="713">
        <v>8</v>
      </c>
      <c r="E147" s="713" t="s">
        <v>247</v>
      </c>
      <c r="F147" s="630">
        <v>42800</v>
      </c>
      <c r="G147" s="630">
        <v>24167</v>
      </c>
      <c r="H147" s="630">
        <v>56</v>
      </c>
      <c r="I147" s="630">
        <v>0</v>
      </c>
      <c r="J147" s="630">
        <v>29</v>
      </c>
      <c r="K147" s="713" t="s">
        <v>705</v>
      </c>
    </row>
    <row r="148" spans="1:11" hidden="1">
      <c r="A148" s="630">
        <v>9</v>
      </c>
      <c r="B148" s="632" t="s">
        <v>1200</v>
      </c>
      <c r="C148" s="713">
        <v>87</v>
      </c>
      <c r="D148" s="713">
        <v>9</v>
      </c>
      <c r="E148" s="713" t="s">
        <v>247</v>
      </c>
      <c r="F148" s="630">
        <v>275539</v>
      </c>
      <c r="G148" s="630">
        <v>123336</v>
      </c>
      <c r="H148" s="630">
        <v>45</v>
      </c>
      <c r="I148" s="630">
        <v>0</v>
      </c>
      <c r="J148" s="630">
        <v>29</v>
      </c>
      <c r="K148" s="713" t="s">
        <v>1094</v>
      </c>
    </row>
    <row r="149" spans="1:11" hidden="1">
      <c r="A149" s="630">
        <v>10</v>
      </c>
      <c r="B149" s="632" t="s">
        <v>212</v>
      </c>
      <c r="C149" s="713">
        <v>2869</v>
      </c>
      <c r="D149" s="713">
        <v>10</v>
      </c>
      <c r="E149" s="713" t="s">
        <v>243</v>
      </c>
      <c r="F149" s="630">
        <v>93938</v>
      </c>
      <c r="G149" s="630">
        <v>92078</v>
      </c>
      <c r="H149" s="630">
        <v>98</v>
      </c>
      <c r="I149" s="630">
        <v>1</v>
      </c>
      <c r="J149" s="630">
        <v>29</v>
      </c>
      <c r="K149" s="713" t="s">
        <v>1094</v>
      </c>
    </row>
    <row r="150" spans="1:11" hidden="1">
      <c r="A150" s="630">
        <v>11</v>
      </c>
      <c r="B150" s="632" t="s">
        <v>213</v>
      </c>
      <c r="C150" s="713">
        <v>5555</v>
      </c>
      <c r="D150" s="713">
        <v>11</v>
      </c>
      <c r="E150" s="713" t="s">
        <v>243</v>
      </c>
      <c r="F150" s="630">
        <v>39414</v>
      </c>
      <c r="G150" s="630">
        <v>36866</v>
      </c>
      <c r="H150" s="630">
        <v>94</v>
      </c>
      <c r="I150" s="630">
        <v>33</v>
      </c>
      <c r="J150" s="630">
        <v>29</v>
      </c>
      <c r="K150" s="713" t="s">
        <v>100</v>
      </c>
    </row>
    <row r="151" spans="1:11" hidden="1">
      <c r="A151" s="630">
        <v>12</v>
      </c>
      <c r="B151" s="632" t="s">
        <v>214</v>
      </c>
      <c r="C151" s="713">
        <v>9231</v>
      </c>
      <c r="D151" s="713">
        <v>12</v>
      </c>
      <c r="E151" s="713" t="s">
        <v>243</v>
      </c>
      <c r="F151" s="630">
        <v>26435</v>
      </c>
      <c r="G151" s="630">
        <v>25501</v>
      </c>
      <c r="H151" s="630">
        <v>96</v>
      </c>
      <c r="I151" s="630">
        <v>17</v>
      </c>
      <c r="J151" s="630">
        <v>29</v>
      </c>
      <c r="K151" s="713" t="s">
        <v>1111</v>
      </c>
    </row>
    <row r="152" spans="1:11" hidden="1">
      <c r="A152" s="630">
        <v>13</v>
      </c>
      <c r="B152" s="632" t="s">
        <v>215</v>
      </c>
      <c r="C152" s="713">
        <v>1</v>
      </c>
      <c r="D152" s="713">
        <v>13</v>
      </c>
      <c r="E152" s="713" t="s">
        <v>243</v>
      </c>
      <c r="F152" s="630">
        <v>105854</v>
      </c>
      <c r="G152" s="630">
        <v>97588</v>
      </c>
      <c r="H152" s="630">
        <v>92</v>
      </c>
      <c r="I152" s="630">
        <v>23</v>
      </c>
      <c r="J152" s="630">
        <v>29</v>
      </c>
      <c r="K152" s="713" t="s">
        <v>1111</v>
      </c>
    </row>
    <row r="153" spans="1:11" hidden="1">
      <c r="A153" s="630">
        <v>14</v>
      </c>
      <c r="B153" s="632" t="s">
        <v>216</v>
      </c>
      <c r="C153" s="713">
        <v>8024</v>
      </c>
      <c r="D153" s="713">
        <v>14</v>
      </c>
      <c r="E153" s="713" t="s">
        <v>243</v>
      </c>
      <c r="F153" s="630">
        <v>46035</v>
      </c>
      <c r="G153" s="630">
        <v>37936</v>
      </c>
      <c r="H153" s="630">
        <v>82</v>
      </c>
      <c r="I153" s="630">
        <v>0</v>
      </c>
      <c r="J153" s="630">
        <v>29</v>
      </c>
      <c r="K153" s="713" t="s">
        <v>705</v>
      </c>
    </row>
    <row r="154" spans="1:11" hidden="1">
      <c r="A154" s="630">
        <v>15</v>
      </c>
      <c r="B154" s="632" t="s">
        <v>217</v>
      </c>
      <c r="C154" s="713">
        <v>9220</v>
      </c>
      <c r="D154" s="713">
        <v>15</v>
      </c>
      <c r="E154" s="713" t="s">
        <v>243</v>
      </c>
      <c r="F154" s="630">
        <v>32071</v>
      </c>
      <c r="G154" s="630">
        <v>31905</v>
      </c>
      <c r="H154" s="630">
        <v>99</v>
      </c>
      <c r="I154" s="630">
        <v>16</v>
      </c>
      <c r="J154" s="630">
        <v>29</v>
      </c>
      <c r="K154" s="713" t="s">
        <v>1111</v>
      </c>
    </row>
    <row r="155" spans="1:11" hidden="1">
      <c r="A155" s="630">
        <v>16</v>
      </c>
      <c r="B155" s="632" t="s">
        <v>1185</v>
      </c>
      <c r="C155" s="713">
        <v>152</v>
      </c>
      <c r="D155" s="713">
        <v>16</v>
      </c>
      <c r="E155" s="713" t="s">
        <v>243</v>
      </c>
      <c r="F155" s="630">
        <v>164619</v>
      </c>
      <c r="G155" s="630">
        <v>162056</v>
      </c>
      <c r="H155" s="630">
        <v>98</v>
      </c>
      <c r="I155" s="630">
        <v>4</v>
      </c>
      <c r="J155" s="630">
        <v>29</v>
      </c>
      <c r="K155" s="713" t="s">
        <v>574</v>
      </c>
    </row>
    <row r="156" spans="1:11" hidden="1">
      <c r="A156" s="630">
        <v>17</v>
      </c>
      <c r="B156" s="632" t="s">
        <v>1186</v>
      </c>
      <c r="C156" s="713">
        <v>5552</v>
      </c>
      <c r="D156" s="713">
        <v>17</v>
      </c>
      <c r="E156" s="713" t="s">
        <v>243</v>
      </c>
      <c r="F156" s="630">
        <v>119002</v>
      </c>
      <c r="G156" s="630">
        <v>112297</v>
      </c>
      <c r="H156" s="630">
        <v>94</v>
      </c>
      <c r="I156" s="630">
        <v>24</v>
      </c>
      <c r="J156" s="630">
        <v>29</v>
      </c>
      <c r="K156" s="713" t="s">
        <v>1111</v>
      </c>
    </row>
    <row r="157" spans="1:11" hidden="1">
      <c r="A157" s="630"/>
      <c r="B157" s="631" t="s">
        <v>1187</v>
      </c>
      <c r="C157" s="713"/>
      <c r="D157" s="713"/>
      <c r="E157" s="713"/>
      <c r="F157" s="630"/>
      <c r="G157" s="630"/>
      <c r="H157" s="630"/>
      <c r="I157" s="630"/>
      <c r="J157" s="630"/>
      <c r="K157" s="713"/>
    </row>
    <row r="158" spans="1:11" hidden="1">
      <c r="A158" s="630">
        <v>1</v>
      </c>
      <c r="B158" s="632" t="s">
        <v>901</v>
      </c>
      <c r="C158" s="713" t="s">
        <v>902</v>
      </c>
      <c r="D158" s="713">
        <v>1</v>
      </c>
      <c r="E158" s="713" t="s">
        <v>790</v>
      </c>
      <c r="F158" s="630"/>
      <c r="G158" s="630"/>
      <c r="H158" s="630"/>
      <c r="I158" s="630"/>
      <c r="J158" s="630"/>
      <c r="K158" s="713"/>
    </row>
    <row r="159" spans="1:11" hidden="1">
      <c r="A159" s="630">
        <v>2</v>
      </c>
      <c r="B159" s="632" t="s">
        <v>1188</v>
      </c>
      <c r="C159" s="713">
        <v>6</v>
      </c>
      <c r="D159" s="713">
        <v>2</v>
      </c>
      <c r="E159" s="713" t="s">
        <v>243</v>
      </c>
      <c r="F159" s="630">
        <v>29450</v>
      </c>
      <c r="G159" s="630">
        <v>28014</v>
      </c>
      <c r="H159" s="630">
        <v>95</v>
      </c>
      <c r="I159" s="630">
        <v>8</v>
      </c>
      <c r="J159" s="630">
        <v>32</v>
      </c>
      <c r="K159" s="713" t="s">
        <v>574</v>
      </c>
    </row>
    <row r="160" spans="1:11" hidden="1">
      <c r="A160" s="630">
        <v>3</v>
      </c>
      <c r="B160" s="632" t="s">
        <v>1189</v>
      </c>
      <c r="C160" s="713">
        <v>7</v>
      </c>
      <c r="D160" s="713">
        <v>3</v>
      </c>
      <c r="E160" s="713" t="s">
        <v>245</v>
      </c>
      <c r="F160" s="630">
        <v>23059</v>
      </c>
      <c r="G160" s="630">
        <v>16781</v>
      </c>
      <c r="H160" s="630">
        <v>73</v>
      </c>
      <c r="I160" s="630">
        <v>6</v>
      </c>
      <c r="J160" s="630">
        <v>32</v>
      </c>
      <c r="K160" s="713" t="s">
        <v>574</v>
      </c>
    </row>
    <row r="161" spans="1:11" hidden="1">
      <c r="A161" s="630">
        <v>4</v>
      </c>
      <c r="B161" s="632" t="s">
        <v>1190</v>
      </c>
      <c r="C161" s="713">
        <v>10</v>
      </c>
      <c r="D161" s="713">
        <v>4</v>
      </c>
      <c r="E161" s="713" t="s">
        <v>245</v>
      </c>
      <c r="F161" s="630">
        <v>70932</v>
      </c>
      <c r="G161" s="630">
        <v>52326</v>
      </c>
      <c r="H161" s="630">
        <v>74</v>
      </c>
      <c r="I161" s="630">
        <v>5</v>
      </c>
      <c r="J161" s="630">
        <v>32</v>
      </c>
      <c r="K161" s="713" t="s">
        <v>574</v>
      </c>
    </row>
    <row r="162" spans="1:11" hidden="1">
      <c r="A162" s="630">
        <v>5</v>
      </c>
      <c r="B162" s="632" t="s">
        <v>1191</v>
      </c>
      <c r="C162" s="713">
        <v>9249</v>
      </c>
      <c r="D162" s="713">
        <v>5</v>
      </c>
      <c r="E162" s="713" t="s">
        <v>243</v>
      </c>
      <c r="F162" s="630">
        <v>110464</v>
      </c>
      <c r="G162" s="630">
        <v>95867</v>
      </c>
      <c r="H162" s="630">
        <v>87</v>
      </c>
      <c r="I162" s="630">
        <v>0</v>
      </c>
      <c r="J162" s="630">
        <v>32</v>
      </c>
      <c r="K162" s="713" t="s">
        <v>1094</v>
      </c>
    </row>
    <row r="163" spans="1:11" hidden="1">
      <c r="A163" s="630">
        <v>6</v>
      </c>
      <c r="B163" s="632" t="s">
        <v>458</v>
      </c>
      <c r="C163" s="713">
        <v>9250</v>
      </c>
      <c r="D163" s="713">
        <v>6</v>
      </c>
      <c r="E163" s="713" t="s">
        <v>243</v>
      </c>
      <c r="F163" s="630">
        <v>68654</v>
      </c>
      <c r="G163" s="630">
        <v>66955</v>
      </c>
      <c r="H163" s="630">
        <v>98</v>
      </c>
      <c r="I163" s="630">
        <v>26</v>
      </c>
      <c r="J163" s="630">
        <v>32</v>
      </c>
      <c r="K163" s="713" t="s">
        <v>1111</v>
      </c>
    </row>
    <row r="164" spans="1:11" hidden="1">
      <c r="A164" s="630"/>
      <c r="B164" s="631" t="s">
        <v>1192</v>
      </c>
      <c r="C164" s="713"/>
      <c r="D164" s="713"/>
      <c r="E164" s="713"/>
      <c r="F164" s="630"/>
      <c r="G164" s="630"/>
      <c r="H164" s="630"/>
      <c r="I164" s="630"/>
      <c r="J164" s="630"/>
      <c r="K164" s="713"/>
    </row>
    <row r="165" spans="1:11" hidden="1">
      <c r="A165" s="630">
        <v>1</v>
      </c>
      <c r="B165" s="632" t="s">
        <v>901</v>
      </c>
      <c r="C165" s="713" t="s">
        <v>902</v>
      </c>
      <c r="D165" s="713">
        <v>1</v>
      </c>
      <c r="E165" s="713" t="s">
        <v>790</v>
      </c>
      <c r="F165" s="630"/>
      <c r="G165" s="630"/>
      <c r="H165" s="630"/>
      <c r="I165" s="630"/>
      <c r="J165" s="630"/>
      <c r="K165" s="713"/>
    </row>
    <row r="166" spans="1:11" hidden="1">
      <c r="A166" s="630">
        <v>2</v>
      </c>
      <c r="B166" s="632" t="s">
        <v>1193</v>
      </c>
      <c r="C166" s="713">
        <v>9211</v>
      </c>
      <c r="D166" s="713">
        <v>2</v>
      </c>
      <c r="E166" s="713" t="s">
        <v>247</v>
      </c>
      <c r="F166" s="630">
        <v>34097</v>
      </c>
      <c r="G166" s="630">
        <v>16199</v>
      </c>
      <c r="H166" s="630">
        <v>48</v>
      </c>
      <c r="I166" s="630">
        <v>2</v>
      </c>
      <c r="J166" s="630">
        <v>23</v>
      </c>
      <c r="K166" s="713" t="s">
        <v>574</v>
      </c>
    </row>
    <row r="167" spans="1:11" hidden="1">
      <c r="A167" s="630">
        <v>3</v>
      </c>
      <c r="B167" s="632" t="s">
        <v>1194</v>
      </c>
      <c r="C167" s="713">
        <v>8016</v>
      </c>
      <c r="D167" s="713">
        <v>3</v>
      </c>
      <c r="E167" s="713" t="s">
        <v>247</v>
      </c>
      <c r="F167" s="630">
        <v>43178</v>
      </c>
      <c r="G167" s="630">
        <v>12552</v>
      </c>
      <c r="H167" s="630">
        <v>29</v>
      </c>
      <c r="I167" s="630">
        <v>0</v>
      </c>
      <c r="J167" s="630">
        <v>23</v>
      </c>
      <c r="K167" s="713" t="s">
        <v>1094</v>
      </c>
    </row>
    <row r="168" spans="1:11" hidden="1">
      <c r="A168" s="630">
        <v>4</v>
      </c>
      <c r="B168" s="632" t="s">
        <v>1195</v>
      </c>
      <c r="C168" s="713">
        <v>8017</v>
      </c>
      <c r="D168" s="713">
        <v>4</v>
      </c>
      <c r="E168" s="713" t="s">
        <v>247</v>
      </c>
      <c r="F168" s="630">
        <v>56852</v>
      </c>
      <c r="G168" s="630">
        <v>25290</v>
      </c>
      <c r="H168" s="630">
        <v>44</v>
      </c>
      <c r="I168" s="630">
        <v>1</v>
      </c>
      <c r="J168" s="630">
        <v>23</v>
      </c>
      <c r="K168" s="713" t="s">
        <v>1094</v>
      </c>
    </row>
    <row r="169" spans="1:11" hidden="1">
      <c r="A169" s="630">
        <v>5</v>
      </c>
      <c r="B169" s="632" t="s">
        <v>1196</v>
      </c>
      <c r="C169" s="713">
        <v>8014</v>
      </c>
      <c r="D169" s="713">
        <v>5</v>
      </c>
      <c r="E169" s="713" t="s">
        <v>243</v>
      </c>
      <c r="F169" s="630">
        <v>56478</v>
      </c>
      <c r="G169" s="630">
        <v>56426</v>
      </c>
      <c r="H169" s="630">
        <v>100</v>
      </c>
      <c r="I169" s="630">
        <v>0</v>
      </c>
      <c r="J169" s="630">
        <v>23</v>
      </c>
      <c r="K169" s="713" t="s">
        <v>705</v>
      </c>
    </row>
    <row r="170" spans="1:11" hidden="1">
      <c r="A170" s="630">
        <v>6</v>
      </c>
      <c r="B170" s="632" t="s">
        <v>1197</v>
      </c>
      <c r="C170" s="713">
        <v>72</v>
      </c>
      <c r="D170" s="713">
        <v>6</v>
      </c>
      <c r="E170" s="713" t="s">
        <v>247</v>
      </c>
      <c r="F170" s="630">
        <v>15370</v>
      </c>
      <c r="G170" s="630">
        <v>4561</v>
      </c>
      <c r="H170" s="630">
        <v>30</v>
      </c>
      <c r="I170" s="630">
        <v>0</v>
      </c>
      <c r="J170" s="630">
        <v>23</v>
      </c>
      <c r="K170" s="713" t="s">
        <v>1094</v>
      </c>
    </row>
    <row r="171" spans="1:11" hidden="1">
      <c r="A171" s="630">
        <v>7</v>
      </c>
      <c r="B171" s="632" t="s">
        <v>1198</v>
      </c>
      <c r="C171" s="713">
        <v>878</v>
      </c>
      <c r="D171" s="713">
        <v>7</v>
      </c>
      <c r="E171" s="713" t="s">
        <v>243</v>
      </c>
      <c r="F171" s="630">
        <v>240260</v>
      </c>
      <c r="G171" s="630">
        <v>221444</v>
      </c>
      <c r="H171" s="630">
        <v>92</v>
      </c>
      <c r="I171" s="630">
        <v>34</v>
      </c>
      <c r="J171" s="630">
        <v>23</v>
      </c>
      <c r="K171" s="713" t="s">
        <v>100</v>
      </c>
    </row>
    <row r="172" spans="1:11" hidden="1">
      <c r="A172" s="630">
        <v>8</v>
      </c>
      <c r="B172" s="632" t="s">
        <v>774</v>
      </c>
      <c r="C172" s="713">
        <v>9264</v>
      </c>
      <c r="D172" s="713">
        <v>8</v>
      </c>
      <c r="E172" s="713" t="s">
        <v>243</v>
      </c>
      <c r="F172" s="630">
        <v>413666</v>
      </c>
      <c r="G172" s="630">
        <v>375050</v>
      </c>
      <c r="H172" s="630">
        <v>91</v>
      </c>
      <c r="I172" s="630">
        <v>16</v>
      </c>
      <c r="J172" s="630">
        <v>23</v>
      </c>
      <c r="K172" s="713" t="s">
        <v>1111</v>
      </c>
    </row>
    <row r="173" spans="1:11" hidden="1">
      <c r="A173" s="630">
        <v>9</v>
      </c>
      <c r="B173" s="632" t="s">
        <v>775</v>
      </c>
      <c r="C173" s="713">
        <v>9210</v>
      </c>
      <c r="D173" s="713">
        <v>9</v>
      </c>
      <c r="E173" s="713" t="s">
        <v>243</v>
      </c>
      <c r="F173" s="630">
        <v>21866</v>
      </c>
      <c r="G173" s="630">
        <v>19811</v>
      </c>
      <c r="H173" s="630">
        <v>91</v>
      </c>
      <c r="I173" s="630">
        <v>12</v>
      </c>
      <c r="J173" s="630">
        <v>23</v>
      </c>
      <c r="K173" s="713" t="s">
        <v>1111</v>
      </c>
    </row>
    <row r="174" spans="1:11" hidden="1">
      <c r="A174" s="630">
        <v>10</v>
      </c>
      <c r="B174" s="632" t="s">
        <v>776</v>
      </c>
      <c r="C174" s="713">
        <v>9226</v>
      </c>
      <c r="D174" s="713">
        <v>10</v>
      </c>
      <c r="E174" s="713" t="s">
        <v>243</v>
      </c>
      <c r="F174" s="630">
        <v>87881</v>
      </c>
      <c r="G174" s="630">
        <v>75567</v>
      </c>
      <c r="H174" s="630">
        <v>86</v>
      </c>
      <c r="I174" s="630">
        <v>8</v>
      </c>
      <c r="J174" s="630">
        <v>23</v>
      </c>
      <c r="K174" s="713" t="s">
        <v>574</v>
      </c>
    </row>
    <row r="175" spans="1:11" hidden="1">
      <c r="A175" s="630">
        <v>11</v>
      </c>
      <c r="B175" s="632" t="s">
        <v>777</v>
      </c>
      <c r="C175" s="713">
        <v>8023</v>
      </c>
      <c r="D175" s="713">
        <v>11</v>
      </c>
      <c r="E175" s="713" t="s">
        <v>245</v>
      </c>
      <c r="F175" s="630">
        <v>157412</v>
      </c>
      <c r="G175" s="630">
        <v>113671</v>
      </c>
      <c r="H175" s="630">
        <v>72</v>
      </c>
      <c r="I175" s="630">
        <v>17</v>
      </c>
      <c r="J175" s="630">
        <v>23</v>
      </c>
      <c r="K175" s="713" t="s">
        <v>1111</v>
      </c>
    </row>
    <row r="176" spans="1:11" hidden="1">
      <c r="A176" s="630">
        <v>12</v>
      </c>
      <c r="B176" s="632" t="s">
        <v>10</v>
      </c>
      <c r="C176" s="713">
        <v>9207</v>
      </c>
      <c r="D176" s="713">
        <v>12</v>
      </c>
      <c r="E176" s="713" t="s">
        <v>243</v>
      </c>
      <c r="F176" s="630">
        <v>88543</v>
      </c>
      <c r="G176" s="630">
        <v>87300</v>
      </c>
      <c r="H176" s="630">
        <v>99</v>
      </c>
      <c r="I176" s="630">
        <v>19</v>
      </c>
      <c r="J176" s="630">
        <v>23</v>
      </c>
      <c r="K176" s="713" t="s">
        <v>1111</v>
      </c>
    </row>
    <row r="177" spans="1:11" hidden="1">
      <c r="A177" s="630">
        <v>13</v>
      </c>
      <c r="B177" s="632" t="s">
        <v>11</v>
      </c>
      <c r="C177" s="713">
        <v>9208</v>
      </c>
      <c r="D177" s="713">
        <v>13</v>
      </c>
      <c r="E177" s="713" t="s">
        <v>243</v>
      </c>
      <c r="F177" s="630">
        <v>51501</v>
      </c>
      <c r="G177" s="630">
        <v>50745</v>
      </c>
      <c r="H177" s="630">
        <v>99</v>
      </c>
      <c r="I177" s="630">
        <v>59</v>
      </c>
      <c r="J177" s="630">
        <v>23</v>
      </c>
      <c r="K177" s="713" t="s">
        <v>100</v>
      </c>
    </row>
    <row r="178" spans="1:11" hidden="1">
      <c r="A178" s="630">
        <v>14</v>
      </c>
      <c r="B178" s="632" t="s">
        <v>1173</v>
      </c>
      <c r="C178" s="713">
        <v>9204</v>
      </c>
      <c r="D178" s="713">
        <v>14</v>
      </c>
      <c r="E178" s="713" t="s">
        <v>245</v>
      </c>
      <c r="F178" s="630">
        <v>227916</v>
      </c>
      <c r="G178" s="630">
        <v>151434</v>
      </c>
      <c r="H178" s="630">
        <v>66</v>
      </c>
      <c r="I178" s="630">
        <v>3</v>
      </c>
      <c r="J178" s="630">
        <v>23</v>
      </c>
      <c r="K178" s="713" t="s">
        <v>574</v>
      </c>
    </row>
    <row r="179" spans="1:11" hidden="1">
      <c r="A179" s="630"/>
      <c r="B179" s="631" t="s">
        <v>1174</v>
      </c>
      <c r="C179" s="713"/>
      <c r="D179" s="713"/>
      <c r="E179" s="713"/>
      <c r="F179" s="630"/>
      <c r="G179" s="630"/>
      <c r="H179" s="630"/>
      <c r="I179" s="630"/>
      <c r="J179" s="630"/>
      <c r="K179" s="713"/>
    </row>
    <row r="180" spans="1:11" hidden="1">
      <c r="A180" s="630">
        <v>1</v>
      </c>
      <c r="B180" s="632" t="s">
        <v>901</v>
      </c>
      <c r="C180" s="713" t="s">
        <v>902</v>
      </c>
      <c r="D180" s="713">
        <v>1</v>
      </c>
      <c r="E180" s="713" t="s">
        <v>790</v>
      </c>
      <c r="F180" s="630"/>
      <c r="G180" s="630"/>
      <c r="H180" s="630"/>
      <c r="I180" s="630"/>
      <c r="J180" s="630"/>
      <c r="K180" s="713"/>
    </row>
    <row r="181" spans="1:11" hidden="1">
      <c r="A181" s="630">
        <v>2</v>
      </c>
      <c r="B181" s="632" t="s">
        <v>853</v>
      </c>
      <c r="C181" s="713">
        <v>8027</v>
      </c>
      <c r="D181" s="713">
        <v>2</v>
      </c>
      <c r="E181" s="713" t="s">
        <v>243</v>
      </c>
      <c r="F181" s="630">
        <v>51324</v>
      </c>
      <c r="G181" s="630">
        <v>50320</v>
      </c>
      <c r="H181" s="630">
        <v>98</v>
      </c>
      <c r="I181" s="630">
        <v>21</v>
      </c>
      <c r="J181" s="630">
        <v>30</v>
      </c>
      <c r="K181" s="713" t="s">
        <v>1111</v>
      </c>
    </row>
    <row r="182" spans="1:11" hidden="1">
      <c r="A182" s="630">
        <v>3</v>
      </c>
      <c r="B182" s="632" t="s">
        <v>854</v>
      </c>
      <c r="C182" s="713">
        <v>8006</v>
      </c>
      <c r="D182" s="713">
        <v>3</v>
      </c>
      <c r="E182" s="713" t="s">
        <v>243</v>
      </c>
      <c r="F182" s="630">
        <v>116947</v>
      </c>
      <c r="G182" s="630">
        <v>109406</v>
      </c>
      <c r="H182" s="630">
        <v>94</v>
      </c>
      <c r="I182" s="630">
        <v>6</v>
      </c>
      <c r="J182" s="630">
        <v>30</v>
      </c>
      <c r="K182" s="713" t="s">
        <v>574</v>
      </c>
    </row>
    <row r="183" spans="1:11" hidden="1">
      <c r="A183" s="630">
        <v>4</v>
      </c>
      <c r="B183" s="632" t="s">
        <v>855</v>
      </c>
      <c r="C183" s="713">
        <v>30</v>
      </c>
      <c r="D183" s="713">
        <v>4</v>
      </c>
      <c r="E183" s="713" t="s">
        <v>247</v>
      </c>
      <c r="F183" s="630">
        <v>8986</v>
      </c>
      <c r="G183" s="630">
        <v>4052</v>
      </c>
      <c r="H183" s="630">
        <v>45</v>
      </c>
      <c r="I183" s="630">
        <v>33</v>
      </c>
      <c r="J183" s="630">
        <v>30</v>
      </c>
      <c r="K183" s="713" t="s">
        <v>100</v>
      </c>
    </row>
    <row r="184" spans="1:11" hidden="1">
      <c r="A184" s="630">
        <v>5</v>
      </c>
      <c r="B184" s="632" t="s">
        <v>856</v>
      </c>
      <c r="C184" s="713">
        <v>114</v>
      </c>
      <c r="D184" s="713">
        <v>5</v>
      </c>
      <c r="E184" s="713" t="s">
        <v>243</v>
      </c>
      <c r="F184" s="630">
        <v>23235</v>
      </c>
      <c r="G184" s="630">
        <v>21592</v>
      </c>
      <c r="H184" s="630">
        <v>93</v>
      </c>
      <c r="I184" s="630">
        <v>100</v>
      </c>
      <c r="J184" s="630">
        <v>30</v>
      </c>
      <c r="K184" s="713" t="s">
        <v>100</v>
      </c>
    </row>
    <row r="185" spans="1:11" hidden="1">
      <c r="A185" s="630">
        <v>6</v>
      </c>
      <c r="B185" s="632" t="s">
        <v>857</v>
      </c>
      <c r="C185" s="713">
        <v>9217</v>
      </c>
      <c r="D185" s="713">
        <v>6</v>
      </c>
      <c r="E185" s="713" t="s">
        <v>247</v>
      </c>
      <c r="F185" s="630">
        <v>4049</v>
      </c>
      <c r="G185" s="630">
        <v>2443</v>
      </c>
      <c r="H185" s="630">
        <v>60</v>
      </c>
      <c r="I185" s="630">
        <v>5</v>
      </c>
      <c r="J185" s="630">
        <v>30</v>
      </c>
      <c r="K185" s="713" t="s">
        <v>574</v>
      </c>
    </row>
    <row r="186" spans="1:11" hidden="1">
      <c r="A186" s="630">
        <v>7</v>
      </c>
      <c r="B186" s="632" t="s">
        <v>858</v>
      </c>
      <c r="C186" s="713">
        <v>9230</v>
      </c>
      <c r="D186" s="713">
        <v>7</v>
      </c>
      <c r="E186" s="713" t="s">
        <v>243</v>
      </c>
      <c r="F186" s="630">
        <v>10736</v>
      </c>
      <c r="G186" s="630">
        <v>10207</v>
      </c>
      <c r="H186" s="630">
        <v>95</v>
      </c>
      <c r="I186" s="630">
        <v>46</v>
      </c>
      <c r="J186" s="630">
        <v>30</v>
      </c>
      <c r="K186" s="713" t="s">
        <v>100</v>
      </c>
    </row>
    <row r="187" spans="1:11" hidden="1">
      <c r="A187" s="630">
        <v>8</v>
      </c>
      <c r="B187" s="632" t="s">
        <v>859</v>
      </c>
      <c r="C187" s="713">
        <v>5563</v>
      </c>
      <c r="D187" s="713">
        <v>8</v>
      </c>
      <c r="E187" s="713" t="s">
        <v>243</v>
      </c>
      <c r="F187" s="630">
        <v>1700</v>
      </c>
      <c r="G187" s="630">
        <v>1504</v>
      </c>
      <c r="H187" s="630">
        <v>88</v>
      </c>
      <c r="I187" s="630">
        <v>2</v>
      </c>
      <c r="J187" s="630">
        <v>30</v>
      </c>
      <c r="K187" s="713" t="s">
        <v>574</v>
      </c>
    </row>
    <row r="188" spans="1:11" hidden="1">
      <c r="A188" s="630">
        <v>9</v>
      </c>
      <c r="B188" s="632" t="s">
        <v>860</v>
      </c>
      <c r="C188" s="713">
        <v>9221</v>
      </c>
      <c r="D188" s="713">
        <v>9</v>
      </c>
      <c r="E188" s="713" t="s">
        <v>243</v>
      </c>
      <c r="F188" s="630">
        <v>122365</v>
      </c>
      <c r="G188" s="630">
        <v>119125</v>
      </c>
      <c r="H188" s="630">
        <v>97</v>
      </c>
      <c r="I188" s="630">
        <v>21</v>
      </c>
      <c r="J188" s="630">
        <v>30</v>
      </c>
      <c r="K188" s="713" t="s">
        <v>1111</v>
      </c>
    </row>
    <row r="189" spans="1:11" hidden="1">
      <c r="A189" s="630">
        <v>10</v>
      </c>
      <c r="B189" s="632" t="s">
        <v>861</v>
      </c>
      <c r="C189" s="713">
        <v>9223</v>
      </c>
      <c r="D189" s="713">
        <v>10</v>
      </c>
      <c r="E189" s="713" t="s">
        <v>243</v>
      </c>
      <c r="F189" s="630">
        <v>38080</v>
      </c>
      <c r="G189" s="630">
        <v>35510</v>
      </c>
      <c r="H189" s="630">
        <v>93</v>
      </c>
      <c r="I189" s="630">
        <v>39</v>
      </c>
      <c r="J189" s="630">
        <v>30</v>
      </c>
      <c r="K189" s="713" t="s">
        <v>100</v>
      </c>
    </row>
    <row r="190" spans="1:11" hidden="1">
      <c r="A190" s="630">
        <v>11</v>
      </c>
      <c r="B190" s="632" t="s">
        <v>603</v>
      </c>
      <c r="C190" s="713">
        <v>140</v>
      </c>
      <c r="D190" s="713">
        <v>11</v>
      </c>
      <c r="E190" s="713" t="s">
        <v>176</v>
      </c>
      <c r="F190" s="630">
        <v>46985</v>
      </c>
      <c r="G190" s="630">
        <v>11806</v>
      </c>
      <c r="H190" s="630">
        <v>25</v>
      </c>
      <c r="I190" s="630">
        <v>2</v>
      </c>
      <c r="J190" s="630">
        <v>30</v>
      </c>
      <c r="K190" s="713" t="s">
        <v>574</v>
      </c>
    </row>
    <row r="191" spans="1:11" hidden="1">
      <c r="A191" s="630">
        <v>12</v>
      </c>
      <c r="B191" s="632" t="s">
        <v>604</v>
      </c>
      <c r="C191" s="713">
        <v>153</v>
      </c>
      <c r="D191" s="713">
        <v>12</v>
      </c>
      <c r="E191" s="713" t="s">
        <v>247</v>
      </c>
      <c r="F191" s="630">
        <v>86850</v>
      </c>
      <c r="G191" s="630">
        <v>49925</v>
      </c>
      <c r="H191" s="630">
        <v>57</v>
      </c>
      <c r="I191" s="630">
        <v>4</v>
      </c>
      <c r="J191" s="630">
        <v>30</v>
      </c>
      <c r="K191" s="713" t="s">
        <v>574</v>
      </c>
    </row>
    <row r="192" spans="1:11" hidden="1">
      <c r="A192" s="630">
        <v>13</v>
      </c>
      <c r="B192" s="632" t="s">
        <v>241</v>
      </c>
      <c r="C192" s="713">
        <v>9232</v>
      </c>
      <c r="D192" s="713">
        <v>13</v>
      </c>
      <c r="E192" s="713" t="s">
        <v>243</v>
      </c>
      <c r="F192" s="630">
        <v>13467</v>
      </c>
      <c r="G192" s="630">
        <v>12634</v>
      </c>
      <c r="H192" s="630">
        <v>94</v>
      </c>
      <c r="I192" s="630">
        <v>48</v>
      </c>
      <c r="J192" s="630">
        <v>30</v>
      </c>
      <c r="K192" s="713" t="s">
        <v>100</v>
      </c>
    </row>
    <row r="193" spans="1:11" hidden="1">
      <c r="A193" s="630"/>
      <c r="B193" s="631" t="s">
        <v>1175</v>
      </c>
      <c r="C193" s="713"/>
      <c r="D193" s="713"/>
      <c r="E193" s="713"/>
      <c r="F193" s="630"/>
      <c r="G193" s="630"/>
      <c r="H193" s="630"/>
      <c r="I193" s="630"/>
      <c r="J193" s="630"/>
      <c r="K193" s="713"/>
    </row>
    <row r="194" spans="1:11" hidden="1">
      <c r="A194" s="630">
        <v>1</v>
      </c>
      <c r="B194" s="632" t="s">
        <v>901</v>
      </c>
      <c r="C194" s="713" t="s">
        <v>902</v>
      </c>
      <c r="D194" s="713">
        <v>1</v>
      </c>
      <c r="E194" s="713" t="s">
        <v>790</v>
      </c>
      <c r="F194" s="630"/>
      <c r="G194" s="630"/>
      <c r="H194" s="630"/>
      <c r="I194" s="630"/>
      <c r="J194" s="630"/>
      <c r="K194" s="713"/>
    </row>
    <row r="195" spans="1:11" hidden="1">
      <c r="A195" s="630">
        <v>2</v>
      </c>
      <c r="B195" s="632" t="s">
        <v>1176</v>
      </c>
      <c r="C195" s="713">
        <v>9206</v>
      </c>
      <c r="D195" s="713">
        <v>2</v>
      </c>
      <c r="E195" s="713" t="s">
        <v>243</v>
      </c>
      <c r="F195" s="630">
        <v>11878</v>
      </c>
      <c r="G195" s="630">
        <v>11875</v>
      </c>
      <c r="H195" s="630">
        <v>100</v>
      </c>
      <c r="I195" s="630">
        <v>22</v>
      </c>
      <c r="J195" s="630">
        <v>29</v>
      </c>
      <c r="K195" s="713" t="s">
        <v>1111</v>
      </c>
    </row>
    <row r="196" spans="1:11" hidden="1">
      <c r="A196" s="630">
        <v>3</v>
      </c>
      <c r="B196" s="632" t="s">
        <v>506</v>
      </c>
      <c r="C196" s="713">
        <v>185</v>
      </c>
      <c r="D196" s="713">
        <v>3</v>
      </c>
      <c r="E196" s="713" t="s">
        <v>247</v>
      </c>
      <c r="F196" s="630">
        <v>36662</v>
      </c>
      <c r="G196" s="630">
        <v>13537</v>
      </c>
      <c r="H196" s="630">
        <v>37</v>
      </c>
      <c r="I196" s="630">
        <v>0</v>
      </c>
      <c r="J196" s="630">
        <v>29</v>
      </c>
      <c r="K196" s="713" t="s">
        <v>1094</v>
      </c>
    </row>
    <row r="197" spans="1:11" hidden="1">
      <c r="A197" s="630">
        <v>4</v>
      </c>
      <c r="B197" s="632" t="s">
        <v>1072</v>
      </c>
      <c r="C197" s="713">
        <v>5580</v>
      </c>
      <c r="D197" s="713">
        <v>4</v>
      </c>
      <c r="E197" s="713" t="s">
        <v>243</v>
      </c>
      <c r="F197" s="630">
        <v>50202</v>
      </c>
      <c r="G197" s="630">
        <v>43133</v>
      </c>
      <c r="H197" s="630">
        <v>86</v>
      </c>
      <c r="I197" s="630">
        <v>2</v>
      </c>
      <c r="J197" s="630">
        <v>29</v>
      </c>
      <c r="K197" s="713" t="s">
        <v>574</v>
      </c>
    </row>
    <row r="198" spans="1:11" hidden="1">
      <c r="A198" s="630">
        <v>5</v>
      </c>
      <c r="B198" s="632" t="s">
        <v>1073</v>
      </c>
      <c r="C198" s="713">
        <v>86</v>
      </c>
      <c r="D198" s="713">
        <v>5</v>
      </c>
      <c r="E198" s="713" t="s">
        <v>247</v>
      </c>
      <c r="F198" s="630">
        <v>20708</v>
      </c>
      <c r="G198" s="630">
        <v>7700</v>
      </c>
      <c r="H198" s="630">
        <v>37</v>
      </c>
      <c r="I198" s="630">
        <v>0</v>
      </c>
      <c r="J198" s="630">
        <v>29</v>
      </c>
      <c r="K198" s="713" t="s">
        <v>705</v>
      </c>
    </row>
    <row r="199" spans="1:11" hidden="1">
      <c r="A199" s="630">
        <v>6</v>
      </c>
      <c r="B199" s="632" t="s">
        <v>1074</v>
      </c>
      <c r="C199" s="713">
        <v>138</v>
      </c>
      <c r="D199" s="713">
        <v>6</v>
      </c>
      <c r="E199" s="713" t="s">
        <v>243</v>
      </c>
      <c r="F199" s="630">
        <v>27639</v>
      </c>
      <c r="G199" s="630">
        <v>26877</v>
      </c>
      <c r="H199" s="630">
        <v>97</v>
      </c>
      <c r="I199" s="630">
        <v>7</v>
      </c>
      <c r="J199" s="630">
        <v>29</v>
      </c>
      <c r="K199" s="713" t="s">
        <v>574</v>
      </c>
    </row>
    <row r="200" spans="1:11" hidden="1">
      <c r="A200" s="630">
        <v>7</v>
      </c>
      <c r="B200" s="632" t="s">
        <v>1075</v>
      </c>
      <c r="C200" s="713">
        <v>8003</v>
      </c>
      <c r="D200" s="713">
        <v>7</v>
      </c>
      <c r="E200" s="713" t="s">
        <v>243</v>
      </c>
      <c r="F200" s="630">
        <v>134091</v>
      </c>
      <c r="G200" s="630">
        <v>113648</v>
      </c>
      <c r="H200" s="630">
        <v>85</v>
      </c>
      <c r="I200" s="630">
        <v>0</v>
      </c>
      <c r="J200" s="630">
        <v>29</v>
      </c>
      <c r="K200" s="713" t="s">
        <v>1094</v>
      </c>
    </row>
    <row r="201" spans="1:11" hidden="1">
      <c r="A201" s="630"/>
      <c r="B201" s="631" t="s">
        <v>1076</v>
      </c>
      <c r="C201" s="713"/>
      <c r="D201" s="713"/>
      <c r="E201" s="713"/>
      <c r="F201" s="630"/>
      <c r="G201" s="630"/>
      <c r="H201" s="630"/>
      <c r="I201" s="630"/>
      <c r="J201" s="630"/>
      <c r="K201" s="713"/>
    </row>
    <row r="202" spans="1:11" hidden="1">
      <c r="A202" s="630">
        <v>1</v>
      </c>
      <c r="B202" s="632" t="s">
        <v>901</v>
      </c>
      <c r="C202" s="713" t="s">
        <v>902</v>
      </c>
      <c r="D202" s="713">
        <v>1</v>
      </c>
      <c r="E202" s="713" t="s">
        <v>790</v>
      </c>
      <c r="F202" s="630"/>
      <c r="G202" s="630"/>
      <c r="H202" s="630"/>
      <c r="I202" s="630"/>
      <c r="J202" s="630"/>
      <c r="K202" s="713"/>
    </row>
    <row r="203" spans="1:11" hidden="1">
      <c r="A203" s="630">
        <v>2</v>
      </c>
      <c r="B203" s="632" t="s">
        <v>1077</v>
      </c>
      <c r="C203" s="713">
        <v>266</v>
      </c>
      <c r="D203" s="713">
        <v>2</v>
      </c>
      <c r="E203" s="713" t="s">
        <v>243</v>
      </c>
      <c r="F203" s="630">
        <v>123651</v>
      </c>
      <c r="G203" s="630">
        <v>122433</v>
      </c>
      <c r="H203" s="630">
        <v>99</v>
      </c>
      <c r="I203" s="630">
        <v>0</v>
      </c>
      <c r="J203" s="630">
        <v>27</v>
      </c>
      <c r="K203" s="713" t="s">
        <v>705</v>
      </c>
    </row>
    <row r="204" spans="1:11" hidden="1">
      <c r="A204" s="630">
        <v>3</v>
      </c>
      <c r="B204" s="632" t="s">
        <v>485</v>
      </c>
      <c r="C204" s="713">
        <v>273</v>
      </c>
      <c r="D204" s="713">
        <v>3</v>
      </c>
      <c r="E204" s="713" t="s">
        <v>243</v>
      </c>
      <c r="F204" s="630">
        <v>78670</v>
      </c>
      <c r="G204" s="630">
        <v>78251</v>
      </c>
      <c r="H204" s="630">
        <v>99</v>
      </c>
      <c r="I204" s="630">
        <v>1</v>
      </c>
      <c r="J204" s="630">
        <v>27</v>
      </c>
      <c r="K204" s="713" t="s">
        <v>1094</v>
      </c>
    </row>
    <row r="205" spans="1:11" hidden="1">
      <c r="A205" s="630">
        <v>4</v>
      </c>
      <c r="B205" s="632" t="s">
        <v>955</v>
      </c>
      <c r="C205" s="713">
        <v>2874</v>
      </c>
      <c r="D205" s="713">
        <v>4</v>
      </c>
      <c r="E205" s="713" t="s">
        <v>243</v>
      </c>
      <c r="F205" s="630">
        <v>70612</v>
      </c>
      <c r="G205" s="630">
        <v>66766</v>
      </c>
      <c r="H205" s="630">
        <v>95</v>
      </c>
      <c r="I205" s="630">
        <v>0</v>
      </c>
      <c r="J205" s="630">
        <v>27</v>
      </c>
      <c r="K205" s="713" t="s">
        <v>705</v>
      </c>
    </row>
    <row r="206" spans="1:11" hidden="1">
      <c r="A206" s="630">
        <v>5</v>
      </c>
      <c r="B206" s="632" t="s">
        <v>659</v>
      </c>
      <c r="C206" s="713">
        <v>290</v>
      </c>
      <c r="D206" s="713">
        <v>5</v>
      </c>
      <c r="E206" s="713" t="s">
        <v>243</v>
      </c>
      <c r="F206" s="630">
        <v>291690</v>
      </c>
      <c r="G206" s="630">
        <v>288563</v>
      </c>
      <c r="H206" s="630">
        <v>99</v>
      </c>
      <c r="I206" s="630">
        <v>0</v>
      </c>
      <c r="J206" s="630">
        <v>27</v>
      </c>
      <c r="K206" s="713" t="s">
        <v>705</v>
      </c>
    </row>
    <row r="207" spans="1:11" hidden="1">
      <c r="A207" s="630"/>
      <c r="B207" s="631" t="s">
        <v>660</v>
      </c>
      <c r="C207" s="713"/>
      <c r="D207" s="713"/>
      <c r="E207" s="713"/>
      <c r="F207" s="630"/>
      <c r="G207" s="630"/>
      <c r="H207" s="630"/>
      <c r="I207" s="630"/>
      <c r="J207" s="630"/>
      <c r="K207" s="713"/>
    </row>
    <row r="208" spans="1:11" hidden="1">
      <c r="A208" s="630">
        <v>1</v>
      </c>
      <c r="B208" s="632" t="s">
        <v>901</v>
      </c>
      <c r="C208" s="713" t="s">
        <v>902</v>
      </c>
      <c r="D208" s="713">
        <v>1</v>
      </c>
      <c r="E208" s="713" t="s">
        <v>790</v>
      </c>
      <c r="F208" s="630"/>
      <c r="G208" s="630"/>
      <c r="H208" s="630"/>
      <c r="I208" s="630"/>
      <c r="J208" s="630"/>
      <c r="K208" s="713"/>
    </row>
    <row r="209" spans="1:11" hidden="1">
      <c r="A209" s="630">
        <v>2</v>
      </c>
      <c r="B209" s="632" t="s">
        <v>661</v>
      </c>
      <c r="C209" s="713">
        <v>8012</v>
      </c>
      <c r="D209" s="713">
        <v>2</v>
      </c>
      <c r="E209" s="713" t="s">
        <v>245</v>
      </c>
      <c r="F209" s="630">
        <v>49176</v>
      </c>
      <c r="G209" s="630">
        <v>30341</v>
      </c>
      <c r="H209" s="630">
        <v>62</v>
      </c>
      <c r="I209" s="630">
        <v>0</v>
      </c>
      <c r="J209" s="630">
        <v>27</v>
      </c>
      <c r="K209" s="713" t="s">
        <v>1094</v>
      </c>
    </row>
    <row r="210" spans="1:11" hidden="1">
      <c r="A210" s="630">
        <v>3</v>
      </c>
      <c r="B210" s="632" t="s">
        <v>662</v>
      </c>
      <c r="C210" s="713">
        <v>5556</v>
      </c>
      <c r="D210" s="713">
        <v>3</v>
      </c>
      <c r="E210" s="713" t="s">
        <v>243</v>
      </c>
      <c r="F210" s="630">
        <v>212596</v>
      </c>
      <c r="G210" s="630">
        <v>192956</v>
      </c>
      <c r="H210" s="630">
        <v>91</v>
      </c>
      <c r="I210" s="630">
        <v>4</v>
      </c>
      <c r="J210" s="630">
        <v>27</v>
      </c>
      <c r="K210" s="713" t="s">
        <v>574</v>
      </c>
    </row>
    <row r="211" spans="1:11" hidden="1">
      <c r="A211" s="630">
        <v>4</v>
      </c>
      <c r="B211" s="632" t="s">
        <v>663</v>
      </c>
      <c r="C211" s="713">
        <v>102</v>
      </c>
      <c r="D211" s="713">
        <v>4</v>
      </c>
      <c r="E211" s="713" t="s">
        <v>243</v>
      </c>
      <c r="F211" s="630">
        <v>163775</v>
      </c>
      <c r="G211" s="630">
        <v>138141</v>
      </c>
      <c r="H211" s="630">
        <v>84</v>
      </c>
      <c r="I211" s="630">
        <v>2</v>
      </c>
      <c r="J211" s="630">
        <v>27</v>
      </c>
      <c r="K211" s="713" t="s">
        <v>574</v>
      </c>
    </row>
    <row r="212" spans="1:11" hidden="1">
      <c r="A212" s="630">
        <v>5</v>
      </c>
      <c r="B212" s="632" t="s">
        <v>929</v>
      </c>
      <c r="C212" s="713">
        <v>158</v>
      </c>
      <c r="D212" s="713">
        <v>5</v>
      </c>
      <c r="E212" s="713" t="s">
        <v>247</v>
      </c>
      <c r="F212" s="630">
        <v>15923</v>
      </c>
      <c r="G212" s="630">
        <v>8169</v>
      </c>
      <c r="H212" s="630">
        <v>51</v>
      </c>
      <c r="I212" s="630">
        <v>0</v>
      </c>
      <c r="J212" s="630">
        <v>27</v>
      </c>
      <c r="K212" s="713" t="s">
        <v>705</v>
      </c>
    </row>
    <row r="213" spans="1:11" hidden="1">
      <c r="A213" s="630">
        <v>6</v>
      </c>
      <c r="B213" s="632" t="s">
        <v>930</v>
      </c>
      <c r="C213" s="713">
        <v>315</v>
      </c>
      <c r="D213" s="713">
        <v>6</v>
      </c>
      <c r="E213" s="713" t="s">
        <v>243</v>
      </c>
      <c r="F213" s="630">
        <v>22077</v>
      </c>
      <c r="G213" s="630">
        <v>21269</v>
      </c>
      <c r="H213" s="630">
        <v>96</v>
      </c>
      <c r="I213" s="630">
        <v>0</v>
      </c>
      <c r="J213" s="630">
        <v>27</v>
      </c>
      <c r="K213" s="713" t="s">
        <v>705</v>
      </c>
    </row>
    <row r="214" spans="1:11" hidden="1">
      <c r="A214" s="630">
        <v>7</v>
      </c>
      <c r="B214" s="632" t="s">
        <v>931</v>
      </c>
      <c r="C214" s="713">
        <v>5564</v>
      </c>
      <c r="D214" s="713">
        <v>7</v>
      </c>
      <c r="E214" s="713" t="s">
        <v>243</v>
      </c>
      <c r="F214" s="630">
        <v>1923</v>
      </c>
      <c r="G214" s="630">
        <v>1917</v>
      </c>
      <c r="H214" s="630">
        <v>100</v>
      </c>
      <c r="I214" s="630">
        <v>0</v>
      </c>
      <c r="J214" s="630">
        <v>27</v>
      </c>
      <c r="K214" s="713" t="s">
        <v>705</v>
      </c>
    </row>
    <row r="215" spans="1:11" hidden="1">
      <c r="A215" s="630">
        <v>8</v>
      </c>
      <c r="B215" s="632" t="s">
        <v>932</v>
      </c>
      <c r="C215" s="713">
        <v>9242</v>
      </c>
      <c r="D215" s="713">
        <v>8</v>
      </c>
      <c r="E215" s="713" t="s">
        <v>243</v>
      </c>
      <c r="F215" s="630">
        <v>23978</v>
      </c>
      <c r="G215" s="630">
        <v>23466</v>
      </c>
      <c r="H215" s="630">
        <v>98</v>
      </c>
      <c r="I215" s="630">
        <v>4</v>
      </c>
      <c r="J215" s="630">
        <v>27</v>
      </c>
      <c r="K215" s="713" t="s">
        <v>574</v>
      </c>
    </row>
    <row r="216" spans="1:11" hidden="1">
      <c r="A216" s="630"/>
      <c r="B216" s="631" t="s">
        <v>1061</v>
      </c>
      <c r="C216" s="713"/>
      <c r="D216" s="713"/>
      <c r="E216" s="713"/>
      <c r="F216" s="630"/>
      <c r="G216" s="630"/>
      <c r="H216" s="630"/>
      <c r="I216" s="630"/>
      <c r="J216" s="630"/>
      <c r="K216" s="713"/>
    </row>
    <row r="217" spans="1:11" hidden="1">
      <c r="A217" s="630">
        <v>1</v>
      </c>
      <c r="B217" s="632" t="s">
        <v>901</v>
      </c>
      <c r="C217" s="713" t="s">
        <v>902</v>
      </c>
      <c r="D217" s="713">
        <v>1</v>
      </c>
      <c r="E217" s="713" t="s">
        <v>790</v>
      </c>
      <c r="F217" s="630"/>
      <c r="G217" s="630"/>
      <c r="H217" s="630"/>
      <c r="I217" s="630"/>
      <c r="J217" s="630"/>
      <c r="K217" s="713"/>
    </row>
    <row r="218" spans="1:11" hidden="1">
      <c r="A218" s="630">
        <v>2</v>
      </c>
      <c r="B218" s="632" t="s">
        <v>218</v>
      </c>
      <c r="C218" s="713">
        <v>23</v>
      </c>
      <c r="D218" s="713">
        <v>2</v>
      </c>
      <c r="E218" s="713" t="s">
        <v>247</v>
      </c>
      <c r="F218" s="630">
        <v>49834</v>
      </c>
      <c r="G218" s="630">
        <v>20482</v>
      </c>
      <c r="H218" s="630">
        <v>41</v>
      </c>
      <c r="I218" s="630">
        <v>0</v>
      </c>
      <c r="J218" s="630">
        <v>27</v>
      </c>
      <c r="K218" s="713" t="s">
        <v>1094</v>
      </c>
    </row>
    <row r="219" spans="1:11" hidden="1">
      <c r="A219" s="630">
        <v>3</v>
      </c>
      <c r="B219" s="632" t="s">
        <v>778</v>
      </c>
      <c r="C219" s="713">
        <v>25</v>
      </c>
      <c r="D219" s="713">
        <v>3</v>
      </c>
      <c r="E219" s="713" t="s">
        <v>245</v>
      </c>
      <c r="F219" s="630">
        <v>104636</v>
      </c>
      <c r="G219" s="630">
        <v>71998</v>
      </c>
      <c r="H219" s="630">
        <v>69</v>
      </c>
      <c r="I219" s="630">
        <v>2</v>
      </c>
      <c r="J219" s="630">
        <v>27</v>
      </c>
      <c r="K219" s="713" t="s">
        <v>574</v>
      </c>
    </row>
    <row r="220" spans="1:11" hidden="1">
      <c r="A220" s="630">
        <v>4</v>
      </c>
      <c r="B220" s="632" t="s">
        <v>779</v>
      </c>
      <c r="C220" s="713">
        <v>9229</v>
      </c>
      <c r="D220" s="713">
        <v>4</v>
      </c>
      <c r="E220" s="713" t="s">
        <v>176</v>
      </c>
      <c r="F220" s="630">
        <v>201178</v>
      </c>
      <c r="G220" s="630">
        <v>26881</v>
      </c>
      <c r="H220" s="630">
        <v>13</v>
      </c>
      <c r="I220" s="630">
        <v>0</v>
      </c>
      <c r="J220" s="630">
        <v>27</v>
      </c>
      <c r="K220" s="713" t="s">
        <v>1094</v>
      </c>
    </row>
    <row r="221" spans="1:11" hidden="1">
      <c r="A221" s="630">
        <v>5</v>
      </c>
      <c r="B221" s="632" t="s">
        <v>780</v>
      </c>
      <c r="C221" s="713">
        <v>9228</v>
      </c>
      <c r="D221" s="713">
        <v>5</v>
      </c>
      <c r="E221" s="713" t="s">
        <v>247</v>
      </c>
      <c r="F221" s="630">
        <v>7816</v>
      </c>
      <c r="G221" s="630">
        <v>2640</v>
      </c>
      <c r="H221" s="630">
        <v>34</v>
      </c>
      <c r="I221" s="630">
        <v>2</v>
      </c>
      <c r="J221" s="630">
        <v>27</v>
      </c>
      <c r="K221" s="713" t="s">
        <v>574</v>
      </c>
    </row>
    <row r="222" spans="1:11" hidden="1">
      <c r="A222" s="630">
        <v>6</v>
      </c>
      <c r="B222" s="632" t="s">
        <v>780</v>
      </c>
      <c r="C222" s="713">
        <v>9228</v>
      </c>
      <c r="D222" s="713">
        <v>6</v>
      </c>
      <c r="E222" s="713" t="s">
        <v>176</v>
      </c>
      <c r="F222" s="630">
        <v>277112</v>
      </c>
      <c r="G222" s="630">
        <v>53229</v>
      </c>
      <c r="H222" s="630">
        <v>19</v>
      </c>
      <c r="I222" s="630">
        <v>0</v>
      </c>
      <c r="J222" s="630">
        <v>27</v>
      </c>
      <c r="K222" s="713" t="s">
        <v>1094</v>
      </c>
    </row>
    <row r="223" spans="1:11" hidden="1">
      <c r="A223" s="630">
        <v>7</v>
      </c>
      <c r="B223" s="632" t="s">
        <v>781</v>
      </c>
      <c r="C223" s="713">
        <v>103</v>
      </c>
      <c r="D223" s="713">
        <v>7</v>
      </c>
      <c r="E223" s="713" t="s">
        <v>247</v>
      </c>
      <c r="F223" s="630">
        <v>79645</v>
      </c>
      <c r="G223" s="630">
        <v>33146</v>
      </c>
      <c r="H223" s="630">
        <v>42</v>
      </c>
      <c r="I223" s="630">
        <v>0</v>
      </c>
      <c r="J223" s="630">
        <v>27</v>
      </c>
      <c r="K223" s="713" t="s">
        <v>1094</v>
      </c>
    </row>
    <row r="224" spans="1:11" hidden="1">
      <c r="A224" s="630">
        <v>8</v>
      </c>
      <c r="B224" s="632" t="s">
        <v>782</v>
      </c>
      <c r="C224" s="713">
        <v>5558</v>
      </c>
      <c r="D224" s="713">
        <v>8</v>
      </c>
      <c r="E224" s="713" t="s">
        <v>176</v>
      </c>
      <c r="F224" s="630">
        <v>20986</v>
      </c>
      <c r="G224" s="630">
        <v>4624</v>
      </c>
      <c r="H224" s="630">
        <v>22</v>
      </c>
      <c r="I224" s="630">
        <v>0</v>
      </c>
      <c r="J224" s="630">
        <v>27</v>
      </c>
      <c r="K224" s="713" t="s">
        <v>1094</v>
      </c>
    </row>
    <row r="225" spans="1:11" hidden="1">
      <c r="A225" s="630">
        <v>9</v>
      </c>
      <c r="B225" s="632" t="s">
        <v>783</v>
      </c>
      <c r="C225" s="713">
        <v>8025</v>
      </c>
      <c r="D225" s="713">
        <v>9</v>
      </c>
      <c r="E225" s="713" t="s">
        <v>176</v>
      </c>
      <c r="F225" s="630">
        <v>119034</v>
      </c>
      <c r="G225" s="630">
        <v>16150</v>
      </c>
      <c r="H225" s="630">
        <v>14</v>
      </c>
      <c r="I225" s="630">
        <v>0</v>
      </c>
      <c r="J225" s="630">
        <v>27</v>
      </c>
      <c r="K225" s="713" t="s">
        <v>1094</v>
      </c>
    </row>
    <row r="226" spans="1:11" hidden="1">
      <c r="A226" s="630"/>
      <c r="B226" s="631" t="s">
        <v>784</v>
      </c>
      <c r="C226" s="713"/>
      <c r="D226" s="713"/>
      <c r="E226" s="713"/>
      <c r="F226" s="630"/>
      <c r="G226" s="630"/>
      <c r="H226" s="630"/>
      <c r="I226" s="630"/>
      <c r="J226" s="630"/>
      <c r="K226" s="713"/>
    </row>
    <row r="227" spans="1:11" hidden="1">
      <c r="A227" s="630">
        <v>1</v>
      </c>
      <c r="B227" s="632" t="s">
        <v>901</v>
      </c>
      <c r="C227" s="713" t="s">
        <v>902</v>
      </c>
      <c r="D227" s="713">
        <v>1</v>
      </c>
      <c r="E227" s="713" t="s">
        <v>790</v>
      </c>
      <c r="F227" s="630"/>
      <c r="G227" s="630"/>
      <c r="H227" s="630"/>
      <c r="I227" s="630"/>
      <c r="J227" s="630"/>
      <c r="K227" s="713"/>
    </row>
    <row r="228" spans="1:11" hidden="1">
      <c r="A228" s="630">
        <v>2</v>
      </c>
      <c r="B228" s="632" t="s">
        <v>785</v>
      </c>
      <c r="C228" s="713">
        <v>32</v>
      </c>
      <c r="D228" s="713">
        <v>2</v>
      </c>
      <c r="E228" s="713" t="s">
        <v>176</v>
      </c>
      <c r="F228" s="630">
        <v>2970</v>
      </c>
      <c r="G228" s="630">
        <v>691</v>
      </c>
      <c r="H228" s="630">
        <v>23</v>
      </c>
      <c r="I228" s="630">
        <v>19</v>
      </c>
      <c r="J228" s="630">
        <v>26</v>
      </c>
      <c r="K228" s="713" t="s">
        <v>1111</v>
      </c>
    </row>
    <row r="229" spans="1:11" hidden="1">
      <c r="A229" s="630">
        <v>3</v>
      </c>
      <c r="B229" s="632" t="s">
        <v>786</v>
      </c>
      <c r="C229" s="713">
        <v>9289</v>
      </c>
      <c r="D229" s="713">
        <v>3</v>
      </c>
      <c r="E229" s="713" t="s">
        <v>176</v>
      </c>
      <c r="F229" s="630">
        <v>240</v>
      </c>
      <c r="G229" s="630">
        <v>0</v>
      </c>
      <c r="H229" s="630" t="s">
        <v>787</v>
      </c>
      <c r="I229" s="630">
        <v>0</v>
      </c>
      <c r="J229" s="630">
        <v>26</v>
      </c>
      <c r="K229" s="713" t="s">
        <v>705</v>
      </c>
    </row>
    <row r="230" spans="1:11" hidden="1">
      <c r="A230" s="630">
        <v>4</v>
      </c>
      <c r="B230" s="632" t="s">
        <v>788</v>
      </c>
      <c r="C230" s="713">
        <v>142</v>
      </c>
      <c r="D230" s="713">
        <v>4</v>
      </c>
      <c r="E230" s="713" t="s">
        <v>247</v>
      </c>
      <c r="F230" s="630">
        <v>6250</v>
      </c>
      <c r="G230" s="630">
        <v>3771</v>
      </c>
      <c r="H230" s="630">
        <v>60</v>
      </c>
      <c r="I230" s="630">
        <v>0</v>
      </c>
      <c r="J230" s="630">
        <v>26</v>
      </c>
      <c r="K230" s="713" t="s">
        <v>705</v>
      </c>
    </row>
    <row r="231" spans="1:11" hidden="1">
      <c r="A231" s="630">
        <v>5</v>
      </c>
      <c r="B231" s="632" t="s">
        <v>683</v>
      </c>
      <c r="C231" s="713">
        <v>2328</v>
      </c>
      <c r="D231" s="713">
        <v>5</v>
      </c>
      <c r="E231" s="713" t="s">
        <v>176</v>
      </c>
      <c r="F231" s="630">
        <v>94745</v>
      </c>
      <c r="G231" s="630">
        <v>19400</v>
      </c>
      <c r="H231" s="630">
        <v>20</v>
      </c>
      <c r="I231" s="630">
        <v>1</v>
      </c>
      <c r="J231" s="630">
        <v>26</v>
      </c>
      <c r="K231" s="713" t="s">
        <v>1094</v>
      </c>
    </row>
    <row r="232" spans="1:11" hidden="1">
      <c r="A232" s="630">
        <v>6</v>
      </c>
      <c r="B232" s="632" t="s">
        <v>684</v>
      </c>
      <c r="C232" s="713">
        <v>8009</v>
      </c>
      <c r="D232" s="713">
        <v>6</v>
      </c>
      <c r="E232" s="713" t="s">
        <v>176</v>
      </c>
      <c r="F232" s="630">
        <v>494577</v>
      </c>
      <c r="G232" s="630">
        <v>45587</v>
      </c>
      <c r="H232" s="630">
        <v>9</v>
      </c>
      <c r="I232" s="630">
        <v>0</v>
      </c>
      <c r="J232" s="630">
        <v>26</v>
      </c>
      <c r="K232" s="713" t="s">
        <v>1094</v>
      </c>
    </row>
    <row r="233" spans="1:11" hidden="1">
      <c r="A233" s="630">
        <v>7</v>
      </c>
      <c r="B233" s="632" t="s">
        <v>668</v>
      </c>
      <c r="C233" s="713">
        <v>9233</v>
      </c>
      <c r="D233" s="713">
        <v>7</v>
      </c>
      <c r="E233" s="713" t="s">
        <v>176</v>
      </c>
      <c r="F233" s="630">
        <v>9985</v>
      </c>
      <c r="G233" s="630">
        <v>984</v>
      </c>
      <c r="H233" s="630">
        <v>10</v>
      </c>
      <c r="I233" s="630">
        <v>1</v>
      </c>
      <c r="J233" s="630">
        <v>26</v>
      </c>
      <c r="K233" s="713" t="s">
        <v>1094</v>
      </c>
    </row>
    <row r="234" spans="1:11" hidden="1">
      <c r="A234" s="630"/>
      <c r="B234" s="631" t="s">
        <v>669</v>
      </c>
      <c r="C234" s="713"/>
      <c r="D234" s="713"/>
      <c r="E234" s="713"/>
      <c r="F234" s="630"/>
      <c r="G234" s="630"/>
      <c r="H234" s="630"/>
      <c r="I234" s="630"/>
      <c r="J234" s="630"/>
      <c r="K234" s="713"/>
    </row>
    <row r="235" spans="1:11" hidden="1">
      <c r="A235" s="630">
        <v>1</v>
      </c>
      <c r="B235" s="632" t="s">
        <v>901</v>
      </c>
      <c r="C235" s="713" t="s">
        <v>902</v>
      </c>
      <c r="D235" s="713">
        <v>1</v>
      </c>
      <c r="E235" s="713" t="s">
        <v>790</v>
      </c>
      <c r="F235" s="630"/>
      <c r="G235" s="630"/>
      <c r="H235" s="630"/>
      <c r="I235" s="630"/>
      <c r="J235" s="630"/>
      <c r="K235" s="713"/>
    </row>
    <row r="236" spans="1:11" hidden="1">
      <c r="A236" s="630">
        <v>2</v>
      </c>
      <c r="B236" s="632" t="s">
        <v>670</v>
      </c>
      <c r="C236" s="713">
        <v>18</v>
      </c>
      <c r="D236" s="713">
        <v>2</v>
      </c>
      <c r="E236" s="713" t="s">
        <v>243</v>
      </c>
      <c r="F236" s="630">
        <v>5901</v>
      </c>
      <c r="G236" s="630">
        <v>5864</v>
      </c>
      <c r="H236" s="630">
        <v>99</v>
      </c>
      <c r="I236" s="630">
        <v>24</v>
      </c>
      <c r="J236" s="630">
        <v>36</v>
      </c>
      <c r="K236" s="713" t="s">
        <v>1111</v>
      </c>
    </row>
    <row r="237" spans="1:11" hidden="1">
      <c r="A237" s="630">
        <v>3</v>
      </c>
      <c r="B237" s="632" t="s">
        <v>671</v>
      </c>
      <c r="C237" s="713">
        <v>2334</v>
      </c>
      <c r="D237" s="713">
        <v>3</v>
      </c>
      <c r="E237" s="713" t="s">
        <v>247</v>
      </c>
      <c r="F237" s="630">
        <v>26342</v>
      </c>
      <c r="G237" s="630">
        <v>12976</v>
      </c>
      <c r="H237" s="630">
        <v>49</v>
      </c>
      <c r="I237" s="630">
        <v>0</v>
      </c>
      <c r="J237" s="630">
        <v>36</v>
      </c>
      <c r="K237" s="713" t="s">
        <v>705</v>
      </c>
    </row>
    <row r="238" spans="1:11" hidden="1">
      <c r="A238" s="630">
        <v>4</v>
      </c>
      <c r="B238" s="632" t="s">
        <v>672</v>
      </c>
      <c r="C238" s="713">
        <v>8</v>
      </c>
      <c r="D238" s="713">
        <v>4</v>
      </c>
      <c r="E238" s="713" t="s">
        <v>243</v>
      </c>
      <c r="F238" s="630">
        <v>39393</v>
      </c>
      <c r="G238" s="630">
        <v>37257</v>
      </c>
      <c r="H238" s="630">
        <v>95</v>
      </c>
      <c r="I238" s="630">
        <v>36</v>
      </c>
      <c r="J238" s="630">
        <v>36</v>
      </c>
      <c r="K238" s="713" t="s">
        <v>100</v>
      </c>
    </row>
    <row r="239" spans="1:11" hidden="1">
      <c r="A239" s="630">
        <v>5</v>
      </c>
      <c r="B239" s="632" t="s">
        <v>673</v>
      </c>
      <c r="C239" s="713">
        <v>845</v>
      </c>
      <c r="D239" s="713">
        <v>5</v>
      </c>
      <c r="E239" s="713" t="s">
        <v>243</v>
      </c>
      <c r="F239" s="630">
        <v>18627</v>
      </c>
      <c r="G239" s="630">
        <v>15033</v>
      </c>
      <c r="H239" s="630">
        <v>81</v>
      </c>
      <c r="I239" s="630">
        <v>15</v>
      </c>
      <c r="J239" s="630">
        <v>36</v>
      </c>
      <c r="K239" s="713" t="s">
        <v>574</v>
      </c>
    </row>
    <row r="240" spans="1:11" hidden="1">
      <c r="A240" s="630"/>
      <c r="B240" s="631" t="s">
        <v>850</v>
      </c>
      <c r="C240" s="713"/>
      <c r="D240" s="713"/>
      <c r="E240" s="713"/>
      <c r="F240" s="630"/>
      <c r="G240" s="630"/>
      <c r="H240" s="630"/>
      <c r="I240" s="630"/>
      <c r="J240" s="630"/>
      <c r="K240" s="713"/>
    </row>
    <row r="241" spans="1:11" hidden="1">
      <c r="A241" s="630">
        <v>1</v>
      </c>
      <c r="B241" s="632" t="s">
        <v>901</v>
      </c>
      <c r="C241" s="713" t="s">
        <v>902</v>
      </c>
      <c r="D241" s="713">
        <v>1</v>
      </c>
      <c r="E241" s="713" t="s">
        <v>790</v>
      </c>
      <c r="F241" s="630"/>
      <c r="G241" s="630"/>
      <c r="H241" s="630"/>
      <c r="I241" s="630"/>
      <c r="J241" s="630"/>
      <c r="K241" s="713"/>
    </row>
    <row r="242" spans="1:11" hidden="1">
      <c r="A242" s="630">
        <v>2</v>
      </c>
      <c r="B242" s="632" t="s">
        <v>674</v>
      </c>
      <c r="C242" s="713">
        <v>9238</v>
      </c>
      <c r="D242" s="713">
        <v>2</v>
      </c>
      <c r="E242" s="713" t="s">
        <v>243</v>
      </c>
      <c r="F242" s="630">
        <v>22719</v>
      </c>
      <c r="G242" s="630">
        <v>22292</v>
      </c>
      <c r="H242" s="630">
        <v>98</v>
      </c>
      <c r="I242" s="630">
        <v>96</v>
      </c>
      <c r="J242" s="630">
        <v>20</v>
      </c>
      <c r="K242" s="713" t="s">
        <v>100</v>
      </c>
    </row>
    <row r="243" spans="1:11" hidden="1">
      <c r="A243" s="630"/>
      <c r="B243" s="631" t="s">
        <v>675</v>
      </c>
      <c r="C243" s="713"/>
      <c r="D243" s="713"/>
      <c r="E243" s="713"/>
      <c r="F243" s="630"/>
      <c r="G243" s="630"/>
      <c r="H243" s="630"/>
      <c r="I243" s="630"/>
      <c r="J243" s="630"/>
      <c r="K243" s="713"/>
    </row>
    <row r="244" spans="1:11" hidden="1">
      <c r="A244" s="630">
        <v>1</v>
      </c>
      <c r="B244" s="632" t="s">
        <v>901</v>
      </c>
      <c r="C244" s="713" t="s">
        <v>902</v>
      </c>
      <c r="D244" s="713">
        <v>1</v>
      </c>
      <c r="E244" s="713" t="s">
        <v>790</v>
      </c>
      <c r="F244" s="630"/>
      <c r="G244" s="630"/>
      <c r="H244" s="630"/>
      <c r="I244" s="630"/>
      <c r="J244" s="630"/>
      <c r="K244" s="713"/>
    </row>
    <row r="245" spans="1:11" hidden="1">
      <c r="A245" s="630">
        <v>2</v>
      </c>
      <c r="B245" s="632" t="s">
        <v>676</v>
      </c>
      <c r="C245" s="713">
        <v>27</v>
      </c>
      <c r="D245" s="713">
        <v>2</v>
      </c>
      <c r="E245" s="713" t="s">
        <v>247</v>
      </c>
      <c r="F245" s="630">
        <v>42419</v>
      </c>
      <c r="G245" s="630">
        <v>25460</v>
      </c>
      <c r="H245" s="630">
        <v>60</v>
      </c>
      <c r="I245" s="630">
        <v>5</v>
      </c>
      <c r="J245" s="630">
        <v>24</v>
      </c>
      <c r="K245" s="713" t="s">
        <v>574</v>
      </c>
    </row>
    <row r="246" spans="1:11" hidden="1">
      <c r="A246" s="630">
        <v>3</v>
      </c>
      <c r="B246" s="632" t="s">
        <v>891</v>
      </c>
      <c r="C246" s="713">
        <v>77</v>
      </c>
      <c r="D246" s="713">
        <v>3</v>
      </c>
      <c r="E246" s="713" t="s">
        <v>245</v>
      </c>
      <c r="F246" s="630">
        <v>45124</v>
      </c>
      <c r="G246" s="630">
        <v>34094</v>
      </c>
      <c r="H246" s="630">
        <v>76</v>
      </c>
      <c r="I246" s="630">
        <v>1</v>
      </c>
      <c r="J246" s="630">
        <v>24</v>
      </c>
      <c r="K246" s="713" t="s">
        <v>574</v>
      </c>
    </row>
    <row r="247" spans="1:11" hidden="1">
      <c r="A247" s="630">
        <v>4</v>
      </c>
      <c r="B247" s="632" t="s">
        <v>591</v>
      </c>
      <c r="C247" s="713">
        <v>78</v>
      </c>
      <c r="D247" s="713">
        <v>4</v>
      </c>
      <c r="E247" s="713" t="s">
        <v>245</v>
      </c>
      <c r="F247" s="630">
        <v>43768</v>
      </c>
      <c r="G247" s="630">
        <v>28607</v>
      </c>
      <c r="H247" s="630">
        <v>65</v>
      </c>
      <c r="I247" s="630">
        <v>27</v>
      </c>
      <c r="J247" s="630">
        <v>24</v>
      </c>
      <c r="K247" s="713" t="s">
        <v>100</v>
      </c>
    </row>
    <row r="248" spans="1:11" hidden="1">
      <c r="A248" s="630">
        <v>5</v>
      </c>
      <c r="B248" s="632" t="s">
        <v>866</v>
      </c>
      <c r="C248" s="713">
        <v>128</v>
      </c>
      <c r="D248" s="713">
        <v>5</v>
      </c>
      <c r="E248" s="713" t="s">
        <v>247</v>
      </c>
      <c r="F248" s="630">
        <v>76023</v>
      </c>
      <c r="G248" s="630">
        <v>34311</v>
      </c>
      <c r="H248" s="630">
        <v>45</v>
      </c>
      <c r="I248" s="630">
        <v>10</v>
      </c>
      <c r="J248" s="630">
        <v>24</v>
      </c>
      <c r="K248" s="713" t="s">
        <v>574</v>
      </c>
    </row>
    <row r="249" spans="1:11" hidden="1">
      <c r="A249" s="630">
        <v>6</v>
      </c>
      <c r="B249" s="632" t="s">
        <v>867</v>
      </c>
      <c r="C249" s="713">
        <v>2326</v>
      </c>
      <c r="D249" s="713">
        <v>6</v>
      </c>
      <c r="E249" s="713" t="s">
        <v>247</v>
      </c>
      <c r="F249" s="630">
        <v>23476</v>
      </c>
      <c r="G249" s="630">
        <v>7210</v>
      </c>
      <c r="H249" s="630">
        <v>31</v>
      </c>
      <c r="I249" s="630">
        <v>7</v>
      </c>
      <c r="J249" s="630">
        <v>24</v>
      </c>
      <c r="K249" s="713" t="s">
        <v>574</v>
      </c>
    </row>
    <row r="250" spans="1:11" hidden="1">
      <c r="A250" s="630">
        <v>7</v>
      </c>
      <c r="B250" s="632" t="s">
        <v>868</v>
      </c>
      <c r="C250" s="713">
        <v>130</v>
      </c>
      <c r="D250" s="713">
        <v>7</v>
      </c>
      <c r="E250" s="713" t="s">
        <v>247</v>
      </c>
      <c r="F250" s="630">
        <v>3565</v>
      </c>
      <c r="G250" s="630">
        <v>2104</v>
      </c>
      <c r="H250" s="630">
        <v>59</v>
      </c>
      <c r="I250" s="630">
        <v>0</v>
      </c>
      <c r="J250" s="630">
        <v>24</v>
      </c>
      <c r="K250" s="713" t="s">
        <v>705</v>
      </c>
    </row>
    <row r="251" spans="1:11" hidden="1">
      <c r="A251" s="630"/>
      <c r="B251" s="631" t="s">
        <v>852</v>
      </c>
      <c r="C251" s="713"/>
      <c r="D251" s="713"/>
      <c r="E251" s="713"/>
      <c r="F251" s="630"/>
      <c r="G251" s="630"/>
      <c r="H251" s="630"/>
      <c r="I251" s="630"/>
      <c r="J251" s="630"/>
      <c r="K251" s="713"/>
    </row>
    <row r="252" spans="1:11" hidden="1">
      <c r="A252" s="630">
        <v>1</v>
      </c>
      <c r="B252" s="632" t="s">
        <v>901</v>
      </c>
      <c r="C252" s="713" t="s">
        <v>902</v>
      </c>
      <c r="D252" s="713">
        <v>1</v>
      </c>
      <c r="E252" s="713" t="s">
        <v>790</v>
      </c>
      <c r="F252" s="630"/>
      <c r="G252" s="630"/>
      <c r="H252" s="630"/>
      <c r="I252" s="630"/>
      <c r="J252" s="630"/>
      <c r="K252" s="713"/>
    </row>
    <row r="253" spans="1:11" hidden="1">
      <c r="A253" s="630">
        <v>2</v>
      </c>
      <c r="B253" s="632" t="s">
        <v>200</v>
      </c>
      <c r="C253" s="713">
        <v>849</v>
      </c>
      <c r="D253" s="713">
        <v>2</v>
      </c>
      <c r="E253" s="713" t="s">
        <v>245</v>
      </c>
      <c r="F253" s="630">
        <v>465685</v>
      </c>
      <c r="G253" s="630">
        <v>364723</v>
      </c>
      <c r="H253" s="630">
        <v>78</v>
      </c>
      <c r="I253" s="630">
        <v>7</v>
      </c>
      <c r="J253" s="630">
        <v>31</v>
      </c>
      <c r="K253" s="713" t="s">
        <v>574</v>
      </c>
    </row>
    <row r="254" spans="1:11" hidden="1">
      <c r="A254" s="630"/>
      <c r="B254" s="631" t="s">
        <v>1103</v>
      </c>
      <c r="C254" s="713"/>
      <c r="D254" s="713"/>
      <c r="E254" s="713"/>
      <c r="F254" s="630"/>
      <c r="G254" s="630"/>
      <c r="H254" s="630"/>
      <c r="I254" s="630"/>
      <c r="J254" s="630"/>
      <c r="K254" s="713"/>
    </row>
    <row r="255" spans="1:11" hidden="1">
      <c r="A255" s="630">
        <v>1</v>
      </c>
      <c r="B255" s="632" t="s">
        <v>901</v>
      </c>
      <c r="C255" s="713" t="s">
        <v>902</v>
      </c>
      <c r="D255" s="713">
        <v>1</v>
      </c>
      <c r="E255" s="713" t="s">
        <v>790</v>
      </c>
      <c r="F255" s="630"/>
      <c r="G255" s="630"/>
      <c r="H255" s="630"/>
      <c r="I255" s="630"/>
      <c r="J255" s="630"/>
      <c r="K255" s="713"/>
    </row>
    <row r="256" spans="1:11" hidden="1">
      <c r="A256" s="630">
        <v>2</v>
      </c>
      <c r="B256" s="632" t="s">
        <v>542</v>
      </c>
      <c r="C256" s="713">
        <v>227</v>
      </c>
      <c r="D256" s="713">
        <v>2</v>
      </c>
      <c r="E256" s="713" t="s">
        <v>247</v>
      </c>
      <c r="F256" s="630">
        <v>632201</v>
      </c>
      <c r="G256" s="630">
        <v>313313</v>
      </c>
      <c r="H256" s="630">
        <v>50</v>
      </c>
      <c r="I256" s="630">
        <v>1</v>
      </c>
      <c r="J256" s="630">
        <v>25</v>
      </c>
      <c r="K256" s="713" t="s">
        <v>1094</v>
      </c>
    </row>
    <row r="257" spans="1:11" hidden="1">
      <c r="A257" s="630">
        <v>3</v>
      </c>
      <c r="B257" s="632" t="s">
        <v>543</v>
      </c>
      <c r="C257" s="713">
        <v>952</v>
      </c>
      <c r="D257" s="713">
        <v>3</v>
      </c>
      <c r="E257" s="713" t="s">
        <v>245</v>
      </c>
      <c r="F257" s="630">
        <v>402486</v>
      </c>
      <c r="G257" s="630">
        <v>276812</v>
      </c>
      <c r="H257" s="630">
        <v>69</v>
      </c>
      <c r="I257" s="630">
        <v>11</v>
      </c>
      <c r="J257" s="630">
        <v>25</v>
      </c>
      <c r="K257" s="713" t="s">
        <v>574</v>
      </c>
    </row>
    <row r="258" spans="1:11" hidden="1">
      <c r="A258" s="630">
        <v>4</v>
      </c>
      <c r="B258" s="632" t="s">
        <v>544</v>
      </c>
      <c r="C258" s="713">
        <v>9212</v>
      </c>
      <c r="D258" s="713">
        <v>4</v>
      </c>
      <c r="E258" s="713" t="s">
        <v>247</v>
      </c>
      <c r="F258" s="630">
        <v>99118</v>
      </c>
      <c r="G258" s="630">
        <v>53784</v>
      </c>
      <c r="H258" s="630">
        <v>54</v>
      </c>
      <c r="I258" s="630">
        <v>12</v>
      </c>
      <c r="J258" s="630">
        <v>25</v>
      </c>
      <c r="K258" s="713" t="s">
        <v>574</v>
      </c>
    </row>
    <row r="259" spans="1:11" hidden="1">
      <c r="A259" s="630">
        <v>5</v>
      </c>
      <c r="B259" s="632" t="s">
        <v>545</v>
      </c>
      <c r="C259" s="713">
        <v>204</v>
      </c>
      <c r="D259" s="713">
        <v>5</v>
      </c>
      <c r="E259" s="713" t="s">
        <v>245</v>
      </c>
      <c r="F259" s="630">
        <v>130819</v>
      </c>
      <c r="G259" s="630">
        <v>92523</v>
      </c>
      <c r="H259" s="630">
        <v>71</v>
      </c>
      <c r="I259" s="630">
        <v>6</v>
      </c>
      <c r="J259" s="630">
        <v>25</v>
      </c>
      <c r="K259" s="713" t="s">
        <v>574</v>
      </c>
    </row>
    <row r="260" spans="1:11" hidden="1">
      <c r="A260" s="630">
        <v>6</v>
      </c>
      <c r="B260" s="632" t="s">
        <v>546</v>
      </c>
      <c r="C260" s="713">
        <v>587</v>
      </c>
      <c r="D260" s="713">
        <v>6</v>
      </c>
      <c r="E260" s="713" t="s">
        <v>245</v>
      </c>
      <c r="F260" s="630">
        <v>163625</v>
      </c>
      <c r="G260" s="630">
        <v>130713</v>
      </c>
      <c r="H260" s="630">
        <v>80</v>
      </c>
      <c r="I260" s="630">
        <v>1</v>
      </c>
      <c r="J260" s="630">
        <v>25</v>
      </c>
      <c r="K260" s="713" t="s">
        <v>1094</v>
      </c>
    </row>
    <row r="261" spans="1:11" hidden="1">
      <c r="A261" s="630"/>
      <c r="B261" s="631" t="s">
        <v>1107</v>
      </c>
      <c r="C261" s="713"/>
      <c r="D261" s="713"/>
      <c r="E261" s="713"/>
      <c r="F261" s="630"/>
      <c r="G261" s="630"/>
      <c r="H261" s="630"/>
      <c r="I261" s="630"/>
      <c r="J261" s="630"/>
      <c r="K261" s="713"/>
    </row>
    <row r="262" spans="1:11" hidden="1">
      <c r="A262" s="630">
        <v>1</v>
      </c>
      <c r="B262" s="632" t="s">
        <v>901</v>
      </c>
      <c r="C262" s="713" t="s">
        <v>902</v>
      </c>
      <c r="D262" s="713">
        <v>1</v>
      </c>
      <c r="E262" s="713" t="s">
        <v>790</v>
      </c>
      <c r="F262" s="630"/>
      <c r="G262" s="630"/>
      <c r="H262" s="630"/>
      <c r="I262" s="630"/>
      <c r="J262" s="630"/>
      <c r="K262" s="713"/>
    </row>
    <row r="263" spans="1:11" hidden="1">
      <c r="A263" s="630">
        <v>2</v>
      </c>
      <c r="B263" s="632" t="s">
        <v>547</v>
      </c>
      <c r="C263" s="713">
        <v>9234</v>
      </c>
      <c r="D263" s="713">
        <v>2</v>
      </c>
      <c r="E263" s="713" t="s">
        <v>243</v>
      </c>
      <c r="F263" s="630">
        <v>15827</v>
      </c>
      <c r="G263" s="630">
        <v>15380</v>
      </c>
      <c r="H263" s="630">
        <v>97</v>
      </c>
      <c r="I263" s="630">
        <v>0</v>
      </c>
      <c r="J263" s="630">
        <v>27</v>
      </c>
      <c r="K263" s="713" t="s">
        <v>705</v>
      </c>
    </row>
    <row r="264" spans="1:11" hidden="1">
      <c r="A264" s="630">
        <v>3</v>
      </c>
      <c r="B264" s="632" t="s">
        <v>548</v>
      </c>
      <c r="C264" s="713">
        <v>826</v>
      </c>
      <c r="D264" s="713">
        <v>3</v>
      </c>
      <c r="E264" s="713" t="s">
        <v>243</v>
      </c>
      <c r="F264" s="630">
        <v>441955</v>
      </c>
      <c r="G264" s="630">
        <v>393160</v>
      </c>
      <c r="H264" s="630">
        <v>89</v>
      </c>
      <c r="I264" s="630">
        <v>2</v>
      </c>
      <c r="J264" s="630">
        <v>27</v>
      </c>
      <c r="K264" s="713" t="s">
        <v>574</v>
      </c>
    </row>
    <row r="265" spans="1:11" hidden="1">
      <c r="A265" s="630">
        <v>4</v>
      </c>
      <c r="B265" s="632" t="s">
        <v>549</v>
      </c>
      <c r="C265" s="713">
        <v>8094</v>
      </c>
      <c r="D265" s="713">
        <v>4</v>
      </c>
      <c r="E265" s="713" t="s">
        <v>245</v>
      </c>
      <c r="F265" s="630">
        <v>131522</v>
      </c>
      <c r="G265" s="630">
        <v>81686</v>
      </c>
      <c r="H265" s="630">
        <v>62</v>
      </c>
      <c r="I265" s="630">
        <v>26</v>
      </c>
      <c r="J265" s="630">
        <v>27</v>
      </c>
      <c r="K265" s="713" t="s">
        <v>1111</v>
      </c>
    </row>
    <row r="266" spans="1:11" hidden="1">
      <c r="A266" s="630">
        <v>5</v>
      </c>
      <c r="B266" s="632" t="s">
        <v>550</v>
      </c>
      <c r="C266" s="713">
        <v>2829</v>
      </c>
      <c r="D266" s="713">
        <v>5</v>
      </c>
      <c r="E266" s="713" t="s">
        <v>243</v>
      </c>
      <c r="F266" s="630">
        <v>281166</v>
      </c>
      <c r="G266" s="630">
        <v>280502</v>
      </c>
      <c r="H266" s="630">
        <v>100</v>
      </c>
      <c r="I266" s="630">
        <v>2</v>
      </c>
      <c r="J266" s="630">
        <v>27</v>
      </c>
      <c r="K266" s="713" t="s">
        <v>574</v>
      </c>
    </row>
    <row r="267" spans="1:11" hidden="1">
      <c r="A267" s="630">
        <v>6</v>
      </c>
      <c r="B267" s="632" t="s">
        <v>551</v>
      </c>
      <c r="C267" s="713">
        <v>8077</v>
      </c>
      <c r="D267" s="713">
        <v>6</v>
      </c>
      <c r="E267" s="713" t="s">
        <v>243</v>
      </c>
      <c r="F267" s="630">
        <v>2391</v>
      </c>
      <c r="G267" s="630">
        <v>2387</v>
      </c>
      <c r="H267" s="630">
        <v>100</v>
      </c>
      <c r="I267" s="630">
        <v>53</v>
      </c>
      <c r="J267" s="630">
        <v>27</v>
      </c>
      <c r="K267" s="713" t="s">
        <v>100</v>
      </c>
    </row>
    <row r="268" spans="1:11" hidden="1">
      <c r="A268" s="630">
        <v>7</v>
      </c>
      <c r="B268" s="632" t="s">
        <v>870</v>
      </c>
      <c r="C268" s="713">
        <v>9247</v>
      </c>
      <c r="D268" s="713">
        <v>7</v>
      </c>
      <c r="E268" s="713" t="s">
        <v>243</v>
      </c>
      <c r="F268" s="630">
        <v>169464</v>
      </c>
      <c r="G268" s="630">
        <v>150594</v>
      </c>
      <c r="H268" s="630">
        <v>89</v>
      </c>
      <c r="I268" s="630">
        <v>10</v>
      </c>
      <c r="J268" s="630">
        <v>27</v>
      </c>
      <c r="K268" s="713" t="s">
        <v>574</v>
      </c>
    </row>
    <row r="269" spans="1:11" hidden="1">
      <c r="A269" s="630">
        <v>8</v>
      </c>
      <c r="B269" s="632" t="s">
        <v>871</v>
      </c>
      <c r="C269" s="713">
        <v>184</v>
      </c>
      <c r="D269" s="713">
        <v>8</v>
      </c>
      <c r="E269" s="713" t="s">
        <v>243</v>
      </c>
      <c r="F269" s="630">
        <v>2015483</v>
      </c>
      <c r="G269" s="630">
        <v>1859495</v>
      </c>
      <c r="H269" s="630">
        <v>92</v>
      </c>
      <c r="I269" s="630">
        <v>1</v>
      </c>
      <c r="J269" s="630">
        <v>27</v>
      </c>
      <c r="K269" s="713" t="s">
        <v>1094</v>
      </c>
    </row>
    <row r="270" spans="1:11" hidden="1">
      <c r="A270" s="630">
        <v>9</v>
      </c>
      <c r="B270" s="632" t="s">
        <v>872</v>
      </c>
      <c r="C270" s="713">
        <v>903</v>
      </c>
      <c r="D270" s="713">
        <v>9</v>
      </c>
      <c r="E270" s="713" t="s">
        <v>243</v>
      </c>
      <c r="F270" s="630">
        <v>120881</v>
      </c>
      <c r="G270" s="630">
        <v>112763</v>
      </c>
      <c r="H270" s="630">
        <v>93</v>
      </c>
      <c r="I270" s="630">
        <v>38</v>
      </c>
      <c r="J270" s="630">
        <v>27</v>
      </c>
      <c r="K270" s="713" t="s">
        <v>100</v>
      </c>
    </row>
    <row r="271" spans="1:11" hidden="1">
      <c r="A271" s="630">
        <v>10</v>
      </c>
      <c r="B271" s="632" t="s">
        <v>873</v>
      </c>
      <c r="C271" s="713">
        <v>8097</v>
      </c>
      <c r="D271" s="713">
        <v>10</v>
      </c>
      <c r="E271" s="713" t="s">
        <v>243</v>
      </c>
      <c r="F271" s="630">
        <v>987</v>
      </c>
      <c r="G271" s="630">
        <v>980</v>
      </c>
      <c r="H271" s="630">
        <v>99</v>
      </c>
      <c r="I271" s="630">
        <v>56</v>
      </c>
      <c r="J271" s="630">
        <v>27</v>
      </c>
      <c r="K271" s="713" t="s">
        <v>100</v>
      </c>
    </row>
    <row r="272" spans="1:11" hidden="1">
      <c r="A272" s="630">
        <v>11</v>
      </c>
      <c r="B272" s="632" t="s">
        <v>874</v>
      </c>
      <c r="C272" s="713">
        <v>8096</v>
      </c>
      <c r="D272" s="713">
        <v>11</v>
      </c>
      <c r="E272" s="713" t="s">
        <v>247</v>
      </c>
      <c r="F272" s="630">
        <v>93876</v>
      </c>
      <c r="G272" s="630">
        <v>44823</v>
      </c>
      <c r="H272" s="630">
        <v>48</v>
      </c>
      <c r="I272" s="630">
        <v>2</v>
      </c>
      <c r="J272" s="630">
        <v>27</v>
      </c>
      <c r="K272" s="713" t="s">
        <v>574</v>
      </c>
    </row>
    <row r="273" spans="1:11" hidden="1">
      <c r="A273" s="630">
        <v>12</v>
      </c>
      <c r="B273" s="632" t="s">
        <v>875</v>
      </c>
      <c r="C273" s="713">
        <v>856</v>
      </c>
      <c r="D273" s="713">
        <v>12</v>
      </c>
      <c r="E273" s="713" t="s">
        <v>245</v>
      </c>
      <c r="F273" s="630">
        <v>136528</v>
      </c>
      <c r="G273" s="630">
        <v>84096</v>
      </c>
      <c r="H273" s="630">
        <v>62</v>
      </c>
      <c r="I273" s="630">
        <v>15</v>
      </c>
      <c r="J273" s="630">
        <v>27</v>
      </c>
      <c r="K273" s="713" t="s">
        <v>1111</v>
      </c>
    </row>
    <row r="274" spans="1:11" hidden="1">
      <c r="A274" s="630">
        <v>13</v>
      </c>
      <c r="B274" s="632" t="s">
        <v>876</v>
      </c>
      <c r="C274" s="713">
        <v>929</v>
      </c>
      <c r="D274" s="713">
        <v>13</v>
      </c>
      <c r="E274" s="713" t="s">
        <v>243</v>
      </c>
      <c r="F274" s="630">
        <v>647766</v>
      </c>
      <c r="G274" s="630">
        <v>614319</v>
      </c>
      <c r="H274" s="630">
        <v>95</v>
      </c>
      <c r="I274" s="630">
        <v>8</v>
      </c>
      <c r="J274" s="630">
        <v>27</v>
      </c>
      <c r="K274" s="713" t="s">
        <v>574</v>
      </c>
    </row>
    <row r="275" spans="1:11" hidden="1">
      <c r="A275" s="630">
        <v>14</v>
      </c>
      <c r="B275" s="632" t="s">
        <v>877</v>
      </c>
      <c r="C275" s="713">
        <v>208</v>
      </c>
      <c r="D275" s="713">
        <v>14</v>
      </c>
      <c r="E275" s="713" t="s">
        <v>243</v>
      </c>
      <c r="F275" s="630">
        <v>296434</v>
      </c>
      <c r="G275" s="630">
        <v>270119</v>
      </c>
      <c r="H275" s="630">
        <v>91</v>
      </c>
      <c r="I275" s="630">
        <v>0</v>
      </c>
      <c r="J275" s="630">
        <v>27</v>
      </c>
      <c r="K275" s="713" t="s">
        <v>705</v>
      </c>
    </row>
    <row r="276" spans="1:11" hidden="1">
      <c r="A276" s="630">
        <v>15</v>
      </c>
      <c r="B276" s="632" t="s">
        <v>878</v>
      </c>
      <c r="C276" s="713">
        <v>928</v>
      </c>
      <c r="D276" s="713">
        <v>15</v>
      </c>
      <c r="E276" s="713" t="s">
        <v>243</v>
      </c>
      <c r="F276" s="630">
        <v>150327</v>
      </c>
      <c r="G276" s="630">
        <v>150156</v>
      </c>
      <c r="H276" s="630">
        <v>100</v>
      </c>
      <c r="I276" s="630">
        <v>76</v>
      </c>
      <c r="J276" s="630">
        <v>27</v>
      </c>
      <c r="K276" s="713" t="s">
        <v>100</v>
      </c>
    </row>
    <row r="277" spans="1:11" hidden="1">
      <c r="A277" s="630">
        <v>16</v>
      </c>
      <c r="B277" s="632" t="s">
        <v>879</v>
      </c>
      <c r="C277" s="713">
        <v>9281</v>
      </c>
      <c r="D277" s="713">
        <v>16</v>
      </c>
      <c r="E277" s="713" t="s">
        <v>243</v>
      </c>
      <c r="F277" s="630">
        <v>26084</v>
      </c>
      <c r="G277" s="630">
        <v>25235</v>
      </c>
      <c r="H277" s="630">
        <v>97</v>
      </c>
      <c r="I277" s="630">
        <v>48</v>
      </c>
      <c r="J277" s="630">
        <v>27</v>
      </c>
      <c r="K277" s="713" t="s">
        <v>100</v>
      </c>
    </row>
    <row r="278" spans="1:11" hidden="1">
      <c r="A278" s="630">
        <v>17</v>
      </c>
      <c r="B278" s="632" t="s">
        <v>939</v>
      </c>
      <c r="C278" s="713">
        <v>9282</v>
      </c>
      <c r="D278" s="713">
        <v>17</v>
      </c>
      <c r="E278" s="713" t="s">
        <v>176</v>
      </c>
      <c r="F278" s="630">
        <v>33986</v>
      </c>
      <c r="G278" s="630">
        <v>8991</v>
      </c>
      <c r="H278" s="630">
        <v>26</v>
      </c>
      <c r="I278" s="630">
        <v>0</v>
      </c>
      <c r="J278" s="630">
        <v>27</v>
      </c>
      <c r="K278" s="713" t="s">
        <v>705</v>
      </c>
    </row>
    <row r="279" spans="1:11" hidden="1">
      <c r="A279" s="630"/>
      <c r="B279" s="631" t="s">
        <v>1018</v>
      </c>
      <c r="C279" s="713"/>
      <c r="D279" s="713"/>
      <c r="E279" s="713"/>
      <c r="F279" s="630"/>
      <c r="G279" s="630"/>
      <c r="H279" s="630"/>
      <c r="I279" s="630"/>
      <c r="J279" s="630"/>
      <c r="K279" s="713"/>
    </row>
    <row r="280" spans="1:11" hidden="1">
      <c r="A280" s="630">
        <v>1</v>
      </c>
      <c r="B280" s="632" t="s">
        <v>901</v>
      </c>
      <c r="C280" s="713" t="s">
        <v>902</v>
      </c>
      <c r="D280" s="713">
        <v>1</v>
      </c>
      <c r="E280" s="713" t="s">
        <v>790</v>
      </c>
      <c r="F280" s="630"/>
      <c r="G280" s="630"/>
      <c r="H280" s="630"/>
      <c r="I280" s="630"/>
      <c r="J280" s="630"/>
      <c r="K280" s="713"/>
    </row>
    <row r="281" spans="1:11" hidden="1">
      <c r="A281" s="630">
        <v>2</v>
      </c>
      <c r="B281" s="632" t="s">
        <v>940</v>
      </c>
      <c r="C281" s="713">
        <v>830</v>
      </c>
      <c r="D281" s="713">
        <v>2</v>
      </c>
      <c r="E281" s="713" t="s">
        <v>243</v>
      </c>
      <c r="F281" s="630">
        <v>967773</v>
      </c>
      <c r="G281" s="630">
        <v>940254</v>
      </c>
      <c r="H281" s="630">
        <v>97</v>
      </c>
      <c r="I281" s="630">
        <v>4</v>
      </c>
      <c r="J281" s="630">
        <v>28</v>
      </c>
      <c r="K281" s="713" t="s">
        <v>574</v>
      </c>
    </row>
    <row r="282" spans="1:11" hidden="1">
      <c r="A282" s="630">
        <v>3</v>
      </c>
      <c r="B282" s="632" t="s">
        <v>941</v>
      </c>
      <c r="C282" s="713">
        <v>9267</v>
      </c>
      <c r="D282" s="713">
        <v>3</v>
      </c>
      <c r="E282" s="713" t="s">
        <v>243</v>
      </c>
      <c r="F282" s="630">
        <v>9452</v>
      </c>
      <c r="G282" s="630">
        <v>8561</v>
      </c>
      <c r="H282" s="630">
        <v>91</v>
      </c>
      <c r="I282" s="630">
        <v>0</v>
      </c>
      <c r="J282" s="630">
        <v>28</v>
      </c>
      <c r="K282" s="713" t="s">
        <v>1094</v>
      </c>
    </row>
    <row r="283" spans="1:11" hidden="1">
      <c r="A283" s="630">
        <v>4</v>
      </c>
      <c r="B283" s="632" t="s">
        <v>942</v>
      </c>
      <c r="C283" s="713">
        <v>896</v>
      </c>
      <c r="D283" s="713">
        <v>4</v>
      </c>
      <c r="E283" s="713" t="s">
        <v>245</v>
      </c>
      <c r="F283" s="630">
        <v>348329</v>
      </c>
      <c r="G283" s="630">
        <v>236352</v>
      </c>
      <c r="H283" s="630">
        <v>68</v>
      </c>
      <c r="I283" s="630">
        <v>2</v>
      </c>
      <c r="J283" s="630">
        <v>28</v>
      </c>
      <c r="K283" s="713" t="s">
        <v>574</v>
      </c>
    </row>
    <row r="284" spans="1:11" hidden="1">
      <c r="A284" s="630">
        <v>5</v>
      </c>
      <c r="B284" s="632" t="s">
        <v>943</v>
      </c>
      <c r="C284" s="713">
        <v>9268</v>
      </c>
      <c r="D284" s="713">
        <v>5</v>
      </c>
      <c r="E284" s="713" t="s">
        <v>243</v>
      </c>
      <c r="F284" s="630">
        <v>3003</v>
      </c>
      <c r="G284" s="630">
        <v>2828</v>
      </c>
      <c r="H284" s="630">
        <v>94</v>
      </c>
      <c r="I284" s="630">
        <v>0</v>
      </c>
      <c r="J284" s="630">
        <v>28</v>
      </c>
      <c r="K284" s="713" t="s">
        <v>705</v>
      </c>
    </row>
    <row r="285" spans="1:11" hidden="1">
      <c r="A285" s="630">
        <v>6</v>
      </c>
      <c r="B285" s="632" t="s">
        <v>970</v>
      </c>
      <c r="C285" s="713">
        <v>9266</v>
      </c>
      <c r="D285" s="713">
        <v>6</v>
      </c>
      <c r="E285" s="713" t="s">
        <v>243</v>
      </c>
      <c r="F285" s="630">
        <v>373687</v>
      </c>
      <c r="G285" s="630">
        <v>321154</v>
      </c>
      <c r="H285" s="630">
        <v>86</v>
      </c>
      <c r="I285" s="630">
        <v>0</v>
      </c>
      <c r="J285" s="630">
        <v>28</v>
      </c>
      <c r="K285" s="713" t="s">
        <v>705</v>
      </c>
    </row>
    <row r="286" spans="1:11" hidden="1">
      <c r="A286" s="630">
        <v>7</v>
      </c>
      <c r="B286" s="632" t="s">
        <v>971</v>
      </c>
      <c r="C286" s="713">
        <v>943</v>
      </c>
      <c r="D286" s="713">
        <v>7</v>
      </c>
      <c r="E286" s="713" t="s">
        <v>243</v>
      </c>
      <c r="F286" s="630">
        <v>423967</v>
      </c>
      <c r="G286" s="630">
        <v>416959</v>
      </c>
      <c r="H286" s="630">
        <v>98</v>
      </c>
      <c r="I286" s="630">
        <v>1</v>
      </c>
      <c r="J286" s="630">
        <v>28</v>
      </c>
      <c r="K286" s="713" t="s">
        <v>1094</v>
      </c>
    </row>
    <row r="287" spans="1:11" hidden="1">
      <c r="A287" s="630">
        <v>8</v>
      </c>
      <c r="B287" s="632" t="s">
        <v>125</v>
      </c>
      <c r="C287" s="713">
        <v>3149</v>
      </c>
      <c r="D287" s="713">
        <v>8</v>
      </c>
      <c r="E287" s="713" t="s">
        <v>243</v>
      </c>
      <c r="F287" s="630">
        <v>220832</v>
      </c>
      <c r="G287" s="630">
        <v>185961</v>
      </c>
      <c r="H287" s="630">
        <v>84</v>
      </c>
      <c r="I287" s="630">
        <v>0</v>
      </c>
      <c r="J287" s="630">
        <v>28</v>
      </c>
      <c r="K287" s="713" t="s">
        <v>705</v>
      </c>
    </row>
    <row r="288" spans="1:11" hidden="1">
      <c r="A288" s="630">
        <v>9</v>
      </c>
      <c r="B288" s="632" t="s">
        <v>126</v>
      </c>
      <c r="C288" s="713">
        <v>916</v>
      </c>
      <c r="D288" s="713">
        <v>9</v>
      </c>
      <c r="E288" s="713" t="s">
        <v>243</v>
      </c>
      <c r="F288" s="630">
        <v>157198</v>
      </c>
      <c r="G288" s="630">
        <v>139520</v>
      </c>
      <c r="H288" s="630">
        <v>89</v>
      </c>
      <c r="I288" s="630">
        <v>1</v>
      </c>
      <c r="J288" s="630">
        <v>28</v>
      </c>
      <c r="K288" s="713" t="s">
        <v>1094</v>
      </c>
    </row>
    <row r="289" spans="1:11" hidden="1">
      <c r="A289" s="630"/>
      <c r="B289" s="631" t="s">
        <v>570</v>
      </c>
      <c r="C289" s="713"/>
      <c r="D289" s="713"/>
      <c r="E289" s="713"/>
      <c r="F289" s="630"/>
      <c r="G289" s="630"/>
      <c r="H289" s="630"/>
      <c r="I289" s="630"/>
      <c r="J289" s="630"/>
      <c r="K289" s="713"/>
    </row>
    <row r="290" spans="1:11" hidden="1">
      <c r="A290" s="630">
        <v>1</v>
      </c>
      <c r="B290" s="632" t="s">
        <v>901</v>
      </c>
      <c r="C290" s="713" t="s">
        <v>902</v>
      </c>
      <c r="D290" s="713">
        <v>1</v>
      </c>
      <c r="E290" s="713" t="s">
        <v>790</v>
      </c>
      <c r="F290" s="630"/>
      <c r="G290" s="630"/>
      <c r="H290" s="630"/>
      <c r="I290" s="630"/>
      <c r="J290" s="630"/>
      <c r="K290" s="713"/>
    </row>
    <row r="291" spans="1:11" hidden="1">
      <c r="A291" s="630">
        <v>2</v>
      </c>
      <c r="B291" s="632" t="s">
        <v>242</v>
      </c>
      <c r="C291" s="713">
        <v>842</v>
      </c>
      <c r="D291" s="713">
        <v>2</v>
      </c>
      <c r="E291" s="713" t="s">
        <v>243</v>
      </c>
      <c r="F291" s="630">
        <v>716207</v>
      </c>
      <c r="G291" s="630">
        <v>630636</v>
      </c>
      <c r="H291" s="630">
        <v>88</v>
      </c>
      <c r="I291" s="630">
        <v>0</v>
      </c>
      <c r="J291" s="630">
        <v>24</v>
      </c>
      <c r="K291" s="713" t="s">
        <v>1094</v>
      </c>
    </row>
    <row r="292" spans="1:11" hidden="1">
      <c r="A292" s="630">
        <v>3</v>
      </c>
      <c r="B292" s="632" t="s">
        <v>244</v>
      </c>
      <c r="C292" s="713">
        <v>947</v>
      </c>
      <c r="D292" s="713">
        <v>3</v>
      </c>
      <c r="E292" s="713" t="s">
        <v>245</v>
      </c>
      <c r="F292" s="630">
        <v>389655</v>
      </c>
      <c r="G292" s="630">
        <v>293637</v>
      </c>
      <c r="H292" s="630">
        <v>75</v>
      </c>
      <c r="I292" s="630">
        <v>0</v>
      </c>
      <c r="J292" s="630">
        <v>24</v>
      </c>
      <c r="K292" s="713" t="s">
        <v>705</v>
      </c>
    </row>
    <row r="293" spans="1:11" hidden="1">
      <c r="A293" s="630">
        <v>4</v>
      </c>
      <c r="B293" s="632" t="s">
        <v>246</v>
      </c>
      <c r="C293" s="713">
        <v>951</v>
      </c>
      <c r="D293" s="713">
        <v>4</v>
      </c>
      <c r="E293" s="713" t="s">
        <v>247</v>
      </c>
      <c r="F293" s="630">
        <v>491705</v>
      </c>
      <c r="G293" s="630">
        <v>290459</v>
      </c>
      <c r="H293" s="630">
        <v>59</v>
      </c>
      <c r="I293" s="630">
        <v>0</v>
      </c>
      <c r="J293" s="630">
        <v>24</v>
      </c>
      <c r="K293" s="713" t="s">
        <v>1094</v>
      </c>
    </row>
    <row r="294" spans="1:11" hidden="1">
      <c r="A294" s="630">
        <v>5</v>
      </c>
      <c r="B294" s="632" t="s">
        <v>248</v>
      </c>
      <c r="C294" s="713">
        <v>839</v>
      </c>
      <c r="D294" s="713">
        <v>5</v>
      </c>
      <c r="E294" s="713" t="s">
        <v>245</v>
      </c>
      <c r="F294" s="630">
        <v>911780</v>
      </c>
      <c r="G294" s="630">
        <v>693463</v>
      </c>
      <c r="H294" s="630">
        <v>76</v>
      </c>
      <c r="I294" s="630">
        <v>2</v>
      </c>
      <c r="J294" s="630">
        <v>24</v>
      </c>
      <c r="K294" s="713" t="s">
        <v>574</v>
      </c>
    </row>
    <row r="295" spans="1:11" hidden="1">
      <c r="A295" s="630">
        <v>6</v>
      </c>
      <c r="B295" s="632" t="s">
        <v>249</v>
      </c>
      <c r="C295" s="713">
        <v>2329</v>
      </c>
      <c r="D295" s="713">
        <v>6</v>
      </c>
      <c r="E295" s="713" t="s">
        <v>245</v>
      </c>
      <c r="F295" s="630">
        <v>1598226</v>
      </c>
      <c r="G295" s="630">
        <v>1219588</v>
      </c>
      <c r="H295" s="630">
        <v>76</v>
      </c>
      <c r="I295" s="630">
        <v>1</v>
      </c>
      <c r="J295" s="630">
        <v>24</v>
      </c>
      <c r="K295" s="713" t="s">
        <v>1094</v>
      </c>
    </row>
    <row r="296" spans="1:11" hidden="1">
      <c r="A296" s="630">
        <v>7</v>
      </c>
      <c r="B296" s="632" t="s">
        <v>250</v>
      </c>
      <c r="C296" s="713">
        <v>9265</v>
      </c>
      <c r="D296" s="713">
        <v>7</v>
      </c>
      <c r="E296" s="713" t="s">
        <v>247</v>
      </c>
      <c r="F296" s="630">
        <v>1504352</v>
      </c>
      <c r="G296" s="630">
        <v>665391</v>
      </c>
      <c r="H296" s="630">
        <v>44</v>
      </c>
      <c r="I296" s="630">
        <v>0</v>
      </c>
      <c r="J296" s="630">
        <v>24</v>
      </c>
      <c r="K296" s="713" t="s">
        <v>1094</v>
      </c>
    </row>
    <row r="297" spans="1:11" hidden="1">
      <c r="A297" s="630">
        <v>8</v>
      </c>
      <c r="B297" s="632" t="s">
        <v>520</v>
      </c>
      <c r="C297" s="713">
        <v>861</v>
      </c>
      <c r="D297" s="713">
        <v>8</v>
      </c>
      <c r="E297" s="713" t="s">
        <v>247</v>
      </c>
      <c r="F297" s="630">
        <v>1423816</v>
      </c>
      <c r="G297" s="630">
        <v>786216</v>
      </c>
      <c r="H297" s="630">
        <v>55</v>
      </c>
      <c r="I297" s="630">
        <v>1</v>
      </c>
      <c r="J297" s="630">
        <v>24</v>
      </c>
      <c r="K297" s="713" t="s">
        <v>574</v>
      </c>
    </row>
    <row r="298" spans="1:11" hidden="1">
      <c r="A298" s="630">
        <v>9</v>
      </c>
      <c r="B298" s="632" t="s">
        <v>521</v>
      </c>
      <c r="C298" s="713">
        <v>949</v>
      </c>
      <c r="D298" s="713">
        <v>9</v>
      </c>
      <c r="E298" s="713" t="s">
        <v>247</v>
      </c>
      <c r="F298" s="630">
        <v>1266904</v>
      </c>
      <c r="G298" s="630">
        <v>702248</v>
      </c>
      <c r="H298" s="630">
        <v>55</v>
      </c>
      <c r="I298" s="630">
        <v>0</v>
      </c>
      <c r="J298" s="630">
        <v>24</v>
      </c>
      <c r="K298" s="713" t="s">
        <v>1094</v>
      </c>
    </row>
    <row r="299" spans="1:11" hidden="1">
      <c r="A299" s="630">
        <v>10</v>
      </c>
      <c r="B299" s="632" t="s">
        <v>522</v>
      </c>
      <c r="C299" s="713">
        <v>873</v>
      </c>
      <c r="D299" s="713">
        <v>10</v>
      </c>
      <c r="E299" s="713" t="s">
        <v>247</v>
      </c>
      <c r="F299" s="630">
        <v>109319</v>
      </c>
      <c r="G299" s="630">
        <v>34523</v>
      </c>
      <c r="H299" s="630">
        <v>32</v>
      </c>
      <c r="I299" s="630">
        <v>1</v>
      </c>
      <c r="J299" s="630">
        <v>24</v>
      </c>
      <c r="K299" s="713" t="s">
        <v>1094</v>
      </c>
    </row>
    <row r="300" spans="1:11" hidden="1">
      <c r="A300" s="630">
        <v>11</v>
      </c>
      <c r="B300" s="632" t="s">
        <v>523</v>
      </c>
      <c r="C300" s="713">
        <v>893</v>
      </c>
      <c r="D300" s="713">
        <v>11</v>
      </c>
      <c r="E300" s="713" t="s">
        <v>245</v>
      </c>
      <c r="F300" s="630">
        <v>987636</v>
      </c>
      <c r="G300" s="630">
        <v>655750</v>
      </c>
      <c r="H300" s="630">
        <v>66</v>
      </c>
      <c r="I300" s="630">
        <v>0</v>
      </c>
      <c r="J300" s="630">
        <v>24</v>
      </c>
      <c r="K300" s="713" t="s">
        <v>1094</v>
      </c>
    </row>
    <row r="301" spans="1:11" hidden="1">
      <c r="A301" s="630">
        <v>12</v>
      </c>
      <c r="B301" s="632" t="s">
        <v>524</v>
      </c>
      <c r="C301" s="713">
        <v>924</v>
      </c>
      <c r="D301" s="713">
        <v>12</v>
      </c>
      <c r="E301" s="713" t="s">
        <v>245</v>
      </c>
      <c r="F301" s="630">
        <v>965488</v>
      </c>
      <c r="G301" s="630">
        <v>609090</v>
      </c>
      <c r="H301" s="630">
        <v>63</v>
      </c>
      <c r="I301" s="630">
        <v>0</v>
      </c>
      <c r="J301" s="630">
        <v>24</v>
      </c>
      <c r="K301" s="713" t="s">
        <v>1094</v>
      </c>
    </row>
    <row r="302" spans="1:11" hidden="1">
      <c r="A302" s="630">
        <v>13</v>
      </c>
      <c r="B302" s="632" t="s">
        <v>992</v>
      </c>
      <c r="C302" s="713">
        <v>888</v>
      </c>
      <c r="D302" s="713">
        <v>13</v>
      </c>
      <c r="E302" s="713" t="s">
        <v>243</v>
      </c>
      <c r="F302" s="630">
        <v>837830</v>
      </c>
      <c r="G302" s="630">
        <v>827863</v>
      </c>
      <c r="H302" s="630">
        <v>99</v>
      </c>
      <c r="I302" s="630">
        <v>3</v>
      </c>
      <c r="J302" s="630">
        <v>24</v>
      </c>
      <c r="K302" s="713" t="s">
        <v>574</v>
      </c>
    </row>
    <row r="303" spans="1:11" hidden="1">
      <c r="A303" s="630">
        <v>14</v>
      </c>
      <c r="B303" s="632" t="s">
        <v>624</v>
      </c>
      <c r="C303" s="713">
        <v>818</v>
      </c>
      <c r="D303" s="713">
        <v>14</v>
      </c>
      <c r="E303" s="713" t="s">
        <v>245</v>
      </c>
      <c r="F303" s="630">
        <v>392811</v>
      </c>
      <c r="G303" s="630">
        <v>277913</v>
      </c>
      <c r="H303" s="630">
        <v>71</v>
      </c>
      <c r="I303" s="630">
        <v>1</v>
      </c>
      <c r="J303" s="630">
        <v>24</v>
      </c>
      <c r="K303" s="713" t="s">
        <v>574</v>
      </c>
    </row>
    <row r="304" spans="1:11" hidden="1">
      <c r="A304" s="630">
        <v>15</v>
      </c>
      <c r="B304" s="632" t="s">
        <v>694</v>
      </c>
      <c r="C304" s="713">
        <v>220</v>
      </c>
      <c r="D304" s="713">
        <v>15</v>
      </c>
      <c r="E304" s="713" t="s">
        <v>247</v>
      </c>
      <c r="F304" s="630">
        <v>13570</v>
      </c>
      <c r="G304" s="630">
        <v>7798</v>
      </c>
      <c r="H304" s="630">
        <v>57</v>
      </c>
      <c r="I304" s="630">
        <v>3</v>
      </c>
      <c r="J304" s="630">
        <v>24</v>
      </c>
      <c r="K304" s="713" t="s">
        <v>574</v>
      </c>
    </row>
    <row r="305" spans="1:11" hidden="1">
      <c r="A305" s="630">
        <v>16</v>
      </c>
      <c r="B305" s="632" t="s">
        <v>695</v>
      </c>
      <c r="C305" s="713">
        <v>883</v>
      </c>
      <c r="D305" s="713">
        <v>16</v>
      </c>
      <c r="E305" s="713" t="s">
        <v>245</v>
      </c>
      <c r="F305" s="630">
        <v>2034</v>
      </c>
      <c r="G305" s="630">
        <v>1333</v>
      </c>
      <c r="H305" s="630">
        <v>66</v>
      </c>
      <c r="I305" s="630">
        <v>0</v>
      </c>
      <c r="J305" s="630">
        <v>24</v>
      </c>
      <c r="K305" s="713" t="s">
        <v>705</v>
      </c>
    </row>
    <row r="306" spans="1:11" hidden="1">
      <c r="A306" s="630">
        <v>17</v>
      </c>
      <c r="B306" s="632" t="s">
        <v>696</v>
      </c>
      <c r="C306" s="713">
        <v>901</v>
      </c>
      <c r="D306" s="713">
        <v>17</v>
      </c>
      <c r="E306" s="713" t="s">
        <v>245</v>
      </c>
      <c r="F306" s="630">
        <v>492128</v>
      </c>
      <c r="G306" s="630">
        <v>381544</v>
      </c>
      <c r="H306" s="630">
        <v>78</v>
      </c>
      <c r="I306" s="630">
        <v>2</v>
      </c>
      <c r="J306" s="630">
        <v>24</v>
      </c>
      <c r="K306" s="713" t="s">
        <v>574</v>
      </c>
    </row>
    <row r="307" spans="1:11" hidden="1">
      <c r="A307" s="630">
        <v>18</v>
      </c>
      <c r="B307" s="632" t="s">
        <v>697</v>
      </c>
      <c r="C307" s="713">
        <v>911</v>
      </c>
      <c r="D307" s="713">
        <v>18</v>
      </c>
      <c r="E307" s="713" t="s">
        <v>245</v>
      </c>
      <c r="F307" s="630">
        <v>155192</v>
      </c>
      <c r="G307" s="630">
        <v>121683</v>
      </c>
      <c r="H307" s="630">
        <v>78</v>
      </c>
      <c r="I307" s="630">
        <v>2</v>
      </c>
      <c r="J307" s="630">
        <v>24</v>
      </c>
      <c r="K307" s="713" t="s">
        <v>574</v>
      </c>
    </row>
    <row r="308" spans="1:11" hidden="1">
      <c r="A308" s="630">
        <v>19</v>
      </c>
      <c r="B308" s="632" t="s">
        <v>698</v>
      </c>
      <c r="C308" s="713">
        <v>906</v>
      </c>
      <c r="D308" s="713">
        <v>19</v>
      </c>
      <c r="E308" s="713" t="s">
        <v>245</v>
      </c>
      <c r="F308" s="630">
        <v>596337</v>
      </c>
      <c r="G308" s="630">
        <v>436797</v>
      </c>
      <c r="H308" s="630">
        <v>73</v>
      </c>
      <c r="I308" s="630">
        <v>1</v>
      </c>
      <c r="J308" s="630">
        <v>24</v>
      </c>
      <c r="K308" s="713" t="s">
        <v>1094</v>
      </c>
    </row>
    <row r="309" spans="1:11" hidden="1">
      <c r="A309" s="630">
        <v>20</v>
      </c>
      <c r="B309" s="632" t="s">
        <v>699</v>
      </c>
      <c r="C309" s="713">
        <v>9214</v>
      </c>
      <c r="D309" s="713">
        <v>20</v>
      </c>
      <c r="E309" s="713" t="s">
        <v>245</v>
      </c>
      <c r="F309" s="630">
        <v>332989</v>
      </c>
      <c r="G309" s="630">
        <v>222800</v>
      </c>
      <c r="H309" s="630">
        <v>67</v>
      </c>
      <c r="I309" s="630">
        <v>0</v>
      </c>
      <c r="J309" s="630">
        <v>24</v>
      </c>
      <c r="K309" s="713" t="s">
        <v>1094</v>
      </c>
    </row>
    <row r="310" spans="1:11" hidden="1">
      <c r="A310" s="630">
        <v>21</v>
      </c>
      <c r="B310" s="632" t="s">
        <v>700</v>
      </c>
      <c r="C310" s="713">
        <v>827</v>
      </c>
      <c r="D310" s="713">
        <v>21</v>
      </c>
      <c r="E310" s="713" t="s">
        <v>247</v>
      </c>
      <c r="F310" s="630">
        <v>1026129</v>
      </c>
      <c r="G310" s="630">
        <v>599136</v>
      </c>
      <c r="H310" s="630">
        <v>58</v>
      </c>
      <c r="I310" s="630">
        <v>1</v>
      </c>
      <c r="J310" s="630">
        <v>24</v>
      </c>
      <c r="K310" s="713" t="s">
        <v>1094</v>
      </c>
    </row>
    <row r="311" spans="1:11" hidden="1">
      <c r="A311" s="630">
        <v>22</v>
      </c>
      <c r="B311" s="632" t="s">
        <v>701</v>
      </c>
      <c r="C311" s="713">
        <v>919</v>
      </c>
      <c r="D311" s="713">
        <v>22</v>
      </c>
      <c r="E311" s="713" t="s">
        <v>245</v>
      </c>
      <c r="F311" s="630">
        <v>138119</v>
      </c>
      <c r="G311" s="630">
        <v>99218</v>
      </c>
      <c r="H311" s="630">
        <v>72</v>
      </c>
      <c r="I311" s="630">
        <v>0</v>
      </c>
      <c r="J311" s="630">
        <v>24</v>
      </c>
      <c r="K311" s="713" t="s">
        <v>705</v>
      </c>
    </row>
    <row r="312" spans="1:11" hidden="1">
      <c r="A312" s="630">
        <v>23</v>
      </c>
      <c r="B312" s="632" t="s">
        <v>702</v>
      </c>
      <c r="C312" s="713">
        <v>8032</v>
      </c>
      <c r="D312" s="713">
        <v>23</v>
      </c>
      <c r="E312" s="713" t="s">
        <v>243</v>
      </c>
      <c r="F312" s="630">
        <v>8620</v>
      </c>
      <c r="G312" s="630">
        <v>8510</v>
      </c>
      <c r="H312" s="630">
        <v>99</v>
      </c>
      <c r="I312" s="630">
        <v>17</v>
      </c>
      <c r="J312" s="630">
        <v>24</v>
      </c>
      <c r="K312" s="713" t="s">
        <v>1111</v>
      </c>
    </row>
    <row r="313" spans="1:11" hidden="1">
      <c r="A313" s="630">
        <v>24</v>
      </c>
      <c r="B313" s="632" t="s">
        <v>703</v>
      </c>
      <c r="C313" s="713">
        <v>973</v>
      </c>
      <c r="D313" s="713">
        <v>24</v>
      </c>
      <c r="E313" s="713" t="s">
        <v>247</v>
      </c>
      <c r="F313" s="630">
        <v>1451033</v>
      </c>
      <c r="G313" s="630">
        <v>761968</v>
      </c>
      <c r="H313" s="630">
        <v>53</v>
      </c>
      <c r="I313" s="630">
        <v>0</v>
      </c>
      <c r="J313" s="630">
        <v>24</v>
      </c>
      <c r="K313" s="713" t="s">
        <v>1094</v>
      </c>
    </row>
    <row r="314" spans="1:11" hidden="1">
      <c r="A314" s="630">
        <v>25</v>
      </c>
      <c r="B314" s="632" t="s">
        <v>704</v>
      </c>
      <c r="C314" s="713">
        <v>8037</v>
      </c>
      <c r="D314" s="713">
        <v>25</v>
      </c>
      <c r="E314" s="713" t="s">
        <v>243</v>
      </c>
      <c r="F314" s="630">
        <v>26808</v>
      </c>
      <c r="G314" s="630">
        <v>26660</v>
      </c>
      <c r="H314" s="630">
        <v>99</v>
      </c>
      <c r="I314" s="630">
        <v>17</v>
      </c>
      <c r="J314" s="630">
        <v>24</v>
      </c>
      <c r="K314" s="713" t="s">
        <v>1111</v>
      </c>
    </row>
    <row r="315" spans="1:11" hidden="1">
      <c r="A315" s="630">
        <v>26</v>
      </c>
      <c r="B315" s="632" t="s">
        <v>148</v>
      </c>
      <c r="C315" s="713">
        <v>9280</v>
      </c>
      <c r="D315" s="713">
        <v>26</v>
      </c>
      <c r="E315" s="713" t="s">
        <v>247</v>
      </c>
      <c r="F315" s="630">
        <v>128381</v>
      </c>
      <c r="G315" s="630">
        <v>71429</v>
      </c>
      <c r="H315" s="630">
        <v>56</v>
      </c>
      <c r="I315" s="630">
        <v>1</v>
      </c>
      <c r="J315" s="630">
        <v>24</v>
      </c>
      <c r="K315" s="713" t="s">
        <v>1094</v>
      </c>
    </row>
    <row r="316" spans="1:11" hidden="1">
      <c r="A316" s="630">
        <v>27</v>
      </c>
      <c r="B316" s="632" t="s">
        <v>149</v>
      </c>
      <c r="C316" s="713">
        <v>9283</v>
      </c>
      <c r="D316" s="713">
        <v>27</v>
      </c>
      <c r="E316" s="713" t="s">
        <v>245</v>
      </c>
      <c r="F316" s="630">
        <v>34694</v>
      </c>
      <c r="G316" s="630">
        <v>26651</v>
      </c>
      <c r="H316" s="630">
        <v>77</v>
      </c>
      <c r="I316" s="630">
        <v>0</v>
      </c>
      <c r="J316" s="630">
        <v>24</v>
      </c>
      <c r="K316" s="713" t="s">
        <v>705</v>
      </c>
    </row>
    <row r="317" spans="1:11" hidden="1">
      <c r="A317" s="630">
        <v>28</v>
      </c>
      <c r="B317" s="632" t="s">
        <v>150</v>
      </c>
      <c r="C317" s="713">
        <v>844</v>
      </c>
      <c r="D317" s="713">
        <v>28</v>
      </c>
      <c r="E317" s="713" t="s">
        <v>247</v>
      </c>
      <c r="F317" s="630">
        <v>2274316</v>
      </c>
      <c r="G317" s="630">
        <v>833982</v>
      </c>
      <c r="H317" s="630">
        <v>37</v>
      </c>
      <c r="I317" s="630">
        <v>0</v>
      </c>
      <c r="J317" s="630">
        <v>24</v>
      </c>
      <c r="K317" s="713" t="s">
        <v>1094</v>
      </c>
    </row>
    <row r="318" spans="1:11" hidden="1">
      <c r="A318" s="630">
        <v>29</v>
      </c>
      <c r="B318" s="632" t="s">
        <v>151</v>
      </c>
      <c r="C318" s="713">
        <v>857</v>
      </c>
      <c r="D318" s="713">
        <v>29</v>
      </c>
      <c r="E318" s="713" t="s">
        <v>247</v>
      </c>
      <c r="F318" s="630">
        <v>92158</v>
      </c>
      <c r="G318" s="630">
        <v>54741</v>
      </c>
      <c r="H318" s="630">
        <v>59</v>
      </c>
      <c r="I318" s="630">
        <v>0</v>
      </c>
      <c r="J318" s="630">
        <v>24</v>
      </c>
      <c r="K318" s="713" t="s">
        <v>705</v>
      </c>
    </row>
    <row r="319" spans="1:11" hidden="1">
      <c r="A319" s="630">
        <v>30</v>
      </c>
      <c r="B319" s="632" t="s">
        <v>985</v>
      </c>
      <c r="C319" s="713">
        <v>9255</v>
      </c>
      <c r="D319" s="713">
        <v>30</v>
      </c>
      <c r="E319" s="713" t="s">
        <v>243</v>
      </c>
      <c r="F319" s="630">
        <v>385309</v>
      </c>
      <c r="G319" s="630">
        <v>358731</v>
      </c>
      <c r="H319" s="630">
        <v>93</v>
      </c>
      <c r="I319" s="630">
        <v>0</v>
      </c>
      <c r="J319" s="630">
        <v>24</v>
      </c>
      <c r="K319" s="713" t="s">
        <v>1094</v>
      </c>
    </row>
    <row r="320" spans="1:11" hidden="1">
      <c r="A320" s="630">
        <v>31</v>
      </c>
      <c r="B320" s="632" t="s">
        <v>986</v>
      </c>
      <c r="C320" s="713">
        <v>8033</v>
      </c>
      <c r="D320" s="713">
        <v>31</v>
      </c>
      <c r="E320" s="713" t="s">
        <v>243</v>
      </c>
      <c r="F320" s="630">
        <v>52586</v>
      </c>
      <c r="G320" s="630">
        <v>52420</v>
      </c>
      <c r="H320" s="630">
        <v>100</v>
      </c>
      <c r="I320" s="630">
        <v>26</v>
      </c>
      <c r="J320" s="630">
        <v>24</v>
      </c>
      <c r="K320" s="713" t="s">
        <v>100</v>
      </c>
    </row>
    <row r="321" spans="1:11" hidden="1">
      <c r="A321" s="630">
        <v>32</v>
      </c>
      <c r="B321" s="632" t="s">
        <v>987</v>
      </c>
      <c r="C321" s="713">
        <v>8088</v>
      </c>
      <c r="D321" s="713">
        <v>32</v>
      </c>
      <c r="E321" s="713" t="s">
        <v>243</v>
      </c>
      <c r="F321" s="630">
        <v>667057</v>
      </c>
      <c r="G321" s="630">
        <v>539073</v>
      </c>
      <c r="H321" s="630">
        <v>81</v>
      </c>
      <c r="I321" s="630">
        <v>0</v>
      </c>
      <c r="J321" s="630">
        <v>24</v>
      </c>
      <c r="K321" s="713" t="s">
        <v>705</v>
      </c>
    </row>
    <row r="322" spans="1:11" hidden="1">
      <c r="A322" s="630">
        <v>33</v>
      </c>
      <c r="B322" s="632" t="s">
        <v>988</v>
      </c>
      <c r="C322" s="713">
        <v>950</v>
      </c>
      <c r="D322" s="713">
        <v>33</v>
      </c>
      <c r="E322" s="713" t="s">
        <v>247</v>
      </c>
      <c r="F322" s="630">
        <v>858127</v>
      </c>
      <c r="G322" s="630">
        <v>335613</v>
      </c>
      <c r="H322" s="630">
        <v>39</v>
      </c>
      <c r="I322" s="630">
        <v>0</v>
      </c>
      <c r="J322" s="630">
        <v>24</v>
      </c>
      <c r="K322" s="713" t="s">
        <v>1094</v>
      </c>
    </row>
    <row r="323" spans="1:11" hidden="1">
      <c r="A323" s="630">
        <v>34</v>
      </c>
      <c r="B323" s="632" t="s">
        <v>447</v>
      </c>
      <c r="C323" s="713">
        <v>860</v>
      </c>
      <c r="D323" s="713">
        <v>34</v>
      </c>
      <c r="E323" s="713" t="s">
        <v>243</v>
      </c>
      <c r="F323" s="630">
        <v>1339190</v>
      </c>
      <c r="G323" s="630">
        <v>1286681</v>
      </c>
      <c r="H323" s="630">
        <v>96</v>
      </c>
      <c r="I323" s="630">
        <v>1</v>
      </c>
      <c r="J323" s="630">
        <v>24</v>
      </c>
      <c r="K323" s="713" t="s">
        <v>574</v>
      </c>
    </row>
    <row r="324" spans="1:11" hidden="1">
      <c r="A324" s="630">
        <v>35</v>
      </c>
      <c r="B324" s="632" t="s">
        <v>448</v>
      </c>
      <c r="C324" s="713">
        <v>892</v>
      </c>
      <c r="D324" s="713">
        <v>35</v>
      </c>
      <c r="E324" s="713" t="s">
        <v>245</v>
      </c>
      <c r="F324" s="630">
        <v>426814</v>
      </c>
      <c r="G324" s="630">
        <v>292023</v>
      </c>
      <c r="H324" s="630">
        <v>68</v>
      </c>
      <c r="I324" s="630">
        <v>0</v>
      </c>
      <c r="J324" s="630">
        <v>24</v>
      </c>
      <c r="K324" s="713" t="s">
        <v>705</v>
      </c>
    </row>
    <row r="325" spans="1:11" hidden="1">
      <c r="A325" s="630"/>
      <c r="B325" s="631" t="s">
        <v>171</v>
      </c>
      <c r="C325" s="713"/>
      <c r="D325" s="713"/>
      <c r="E325" s="713"/>
      <c r="F325" s="630"/>
      <c r="G325" s="630"/>
      <c r="H325" s="630"/>
      <c r="I325" s="630"/>
      <c r="J325" s="630"/>
      <c r="K325" s="713"/>
    </row>
    <row r="326" spans="1:11" hidden="1">
      <c r="A326" s="630">
        <v>1</v>
      </c>
      <c r="B326" s="632" t="s">
        <v>901</v>
      </c>
      <c r="C326" s="713" t="s">
        <v>902</v>
      </c>
      <c r="D326" s="713">
        <v>1</v>
      </c>
      <c r="E326" s="713" t="s">
        <v>790</v>
      </c>
      <c r="F326" s="630"/>
      <c r="G326" s="630"/>
      <c r="H326" s="630"/>
      <c r="I326" s="630"/>
      <c r="J326" s="630"/>
      <c r="K326" s="713"/>
    </row>
    <row r="327" spans="1:11" hidden="1">
      <c r="A327" s="630">
        <v>2</v>
      </c>
      <c r="B327" s="632" t="s">
        <v>127</v>
      </c>
      <c r="C327" s="713">
        <v>8089</v>
      </c>
      <c r="D327" s="713">
        <v>2</v>
      </c>
      <c r="E327" s="713" t="s">
        <v>243</v>
      </c>
      <c r="F327" s="630">
        <v>205087</v>
      </c>
      <c r="G327" s="630">
        <v>198417</v>
      </c>
      <c r="H327" s="630">
        <v>97</v>
      </c>
      <c r="I327" s="630">
        <v>0</v>
      </c>
      <c r="J327" s="630">
        <v>23</v>
      </c>
      <c r="K327" s="713" t="s">
        <v>705</v>
      </c>
    </row>
    <row r="328" spans="1:11" hidden="1">
      <c r="A328" s="630">
        <v>3</v>
      </c>
      <c r="B328" s="632" t="s">
        <v>767</v>
      </c>
      <c r="C328" s="713">
        <v>243</v>
      </c>
      <c r="D328" s="713">
        <v>3</v>
      </c>
      <c r="E328" s="713" t="s">
        <v>243</v>
      </c>
      <c r="F328" s="630">
        <v>1289199</v>
      </c>
      <c r="G328" s="630">
        <v>1054791</v>
      </c>
      <c r="H328" s="630">
        <v>82</v>
      </c>
      <c r="I328" s="630">
        <v>3</v>
      </c>
      <c r="J328" s="630">
        <v>23</v>
      </c>
      <c r="K328" s="713" t="s">
        <v>574</v>
      </c>
    </row>
    <row r="329" spans="1:11" hidden="1">
      <c r="A329" s="630">
        <v>4</v>
      </c>
      <c r="B329" s="632" t="s">
        <v>1158</v>
      </c>
      <c r="C329" s="713">
        <v>217</v>
      </c>
      <c r="D329" s="713">
        <v>4</v>
      </c>
      <c r="E329" s="713" t="s">
        <v>245</v>
      </c>
      <c r="F329" s="630">
        <v>866746</v>
      </c>
      <c r="G329" s="630">
        <v>643745</v>
      </c>
      <c r="H329" s="630">
        <v>74</v>
      </c>
      <c r="I329" s="630">
        <v>0</v>
      </c>
      <c r="J329" s="630">
        <v>23</v>
      </c>
      <c r="K329" s="713" t="s">
        <v>1094</v>
      </c>
    </row>
    <row r="330" spans="1:11" hidden="1">
      <c r="A330" s="630">
        <v>5</v>
      </c>
      <c r="B330" s="632" t="s">
        <v>1159</v>
      </c>
      <c r="C330" s="713">
        <v>307</v>
      </c>
      <c r="D330" s="713">
        <v>5</v>
      </c>
      <c r="E330" s="713" t="s">
        <v>245</v>
      </c>
      <c r="F330" s="630">
        <v>47706</v>
      </c>
      <c r="G330" s="630">
        <v>37263</v>
      </c>
      <c r="H330" s="630">
        <v>78</v>
      </c>
      <c r="I330" s="630">
        <v>0</v>
      </c>
      <c r="J330" s="630">
        <v>23</v>
      </c>
      <c r="K330" s="713" t="s">
        <v>1094</v>
      </c>
    </row>
    <row r="331" spans="1:11" hidden="1">
      <c r="A331" s="630">
        <v>6</v>
      </c>
      <c r="B331" s="632" t="s">
        <v>1160</v>
      </c>
      <c r="C331" s="713">
        <v>313</v>
      </c>
      <c r="D331" s="713">
        <v>6</v>
      </c>
      <c r="E331" s="713" t="s">
        <v>245</v>
      </c>
      <c r="F331" s="630">
        <v>604106</v>
      </c>
      <c r="G331" s="630">
        <v>439731</v>
      </c>
      <c r="H331" s="630">
        <v>73</v>
      </c>
      <c r="I331" s="630">
        <v>0</v>
      </c>
      <c r="J331" s="630">
        <v>23</v>
      </c>
      <c r="K331" s="713" t="s">
        <v>1094</v>
      </c>
    </row>
    <row r="332" spans="1:11" hidden="1">
      <c r="A332" s="630">
        <v>7</v>
      </c>
      <c r="B332" s="632" t="s">
        <v>1161</v>
      </c>
      <c r="C332" s="713">
        <v>229</v>
      </c>
      <c r="D332" s="713">
        <v>7</v>
      </c>
      <c r="E332" s="713" t="s">
        <v>243</v>
      </c>
      <c r="F332" s="630">
        <v>516966</v>
      </c>
      <c r="G332" s="630">
        <v>432847</v>
      </c>
      <c r="H332" s="630">
        <v>84</v>
      </c>
      <c r="I332" s="630">
        <v>1</v>
      </c>
      <c r="J332" s="630">
        <v>23</v>
      </c>
      <c r="K332" s="713" t="s">
        <v>574</v>
      </c>
    </row>
    <row r="333" spans="1:11" hidden="1">
      <c r="A333" s="630">
        <v>8</v>
      </c>
      <c r="B333" s="632" t="s">
        <v>1162</v>
      </c>
      <c r="C333" s="713">
        <v>9290</v>
      </c>
      <c r="D333" s="713">
        <v>8</v>
      </c>
      <c r="E333" s="713" t="s">
        <v>247</v>
      </c>
      <c r="F333" s="630">
        <v>31891</v>
      </c>
      <c r="G333" s="630">
        <v>7983</v>
      </c>
      <c r="H333" s="630">
        <v>25</v>
      </c>
      <c r="I333" s="630">
        <v>0</v>
      </c>
      <c r="J333" s="630">
        <v>23</v>
      </c>
      <c r="K333" s="713" t="s">
        <v>1094</v>
      </c>
    </row>
    <row r="334" spans="1:11" hidden="1">
      <c r="A334" s="630">
        <v>9</v>
      </c>
      <c r="B334" s="632" t="s">
        <v>1163</v>
      </c>
      <c r="C334" s="713">
        <v>9213</v>
      </c>
      <c r="D334" s="713">
        <v>9</v>
      </c>
      <c r="E334" s="713" t="s">
        <v>243</v>
      </c>
      <c r="F334" s="630">
        <v>178304</v>
      </c>
      <c r="G334" s="630">
        <v>168106</v>
      </c>
      <c r="H334" s="630">
        <v>94</v>
      </c>
      <c r="I334" s="630">
        <v>1</v>
      </c>
      <c r="J334" s="630">
        <v>23</v>
      </c>
      <c r="K334" s="713" t="s">
        <v>574</v>
      </c>
    </row>
    <row r="335" spans="1:11" hidden="1">
      <c r="A335" s="630">
        <v>10</v>
      </c>
      <c r="B335" s="632" t="s">
        <v>1164</v>
      </c>
      <c r="C335" s="713">
        <v>894</v>
      </c>
      <c r="D335" s="713">
        <v>10</v>
      </c>
      <c r="E335" s="713" t="s">
        <v>247</v>
      </c>
      <c r="F335" s="630">
        <v>657658</v>
      </c>
      <c r="G335" s="630">
        <v>310203</v>
      </c>
      <c r="H335" s="630">
        <v>47</v>
      </c>
      <c r="I335" s="630">
        <v>0</v>
      </c>
      <c r="J335" s="630">
        <v>23</v>
      </c>
      <c r="K335" s="713" t="s">
        <v>1094</v>
      </c>
    </row>
    <row r="336" spans="1:11" hidden="1">
      <c r="A336" s="630">
        <v>11</v>
      </c>
      <c r="B336" s="632" t="s">
        <v>1165</v>
      </c>
      <c r="C336" s="713">
        <v>230</v>
      </c>
      <c r="D336" s="713">
        <v>11</v>
      </c>
      <c r="E336" s="713" t="s">
        <v>245</v>
      </c>
      <c r="F336" s="630">
        <v>100403</v>
      </c>
      <c r="G336" s="630">
        <v>76006</v>
      </c>
      <c r="H336" s="630">
        <v>76</v>
      </c>
      <c r="I336" s="630">
        <v>0</v>
      </c>
      <c r="J336" s="630">
        <v>23</v>
      </c>
      <c r="K336" s="713" t="s">
        <v>1094</v>
      </c>
    </row>
    <row r="337" spans="1:11" hidden="1">
      <c r="A337" s="630">
        <v>12</v>
      </c>
      <c r="B337" s="632" t="s">
        <v>1119</v>
      </c>
      <c r="C337" s="713">
        <v>9272</v>
      </c>
      <c r="D337" s="713">
        <v>12</v>
      </c>
      <c r="E337" s="713" t="s">
        <v>243</v>
      </c>
      <c r="F337" s="630">
        <v>29207</v>
      </c>
      <c r="G337" s="630">
        <v>28124</v>
      </c>
      <c r="H337" s="630">
        <v>96</v>
      </c>
      <c r="I337" s="630">
        <v>1</v>
      </c>
      <c r="J337" s="630">
        <v>23</v>
      </c>
      <c r="K337" s="713" t="s">
        <v>1094</v>
      </c>
    </row>
    <row r="338" spans="1:11" hidden="1">
      <c r="A338" s="630">
        <v>13</v>
      </c>
      <c r="B338" s="632" t="s">
        <v>1120</v>
      </c>
      <c r="C338" s="713">
        <v>907</v>
      </c>
      <c r="D338" s="713">
        <v>13</v>
      </c>
      <c r="E338" s="713" t="s">
        <v>245</v>
      </c>
      <c r="F338" s="630">
        <v>80773</v>
      </c>
      <c r="G338" s="630">
        <v>61762</v>
      </c>
      <c r="H338" s="630">
        <v>76</v>
      </c>
      <c r="I338" s="630">
        <v>3</v>
      </c>
      <c r="J338" s="630">
        <v>23</v>
      </c>
      <c r="K338" s="713" t="s">
        <v>574</v>
      </c>
    </row>
    <row r="339" spans="1:11" hidden="1">
      <c r="A339" s="630">
        <v>14</v>
      </c>
      <c r="B339" s="632" t="s">
        <v>1121</v>
      </c>
      <c r="C339" s="713">
        <v>8050</v>
      </c>
      <c r="D339" s="713">
        <v>14</v>
      </c>
      <c r="E339" s="713" t="s">
        <v>243</v>
      </c>
      <c r="F339" s="630">
        <v>360630</v>
      </c>
      <c r="G339" s="630">
        <v>323440</v>
      </c>
      <c r="H339" s="630">
        <v>90</v>
      </c>
      <c r="I339" s="630">
        <v>1</v>
      </c>
      <c r="J339" s="630">
        <v>23</v>
      </c>
      <c r="K339" s="713" t="s">
        <v>1094</v>
      </c>
    </row>
    <row r="340" spans="1:11" hidden="1">
      <c r="A340" s="630">
        <v>15</v>
      </c>
      <c r="B340" s="632" t="s">
        <v>1122</v>
      </c>
      <c r="C340" s="713">
        <v>244</v>
      </c>
      <c r="D340" s="713">
        <v>15</v>
      </c>
      <c r="E340" s="713" t="s">
        <v>245</v>
      </c>
      <c r="F340" s="630">
        <v>227662</v>
      </c>
      <c r="G340" s="630">
        <v>151209</v>
      </c>
      <c r="H340" s="630">
        <v>66</v>
      </c>
      <c r="I340" s="630">
        <v>4</v>
      </c>
      <c r="J340" s="630">
        <v>23</v>
      </c>
      <c r="K340" s="713" t="s">
        <v>574</v>
      </c>
    </row>
    <row r="341" spans="1:11" hidden="1">
      <c r="A341" s="630">
        <v>16</v>
      </c>
      <c r="B341" s="632" t="s">
        <v>1123</v>
      </c>
      <c r="C341" s="713">
        <v>890</v>
      </c>
      <c r="D341" s="713">
        <v>16</v>
      </c>
      <c r="E341" s="713" t="s">
        <v>245</v>
      </c>
      <c r="F341" s="630">
        <v>613687</v>
      </c>
      <c r="G341" s="630">
        <v>447947</v>
      </c>
      <c r="H341" s="630">
        <v>73</v>
      </c>
      <c r="I341" s="630">
        <v>0</v>
      </c>
      <c r="J341" s="630">
        <v>23</v>
      </c>
      <c r="K341" s="713" t="s">
        <v>705</v>
      </c>
    </row>
    <row r="342" spans="1:11" hidden="1">
      <c r="A342" s="630">
        <v>17</v>
      </c>
      <c r="B342" s="632" t="s">
        <v>1124</v>
      </c>
      <c r="C342" s="713">
        <v>891</v>
      </c>
      <c r="D342" s="713">
        <v>17</v>
      </c>
      <c r="E342" s="713" t="s">
        <v>247</v>
      </c>
      <c r="F342" s="630">
        <v>528250</v>
      </c>
      <c r="G342" s="630">
        <v>313779</v>
      </c>
      <c r="H342" s="630">
        <v>59</v>
      </c>
      <c r="I342" s="630">
        <v>0</v>
      </c>
      <c r="J342" s="630">
        <v>23</v>
      </c>
      <c r="K342" s="713" t="s">
        <v>1094</v>
      </c>
    </row>
    <row r="343" spans="1:11" hidden="1">
      <c r="A343" s="630"/>
      <c r="B343" s="631" t="s">
        <v>765</v>
      </c>
      <c r="C343" s="713"/>
      <c r="D343" s="713"/>
      <c r="E343" s="713"/>
      <c r="F343" s="630"/>
      <c r="G343" s="630"/>
      <c r="H343" s="630"/>
      <c r="I343" s="630"/>
      <c r="J343" s="630"/>
      <c r="K343" s="713"/>
    </row>
    <row r="344" spans="1:11" hidden="1">
      <c r="A344" s="630">
        <v>1</v>
      </c>
      <c r="B344" s="632" t="s">
        <v>901</v>
      </c>
      <c r="C344" s="713" t="s">
        <v>902</v>
      </c>
      <c r="D344" s="713">
        <v>1</v>
      </c>
      <c r="E344" s="713" t="s">
        <v>790</v>
      </c>
      <c r="F344" s="630"/>
      <c r="G344" s="630"/>
      <c r="H344" s="630"/>
      <c r="I344" s="630"/>
      <c r="J344" s="630"/>
      <c r="K344" s="713"/>
    </row>
    <row r="345" spans="1:11" hidden="1">
      <c r="A345" s="630">
        <v>2</v>
      </c>
      <c r="B345" s="632" t="s">
        <v>1166</v>
      </c>
      <c r="C345" s="713">
        <v>909</v>
      </c>
      <c r="D345" s="713">
        <v>2</v>
      </c>
      <c r="E345" s="713" t="s">
        <v>796</v>
      </c>
      <c r="F345" s="630">
        <v>178529</v>
      </c>
      <c r="G345" s="630">
        <v>131606</v>
      </c>
      <c r="H345" s="630">
        <v>74</v>
      </c>
      <c r="I345" s="630">
        <v>3</v>
      </c>
      <c r="J345" s="630">
        <v>31</v>
      </c>
      <c r="K345" s="713" t="s">
        <v>1167</v>
      </c>
    </row>
    <row r="346" spans="1:11" hidden="1">
      <c r="A346" s="630"/>
      <c r="B346" s="631" t="s">
        <v>1097</v>
      </c>
      <c r="C346" s="713"/>
      <c r="D346" s="713"/>
      <c r="E346" s="713"/>
      <c r="F346" s="630"/>
      <c r="G346" s="630"/>
      <c r="H346" s="630"/>
      <c r="I346" s="630"/>
      <c r="J346" s="630"/>
      <c r="K346" s="713"/>
    </row>
    <row r="347" spans="1:11" hidden="1">
      <c r="A347" s="630">
        <v>1</v>
      </c>
      <c r="B347" s="632" t="s">
        <v>901</v>
      </c>
      <c r="C347" s="713" t="s">
        <v>902</v>
      </c>
      <c r="D347" s="713">
        <v>1</v>
      </c>
      <c r="E347" s="713" t="s">
        <v>790</v>
      </c>
      <c r="F347" s="630"/>
      <c r="G347" s="630"/>
      <c r="H347" s="630"/>
      <c r="I347" s="630"/>
      <c r="J347" s="630"/>
      <c r="K347" s="713"/>
    </row>
    <row r="348" spans="1:11" hidden="1">
      <c r="A348" s="630">
        <v>2</v>
      </c>
      <c r="B348" s="632" t="s">
        <v>915</v>
      </c>
      <c r="C348" s="713">
        <v>9286</v>
      </c>
      <c r="D348" s="713">
        <v>2</v>
      </c>
      <c r="E348" s="713" t="s">
        <v>794</v>
      </c>
      <c r="F348" s="630">
        <v>60762</v>
      </c>
      <c r="G348" s="630">
        <v>60568</v>
      </c>
      <c r="H348" s="630">
        <v>100</v>
      </c>
      <c r="I348" s="630">
        <v>23</v>
      </c>
      <c r="J348" s="630">
        <v>21</v>
      </c>
      <c r="K348" s="713" t="s">
        <v>916</v>
      </c>
    </row>
    <row r="349" spans="1:11" hidden="1">
      <c r="A349" s="630">
        <v>3</v>
      </c>
      <c r="B349" s="632" t="s">
        <v>917</v>
      </c>
      <c r="C349" s="713">
        <v>260</v>
      </c>
      <c r="D349" s="713">
        <v>3</v>
      </c>
      <c r="E349" s="713" t="s">
        <v>794</v>
      </c>
      <c r="F349" s="630">
        <v>4547895</v>
      </c>
      <c r="G349" s="630">
        <v>4521743</v>
      </c>
      <c r="H349" s="630">
        <v>99</v>
      </c>
      <c r="I349" s="630">
        <v>0</v>
      </c>
      <c r="J349" s="630">
        <v>21</v>
      </c>
      <c r="K349" s="713" t="s">
        <v>918</v>
      </c>
    </row>
    <row r="350" spans="1:11" hidden="1">
      <c r="A350" s="630">
        <v>4</v>
      </c>
      <c r="B350" s="632" t="s">
        <v>919</v>
      </c>
      <c r="C350" s="713">
        <v>261</v>
      </c>
      <c r="D350" s="713">
        <v>4</v>
      </c>
      <c r="E350" s="713" t="s">
        <v>794</v>
      </c>
      <c r="F350" s="630">
        <v>3469068</v>
      </c>
      <c r="G350" s="630">
        <v>3447899</v>
      </c>
      <c r="H350" s="630">
        <v>99</v>
      </c>
      <c r="I350" s="630">
        <v>0</v>
      </c>
      <c r="J350" s="630">
        <v>21</v>
      </c>
      <c r="K350" s="713" t="s">
        <v>920</v>
      </c>
    </row>
    <row r="351" spans="1:11" hidden="1">
      <c r="A351" s="630">
        <v>5</v>
      </c>
      <c r="B351" s="632" t="s">
        <v>921</v>
      </c>
      <c r="C351" s="713">
        <v>274</v>
      </c>
      <c r="D351" s="713">
        <v>5</v>
      </c>
      <c r="E351" s="713" t="s">
        <v>794</v>
      </c>
      <c r="F351" s="630">
        <v>228299</v>
      </c>
      <c r="G351" s="630">
        <v>227208</v>
      </c>
      <c r="H351" s="630">
        <v>100</v>
      </c>
      <c r="I351" s="630">
        <v>0</v>
      </c>
      <c r="J351" s="630">
        <v>21</v>
      </c>
      <c r="K351" s="713" t="s">
        <v>920</v>
      </c>
    </row>
    <row r="352" spans="1:11" hidden="1">
      <c r="A352" s="630">
        <v>6</v>
      </c>
      <c r="B352" s="632" t="s">
        <v>922</v>
      </c>
      <c r="C352" s="713">
        <v>309</v>
      </c>
      <c r="D352" s="713">
        <v>6</v>
      </c>
      <c r="E352" s="713" t="s">
        <v>794</v>
      </c>
      <c r="F352" s="630">
        <v>828389</v>
      </c>
      <c r="G352" s="630">
        <v>821569</v>
      </c>
      <c r="H352" s="630">
        <v>99</v>
      </c>
      <c r="I352" s="630">
        <v>0</v>
      </c>
      <c r="J352" s="630">
        <v>21</v>
      </c>
      <c r="K352" s="713" t="s">
        <v>918</v>
      </c>
    </row>
    <row r="353" spans="1:11" hidden="1">
      <c r="A353" s="630">
        <v>7</v>
      </c>
      <c r="B353" s="632" t="s">
        <v>923</v>
      </c>
      <c r="C353" s="713">
        <v>277</v>
      </c>
      <c r="D353" s="713">
        <v>7</v>
      </c>
      <c r="E353" s="713" t="s">
        <v>794</v>
      </c>
      <c r="F353" s="630">
        <v>453817</v>
      </c>
      <c r="G353" s="630">
        <v>449675</v>
      </c>
      <c r="H353" s="630">
        <v>99</v>
      </c>
      <c r="I353" s="630">
        <v>3</v>
      </c>
      <c r="J353" s="630">
        <v>21</v>
      </c>
      <c r="K353" s="713" t="s">
        <v>1167</v>
      </c>
    </row>
    <row r="354" spans="1:11" hidden="1">
      <c r="A354" s="630"/>
      <c r="B354" s="631" t="s">
        <v>708</v>
      </c>
      <c r="C354" s="713"/>
      <c r="D354" s="713"/>
      <c r="E354" s="713"/>
      <c r="F354" s="630"/>
      <c r="G354" s="630"/>
      <c r="H354" s="630"/>
      <c r="I354" s="630"/>
      <c r="J354" s="630"/>
      <c r="K354" s="713"/>
    </row>
    <row r="355" spans="1:11" hidden="1">
      <c r="A355" s="630">
        <v>1</v>
      </c>
      <c r="B355" s="632" t="s">
        <v>901</v>
      </c>
      <c r="C355" s="713" t="s">
        <v>902</v>
      </c>
      <c r="D355" s="713">
        <v>1</v>
      </c>
      <c r="E355" s="713" t="s">
        <v>790</v>
      </c>
      <c r="F355" s="630"/>
      <c r="G355" s="630"/>
      <c r="H355" s="630"/>
      <c r="I355" s="630"/>
      <c r="J355" s="630"/>
      <c r="K355" s="713"/>
    </row>
    <row r="356" spans="1:11" hidden="1">
      <c r="A356" s="630">
        <v>2</v>
      </c>
      <c r="B356" s="632" t="s">
        <v>924</v>
      </c>
      <c r="C356" s="713">
        <v>875</v>
      </c>
      <c r="D356" s="713">
        <v>2</v>
      </c>
      <c r="E356" s="713" t="s">
        <v>794</v>
      </c>
      <c r="F356" s="630">
        <v>165279</v>
      </c>
      <c r="G356" s="630">
        <v>160228</v>
      </c>
      <c r="H356" s="630">
        <v>97</v>
      </c>
      <c r="I356" s="630">
        <v>0</v>
      </c>
      <c r="J356" s="630">
        <v>16</v>
      </c>
      <c r="K356" s="713" t="s">
        <v>918</v>
      </c>
    </row>
    <row r="357" spans="1:11" hidden="1">
      <c r="A357" s="630">
        <v>3</v>
      </c>
      <c r="B357" s="632" t="s">
        <v>925</v>
      </c>
      <c r="C357" s="713">
        <v>854</v>
      </c>
      <c r="D357" s="713">
        <v>3</v>
      </c>
      <c r="E357" s="713" t="s">
        <v>794</v>
      </c>
      <c r="F357" s="630">
        <v>832106</v>
      </c>
      <c r="G357" s="630">
        <v>819265</v>
      </c>
      <c r="H357" s="630">
        <v>98</v>
      </c>
      <c r="I357" s="630">
        <v>0</v>
      </c>
      <c r="J357" s="630">
        <v>16</v>
      </c>
      <c r="K357" s="713" t="s">
        <v>918</v>
      </c>
    </row>
    <row r="358" spans="1:11" hidden="1">
      <c r="A358" s="630">
        <v>4</v>
      </c>
      <c r="B358" s="632" t="s">
        <v>926</v>
      </c>
      <c r="C358" s="713">
        <v>306</v>
      </c>
      <c r="D358" s="713">
        <v>4</v>
      </c>
      <c r="E358" s="713" t="s">
        <v>794</v>
      </c>
      <c r="F358" s="630">
        <v>2032491</v>
      </c>
      <c r="G358" s="630">
        <v>2021441</v>
      </c>
      <c r="H358" s="630">
        <v>99</v>
      </c>
      <c r="I358" s="630">
        <v>2</v>
      </c>
      <c r="J358" s="630">
        <v>16</v>
      </c>
      <c r="K358" s="713" t="s">
        <v>1167</v>
      </c>
    </row>
    <row r="359" spans="1:11" hidden="1">
      <c r="A359" s="630">
        <v>5</v>
      </c>
      <c r="B359" s="632" t="s">
        <v>927</v>
      </c>
      <c r="C359" s="713">
        <v>7100</v>
      </c>
      <c r="D359" s="713">
        <v>5</v>
      </c>
      <c r="E359" s="713" t="s">
        <v>794</v>
      </c>
      <c r="F359" s="630">
        <v>156959</v>
      </c>
      <c r="G359" s="630">
        <v>155712</v>
      </c>
      <c r="H359" s="630">
        <v>99</v>
      </c>
      <c r="I359" s="630">
        <v>0</v>
      </c>
      <c r="J359" s="630">
        <v>16</v>
      </c>
      <c r="K359" s="713" t="s">
        <v>920</v>
      </c>
    </row>
    <row r="360" spans="1:11" hidden="1">
      <c r="A360" s="630"/>
      <c r="B360" s="631" t="s">
        <v>928</v>
      </c>
      <c r="C360" s="713"/>
      <c r="D360" s="713"/>
      <c r="E360" s="713"/>
      <c r="F360" s="630"/>
      <c r="G360" s="630"/>
      <c r="H360" s="630"/>
      <c r="I360" s="630"/>
      <c r="J360" s="630"/>
      <c r="K360" s="713"/>
    </row>
    <row r="361" spans="1:11" hidden="1">
      <c r="A361" s="630">
        <v>1</v>
      </c>
      <c r="B361" s="632" t="s">
        <v>901</v>
      </c>
      <c r="C361" s="713" t="s">
        <v>902</v>
      </c>
      <c r="D361" s="713">
        <v>1</v>
      </c>
      <c r="E361" s="713" t="s">
        <v>790</v>
      </c>
      <c r="F361" s="630"/>
      <c r="G361" s="630"/>
      <c r="H361" s="630"/>
      <c r="I361" s="630"/>
      <c r="J361" s="630"/>
      <c r="K361" s="713"/>
    </row>
    <row r="362" spans="1:11" hidden="1">
      <c r="A362" s="630">
        <v>2</v>
      </c>
      <c r="B362" s="632" t="s">
        <v>1005</v>
      </c>
      <c r="C362" s="713">
        <v>858</v>
      </c>
      <c r="D362" s="713">
        <v>2</v>
      </c>
      <c r="E362" s="713" t="s">
        <v>794</v>
      </c>
      <c r="F362" s="630">
        <v>4982132</v>
      </c>
      <c r="G362" s="630">
        <v>4882819</v>
      </c>
      <c r="H362" s="630">
        <v>98</v>
      </c>
      <c r="I362" s="630">
        <v>1</v>
      </c>
      <c r="J362" s="630">
        <v>21</v>
      </c>
      <c r="K362" s="713" t="s">
        <v>918</v>
      </c>
    </row>
    <row r="363" spans="1:11" hidden="1">
      <c r="A363" s="630">
        <v>3</v>
      </c>
      <c r="B363" s="632" t="s">
        <v>1006</v>
      </c>
      <c r="C363" s="713">
        <v>284</v>
      </c>
      <c r="D363" s="713">
        <v>3</v>
      </c>
      <c r="E363" s="713" t="s">
        <v>794</v>
      </c>
      <c r="F363" s="630">
        <v>4182772</v>
      </c>
      <c r="G363" s="630">
        <v>4040930</v>
      </c>
      <c r="H363" s="630">
        <v>97</v>
      </c>
      <c r="I363" s="630">
        <v>0</v>
      </c>
      <c r="J363" s="630">
        <v>21</v>
      </c>
      <c r="K363" s="713" t="s">
        <v>918</v>
      </c>
    </row>
    <row r="364" spans="1:11" hidden="1">
      <c r="A364" s="630">
        <v>4</v>
      </c>
      <c r="B364" s="632" t="s">
        <v>1007</v>
      </c>
      <c r="C364" s="713">
        <v>958</v>
      </c>
      <c r="D364" s="713">
        <v>4</v>
      </c>
      <c r="E364" s="713" t="s">
        <v>794</v>
      </c>
      <c r="F364" s="630">
        <v>1173428</v>
      </c>
      <c r="G364" s="630">
        <v>1170326</v>
      </c>
      <c r="H364" s="630">
        <v>100</v>
      </c>
      <c r="I364" s="630">
        <v>3</v>
      </c>
      <c r="J364" s="630">
        <v>21</v>
      </c>
      <c r="K364" s="713" t="s">
        <v>1167</v>
      </c>
    </row>
    <row r="365" spans="1:11" hidden="1">
      <c r="A365" s="630">
        <v>5</v>
      </c>
      <c r="B365" s="632" t="s">
        <v>1008</v>
      </c>
      <c r="C365" s="713">
        <v>959</v>
      </c>
      <c r="D365" s="713">
        <v>5</v>
      </c>
      <c r="E365" s="713" t="s">
        <v>794</v>
      </c>
      <c r="F365" s="630">
        <v>1714951</v>
      </c>
      <c r="G365" s="630">
        <v>1703443</v>
      </c>
      <c r="H365" s="630">
        <v>99</v>
      </c>
      <c r="I365" s="630">
        <v>0</v>
      </c>
      <c r="J365" s="630">
        <v>21</v>
      </c>
      <c r="K365" s="713" t="s">
        <v>918</v>
      </c>
    </row>
    <row r="366" spans="1:11" hidden="1">
      <c r="A366" s="630"/>
      <c r="B366" s="631" t="s">
        <v>1009</v>
      </c>
      <c r="C366" s="713"/>
      <c r="D366" s="713"/>
      <c r="E366" s="713"/>
      <c r="F366" s="630"/>
      <c r="G366" s="630"/>
      <c r="H366" s="630"/>
      <c r="I366" s="630"/>
      <c r="J366" s="630"/>
      <c r="K366" s="713"/>
    </row>
    <row r="367" spans="1:11" hidden="1">
      <c r="A367" s="630">
        <v>1</v>
      </c>
      <c r="B367" s="632" t="s">
        <v>901</v>
      </c>
      <c r="C367" s="713" t="s">
        <v>902</v>
      </c>
      <c r="D367" s="713">
        <v>1</v>
      </c>
      <c r="E367" s="713" t="s">
        <v>790</v>
      </c>
      <c r="F367" s="630"/>
      <c r="G367" s="630"/>
      <c r="H367" s="630"/>
      <c r="I367" s="630"/>
      <c r="J367" s="630"/>
      <c r="K367" s="713"/>
    </row>
    <row r="368" spans="1:11" hidden="1">
      <c r="A368" s="630">
        <v>2</v>
      </c>
      <c r="B368" s="632" t="s">
        <v>1010</v>
      </c>
      <c r="C368" s="713">
        <v>880</v>
      </c>
      <c r="D368" s="713">
        <v>2</v>
      </c>
      <c r="E368" s="713" t="s">
        <v>243</v>
      </c>
      <c r="F368" s="630">
        <v>66346</v>
      </c>
      <c r="G368" s="630">
        <v>55862</v>
      </c>
      <c r="H368" s="630">
        <v>84</v>
      </c>
      <c r="I368" s="630">
        <v>71</v>
      </c>
      <c r="J368" s="630">
        <v>31</v>
      </c>
      <c r="K368" s="713" t="s">
        <v>100</v>
      </c>
    </row>
    <row r="369" spans="1:11" hidden="1">
      <c r="A369" s="630"/>
      <c r="B369" s="631" t="s">
        <v>1011</v>
      </c>
      <c r="C369" s="713"/>
      <c r="D369" s="713"/>
      <c r="E369" s="713"/>
      <c r="F369" s="630"/>
      <c r="G369" s="630"/>
      <c r="H369" s="630"/>
      <c r="I369" s="630"/>
      <c r="J369" s="630"/>
      <c r="K369" s="713"/>
    </row>
    <row r="370" spans="1:11" hidden="1">
      <c r="A370" s="630">
        <v>1</v>
      </c>
      <c r="B370" s="632" t="s">
        <v>901</v>
      </c>
      <c r="C370" s="713" t="s">
        <v>902</v>
      </c>
      <c r="D370" s="713">
        <v>1</v>
      </c>
      <c r="E370" s="713" t="s">
        <v>790</v>
      </c>
      <c r="F370" s="630"/>
      <c r="G370" s="630"/>
      <c r="H370" s="630"/>
      <c r="I370" s="630"/>
      <c r="J370" s="630"/>
      <c r="K370" s="713"/>
    </row>
    <row r="371" spans="1:11" hidden="1">
      <c r="A371" s="630">
        <v>2</v>
      </c>
      <c r="B371" s="632" t="s">
        <v>1012</v>
      </c>
      <c r="C371" s="713">
        <v>834</v>
      </c>
      <c r="D371" s="713">
        <v>2</v>
      </c>
      <c r="E371" s="713" t="s">
        <v>245</v>
      </c>
      <c r="F371" s="630">
        <v>1724249</v>
      </c>
      <c r="G371" s="630">
        <v>1307782</v>
      </c>
      <c r="H371" s="630">
        <v>76</v>
      </c>
      <c r="I371" s="630">
        <v>3</v>
      </c>
      <c r="J371" s="630">
        <v>19</v>
      </c>
      <c r="K371" s="713" t="s">
        <v>574</v>
      </c>
    </row>
    <row r="372" spans="1:11" hidden="1">
      <c r="A372" s="630">
        <v>3</v>
      </c>
      <c r="B372" s="632" t="s">
        <v>1013</v>
      </c>
      <c r="C372" s="713">
        <v>8041</v>
      </c>
      <c r="D372" s="713">
        <v>3</v>
      </c>
      <c r="E372" s="713" t="s">
        <v>243</v>
      </c>
      <c r="F372" s="630">
        <v>966895</v>
      </c>
      <c r="G372" s="630">
        <v>830306</v>
      </c>
      <c r="H372" s="630">
        <v>86</v>
      </c>
      <c r="I372" s="630">
        <v>6</v>
      </c>
      <c r="J372" s="630">
        <v>19</v>
      </c>
      <c r="K372" s="713" t="s">
        <v>574</v>
      </c>
    </row>
    <row r="373" spans="1:11" hidden="1">
      <c r="A373" s="630">
        <v>4</v>
      </c>
      <c r="B373" s="632" t="s">
        <v>1014</v>
      </c>
      <c r="C373" s="713">
        <v>941</v>
      </c>
      <c r="D373" s="713">
        <v>4</v>
      </c>
      <c r="E373" s="713" t="s">
        <v>243</v>
      </c>
      <c r="F373" s="630">
        <v>1202307</v>
      </c>
      <c r="G373" s="630">
        <v>1140985</v>
      </c>
      <c r="H373" s="630">
        <v>95</v>
      </c>
      <c r="I373" s="630">
        <v>1</v>
      </c>
      <c r="J373" s="630">
        <v>19</v>
      </c>
      <c r="K373" s="713" t="s">
        <v>1094</v>
      </c>
    </row>
    <row r="374" spans="1:11" hidden="1">
      <c r="A374" s="630">
        <v>5</v>
      </c>
      <c r="B374" s="632" t="s">
        <v>1015</v>
      </c>
      <c r="C374" s="713">
        <v>9258</v>
      </c>
      <c r="D374" s="713">
        <v>5</v>
      </c>
      <c r="E374" s="713" t="s">
        <v>245</v>
      </c>
      <c r="F374" s="630">
        <v>75991</v>
      </c>
      <c r="G374" s="630">
        <v>57753</v>
      </c>
      <c r="H374" s="630">
        <v>76</v>
      </c>
      <c r="I374" s="630">
        <v>9</v>
      </c>
      <c r="J374" s="630">
        <v>19</v>
      </c>
      <c r="K374" s="713" t="s">
        <v>574</v>
      </c>
    </row>
    <row r="375" spans="1:11" hidden="1">
      <c r="A375" s="630">
        <v>6</v>
      </c>
      <c r="B375" s="632" t="s">
        <v>1016</v>
      </c>
      <c r="C375" s="713">
        <v>8043</v>
      </c>
      <c r="D375" s="713">
        <v>6</v>
      </c>
      <c r="E375" s="713" t="s">
        <v>243</v>
      </c>
      <c r="F375" s="630">
        <v>97430</v>
      </c>
      <c r="G375" s="630">
        <v>96400</v>
      </c>
      <c r="H375" s="630">
        <v>99</v>
      </c>
      <c r="I375" s="630">
        <v>18</v>
      </c>
      <c r="J375" s="630">
        <v>19</v>
      </c>
      <c r="K375" s="713" t="s">
        <v>1111</v>
      </c>
    </row>
    <row r="376" spans="1:11" hidden="1">
      <c r="A376" s="630">
        <v>7</v>
      </c>
      <c r="B376" s="632" t="s">
        <v>1017</v>
      </c>
      <c r="C376" s="713">
        <v>922</v>
      </c>
      <c r="D376" s="713">
        <v>7</v>
      </c>
      <c r="E376" s="713" t="s">
        <v>245</v>
      </c>
      <c r="F376" s="630">
        <v>1010722</v>
      </c>
      <c r="G376" s="630">
        <v>735463</v>
      </c>
      <c r="H376" s="630">
        <v>73</v>
      </c>
      <c r="I376" s="630">
        <v>1</v>
      </c>
      <c r="J376" s="630">
        <v>19</v>
      </c>
      <c r="K376" s="713" t="s">
        <v>1094</v>
      </c>
    </row>
    <row r="377" spans="1:11" hidden="1">
      <c r="A377" s="630">
        <v>8</v>
      </c>
      <c r="B377" s="632" t="s">
        <v>933</v>
      </c>
      <c r="C377" s="713">
        <v>9271</v>
      </c>
      <c r="D377" s="713">
        <v>8</v>
      </c>
      <c r="E377" s="713" t="s">
        <v>247</v>
      </c>
      <c r="F377" s="630">
        <v>252870</v>
      </c>
      <c r="G377" s="630">
        <v>131540</v>
      </c>
      <c r="H377" s="630">
        <v>52</v>
      </c>
      <c r="I377" s="630">
        <v>0</v>
      </c>
      <c r="J377" s="630">
        <v>19</v>
      </c>
      <c r="K377" s="713" t="s">
        <v>1094</v>
      </c>
    </row>
    <row r="378" spans="1:11" hidden="1">
      <c r="A378" s="630">
        <v>9</v>
      </c>
      <c r="B378" s="632" t="s">
        <v>934</v>
      </c>
      <c r="C378" s="713">
        <v>917</v>
      </c>
      <c r="D378" s="713">
        <v>9</v>
      </c>
      <c r="E378" s="713" t="s">
        <v>245</v>
      </c>
      <c r="F378" s="630">
        <v>290082</v>
      </c>
      <c r="G378" s="630">
        <v>210130</v>
      </c>
      <c r="H378" s="630">
        <v>72</v>
      </c>
      <c r="I378" s="630">
        <v>6</v>
      </c>
      <c r="J378" s="630">
        <v>19</v>
      </c>
      <c r="K378" s="713" t="s">
        <v>574</v>
      </c>
    </row>
    <row r="379" spans="1:11" hidden="1">
      <c r="A379" s="630">
        <v>10</v>
      </c>
      <c r="B379" s="632" t="s">
        <v>935</v>
      </c>
      <c r="C379" s="713">
        <v>913</v>
      </c>
      <c r="D379" s="713">
        <v>10</v>
      </c>
      <c r="E379" s="713" t="s">
        <v>243</v>
      </c>
      <c r="F379" s="630">
        <v>444440</v>
      </c>
      <c r="G379" s="630">
        <v>369274</v>
      </c>
      <c r="H379" s="630">
        <v>83</v>
      </c>
      <c r="I379" s="630">
        <v>1</v>
      </c>
      <c r="J379" s="630">
        <v>19</v>
      </c>
      <c r="K379" s="713" t="s">
        <v>574</v>
      </c>
    </row>
    <row r="380" spans="1:11" hidden="1">
      <c r="A380" s="630">
        <v>11</v>
      </c>
      <c r="B380" s="632" t="s">
        <v>936</v>
      </c>
      <c r="C380" s="713">
        <v>942</v>
      </c>
      <c r="D380" s="713">
        <v>11</v>
      </c>
      <c r="E380" s="713" t="s">
        <v>243</v>
      </c>
      <c r="F380" s="630">
        <v>649646</v>
      </c>
      <c r="G380" s="630">
        <v>533890</v>
      </c>
      <c r="H380" s="630">
        <v>82</v>
      </c>
      <c r="I380" s="630">
        <v>6</v>
      </c>
      <c r="J380" s="630">
        <v>19</v>
      </c>
      <c r="K380" s="713" t="s">
        <v>574</v>
      </c>
    </row>
    <row r="381" spans="1:11" hidden="1">
      <c r="A381" s="630">
        <v>12</v>
      </c>
      <c r="B381" s="632" t="s">
        <v>177</v>
      </c>
      <c r="C381" s="713">
        <v>921</v>
      </c>
      <c r="D381" s="713">
        <v>12</v>
      </c>
      <c r="E381" s="713" t="s">
        <v>245</v>
      </c>
      <c r="F381" s="630">
        <v>252224</v>
      </c>
      <c r="G381" s="630">
        <v>187784</v>
      </c>
      <c r="H381" s="630">
        <v>74</v>
      </c>
      <c r="I381" s="630">
        <v>1</v>
      </c>
      <c r="J381" s="630">
        <v>19</v>
      </c>
      <c r="K381" s="713" t="s">
        <v>1094</v>
      </c>
    </row>
    <row r="382" spans="1:11" hidden="1">
      <c r="A382" s="630">
        <v>13</v>
      </c>
      <c r="B382" s="632" t="s">
        <v>178</v>
      </c>
      <c r="C382" s="713">
        <v>955</v>
      </c>
      <c r="D382" s="713">
        <v>13</v>
      </c>
      <c r="E382" s="713" t="s">
        <v>247</v>
      </c>
      <c r="F382" s="630">
        <v>879704</v>
      </c>
      <c r="G382" s="630">
        <v>445700</v>
      </c>
      <c r="H382" s="630">
        <v>51</v>
      </c>
      <c r="I382" s="630">
        <v>1</v>
      </c>
      <c r="J382" s="630">
        <v>19</v>
      </c>
      <c r="K382" s="713" t="s">
        <v>1094</v>
      </c>
    </row>
    <row r="383" spans="1:11" hidden="1">
      <c r="A383" s="630">
        <v>14</v>
      </c>
      <c r="B383" s="632" t="s">
        <v>179</v>
      </c>
      <c r="C383" s="713">
        <v>8044</v>
      </c>
      <c r="D383" s="713">
        <v>14</v>
      </c>
      <c r="E383" s="713" t="s">
        <v>243</v>
      </c>
      <c r="F383" s="630">
        <v>649418</v>
      </c>
      <c r="G383" s="630">
        <v>626001</v>
      </c>
      <c r="H383" s="630">
        <v>96</v>
      </c>
      <c r="I383" s="630">
        <v>6</v>
      </c>
      <c r="J383" s="630">
        <v>19</v>
      </c>
      <c r="K383" s="713" t="s">
        <v>574</v>
      </c>
    </row>
    <row r="384" spans="1:11" hidden="1">
      <c r="A384" s="630">
        <v>15</v>
      </c>
      <c r="B384" s="632" t="s">
        <v>180</v>
      </c>
      <c r="C384" s="713">
        <v>8040</v>
      </c>
      <c r="D384" s="713">
        <v>15</v>
      </c>
      <c r="E384" s="713" t="s">
        <v>243</v>
      </c>
      <c r="F384" s="630">
        <v>412895</v>
      </c>
      <c r="G384" s="630">
        <v>348232</v>
      </c>
      <c r="H384" s="630">
        <v>84</v>
      </c>
      <c r="I384" s="630">
        <v>3</v>
      </c>
      <c r="J384" s="630">
        <v>19</v>
      </c>
      <c r="K384" s="713" t="s">
        <v>574</v>
      </c>
    </row>
    <row r="385" spans="1:11" hidden="1">
      <c r="A385" s="630"/>
      <c r="B385" s="631" t="s">
        <v>181</v>
      </c>
      <c r="C385" s="713"/>
      <c r="D385" s="713"/>
      <c r="E385" s="713"/>
      <c r="F385" s="630"/>
      <c r="G385" s="630"/>
      <c r="H385" s="630"/>
      <c r="I385" s="630"/>
      <c r="J385" s="630"/>
      <c r="K385" s="713"/>
    </row>
    <row r="386" spans="1:11" hidden="1">
      <c r="A386" s="630">
        <v>1</v>
      </c>
      <c r="B386" s="632" t="s">
        <v>901</v>
      </c>
      <c r="C386" s="713" t="s">
        <v>902</v>
      </c>
      <c r="D386" s="713">
        <v>1</v>
      </c>
      <c r="E386" s="713" t="s">
        <v>790</v>
      </c>
      <c r="F386" s="630"/>
      <c r="G386" s="630"/>
      <c r="H386" s="630"/>
      <c r="I386" s="630"/>
      <c r="J386" s="630"/>
      <c r="K386" s="713"/>
    </row>
    <row r="387" spans="1:11" hidden="1">
      <c r="A387" s="630">
        <v>2</v>
      </c>
      <c r="B387" s="632" t="s">
        <v>182</v>
      </c>
      <c r="C387" s="713">
        <v>1653</v>
      </c>
      <c r="D387" s="713">
        <v>2</v>
      </c>
      <c r="E387" s="713" t="s">
        <v>243</v>
      </c>
      <c r="F387" s="630">
        <v>288230</v>
      </c>
      <c r="G387" s="630">
        <v>287767</v>
      </c>
      <c r="H387" s="630">
        <v>100</v>
      </c>
      <c r="I387" s="630">
        <v>61</v>
      </c>
      <c r="J387" s="630">
        <v>16</v>
      </c>
      <c r="K387" s="713" t="s">
        <v>100</v>
      </c>
    </row>
    <row r="388" spans="1:11" hidden="1">
      <c r="A388" s="630">
        <v>3</v>
      </c>
      <c r="B388" s="632" t="s">
        <v>183</v>
      </c>
      <c r="C388" s="713">
        <v>1669</v>
      </c>
      <c r="D388" s="713">
        <v>3</v>
      </c>
      <c r="E388" s="713" t="s">
        <v>243</v>
      </c>
      <c r="F388" s="630">
        <v>1542415</v>
      </c>
      <c r="G388" s="630">
        <v>1523007</v>
      </c>
      <c r="H388" s="630">
        <v>99</v>
      </c>
      <c r="I388" s="630">
        <v>0</v>
      </c>
      <c r="J388" s="630">
        <v>16</v>
      </c>
      <c r="K388" s="713" t="s">
        <v>705</v>
      </c>
    </row>
    <row r="389" spans="1:11" hidden="1">
      <c r="A389" s="630">
        <v>4</v>
      </c>
      <c r="B389" s="632" t="s">
        <v>184</v>
      </c>
      <c r="C389" s="713">
        <v>1654</v>
      </c>
      <c r="D389" s="713">
        <v>4</v>
      </c>
      <c r="E389" s="713" t="s">
        <v>243</v>
      </c>
      <c r="F389" s="630">
        <v>3597045</v>
      </c>
      <c r="G389" s="630">
        <v>3588604</v>
      </c>
      <c r="H389" s="630">
        <v>100</v>
      </c>
      <c r="I389" s="630">
        <v>15</v>
      </c>
      <c r="J389" s="630">
        <v>16</v>
      </c>
      <c r="K389" s="713" t="s">
        <v>1111</v>
      </c>
    </row>
    <row r="390" spans="1:11" hidden="1">
      <c r="A390" s="630">
        <v>5</v>
      </c>
      <c r="B390" s="632" t="s">
        <v>185</v>
      </c>
      <c r="C390" s="713">
        <v>1652</v>
      </c>
      <c r="D390" s="713">
        <v>5</v>
      </c>
      <c r="E390" s="713" t="s">
        <v>243</v>
      </c>
      <c r="F390" s="630">
        <v>222772</v>
      </c>
      <c r="G390" s="630">
        <v>222360</v>
      </c>
      <c r="H390" s="630">
        <v>100</v>
      </c>
      <c r="I390" s="630">
        <v>40</v>
      </c>
      <c r="J390" s="630">
        <v>16</v>
      </c>
      <c r="K390" s="713" t="s">
        <v>100</v>
      </c>
    </row>
    <row r="391" spans="1:11" hidden="1">
      <c r="A391" s="630">
        <v>6</v>
      </c>
      <c r="B391" s="632" t="s">
        <v>186</v>
      </c>
      <c r="C391" s="713">
        <v>1655</v>
      </c>
      <c r="D391" s="713">
        <v>6</v>
      </c>
      <c r="E391" s="713" t="s">
        <v>243</v>
      </c>
      <c r="F391" s="630">
        <v>788362</v>
      </c>
      <c r="G391" s="630">
        <v>785458</v>
      </c>
      <c r="H391" s="630">
        <v>100</v>
      </c>
      <c r="I391" s="630">
        <v>9</v>
      </c>
      <c r="J391" s="630">
        <v>16</v>
      </c>
      <c r="K391" s="713" t="s">
        <v>1111</v>
      </c>
    </row>
    <row r="392" spans="1:11" hidden="1">
      <c r="A392" s="630">
        <v>7</v>
      </c>
      <c r="B392" s="632" t="s">
        <v>187</v>
      </c>
      <c r="C392" s="713">
        <v>1661</v>
      </c>
      <c r="D392" s="713">
        <v>7</v>
      </c>
      <c r="E392" s="713" t="s">
        <v>243</v>
      </c>
      <c r="F392" s="630">
        <v>744327</v>
      </c>
      <c r="G392" s="630">
        <v>735104</v>
      </c>
      <c r="H392" s="630">
        <v>99</v>
      </c>
      <c r="I392" s="630">
        <v>0</v>
      </c>
      <c r="J392" s="630">
        <v>16</v>
      </c>
      <c r="K392" s="713" t="s">
        <v>705</v>
      </c>
    </row>
    <row r="393" spans="1:11" hidden="1">
      <c r="A393" s="630">
        <v>8</v>
      </c>
      <c r="B393" s="632" t="s">
        <v>188</v>
      </c>
      <c r="C393" s="713">
        <v>1649</v>
      </c>
      <c r="D393" s="713">
        <v>8</v>
      </c>
      <c r="E393" s="713" t="s">
        <v>243</v>
      </c>
      <c r="F393" s="630">
        <v>1951249</v>
      </c>
      <c r="G393" s="630">
        <v>1606867</v>
      </c>
      <c r="H393" s="630">
        <v>82</v>
      </c>
      <c r="I393" s="630">
        <v>2</v>
      </c>
      <c r="J393" s="630">
        <v>16</v>
      </c>
      <c r="K393" s="713" t="s">
        <v>574</v>
      </c>
    </row>
    <row r="394" spans="1:11" hidden="1">
      <c r="A394" s="630">
        <v>9</v>
      </c>
      <c r="B394" s="632" t="s">
        <v>944</v>
      </c>
      <c r="C394" s="713">
        <v>9248</v>
      </c>
      <c r="D394" s="713">
        <v>9</v>
      </c>
      <c r="E394" s="713" t="s">
        <v>243</v>
      </c>
      <c r="F394" s="630">
        <v>162089</v>
      </c>
      <c r="G394" s="630">
        <v>161873</v>
      </c>
      <c r="H394" s="630">
        <v>100</v>
      </c>
      <c r="I394" s="630">
        <v>0</v>
      </c>
      <c r="J394" s="630">
        <v>16</v>
      </c>
      <c r="K394" s="713" t="s">
        <v>705</v>
      </c>
    </row>
    <row r="395" spans="1:11" hidden="1">
      <c r="A395" s="630">
        <v>10</v>
      </c>
      <c r="B395" s="632" t="s">
        <v>945</v>
      </c>
      <c r="C395" s="713">
        <v>310</v>
      </c>
      <c r="D395" s="713">
        <v>10</v>
      </c>
      <c r="E395" s="713" t="s">
        <v>243</v>
      </c>
      <c r="F395" s="630">
        <v>436052</v>
      </c>
      <c r="G395" s="630">
        <v>431920</v>
      </c>
      <c r="H395" s="630">
        <v>99</v>
      </c>
      <c r="I395" s="630">
        <v>0</v>
      </c>
      <c r="J395" s="630">
        <v>16</v>
      </c>
      <c r="K395" s="713" t="s">
        <v>705</v>
      </c>
    </row>
    <row r="396" spans="1:11" hidden="1">
      <c r="A396" s="630">
        <v>11</v>
      </c>
      <c r="B396" s="632" t="s">
        <v>946</v>
      </c>
      <c r="C396" s="713">
        <v>1647</v>
      </c>
      <c r="D396" s="713">
        <v>11</v>
      </c>
      <c r="E396" s="713" t="s">
        <v>243</v>
      </c>
      <c r="F396" s="630">
        <v>579438</v>
      </c>
      <c r="G396" s="630">
        <v>568374</v>
      </c>
      <c r="H396" s="630">
        <v>98</v>
      </c>
      <c r="I396" s="630">
        <v>0</v>
      </c>
      <c r="J396" s="630">
        <v>16</v>
      </c>
      <c r="K396" s="713" t="s">
        <v>705</v>
      </c>
    </row>
    <row r="397" spans="1:11" hidden="1">
      <c r="A397" s="630">
        <v>12</v>
      </c>
      <c r="B397" s="632" t="s">
        <v>947</v>
      </c>
      <c r="C397" s="713">
        <v>1651</v>
      </c>
      <c r="D397" s="713">
        <v>12</v>
      </c>
      <c r="E397" s="713" t="s">
        <v>243</v>
      </c>
      <c r="F397" s="630">
        <v>393252</v>
      </c>
      <c r="G397" s="630">
        <v>386557</v>
      </c>
      <c r="H397" s="630">
        <v>98</v>
      </c>
      <c r="I397" s="630">
        <v>0</v>
      </c>
      <c r="J397" s="630">
        <v>16</v>
      </c>
      <c r="K397" s="713" t="s">
        <v>705</v>
      </c>
    </row>
    <row r="398" spans="1:11" hidden="1">
      <c r="A398" s="630">
        <v>13</v>
      </c>
      <c r="B398" s="632" t="s">
        <v>948</v>
      </c>
      <c r="C398" s="713">
        <v>731</v>
      </c>
      <c r="D398" s="713">
        <v>13</v>
      </c>
      <c r="E398" s="713" t="s">
        <v>245</v>
      </c>
      <c r="F398" s="630">
        <v>1438721</v>
      </c>
      <c r="G398" s="630">
        <v>1079939</v>
      </c>
      <c r="H398" s="630">
        <v>75</v>
      </c>
      <c r="I398" s="630">
        <v>0</v>
      </c>
      <c r="J398" s="630">
        <v>16</v>
      </c>
      <c r="K398" s="713" t="s">
        <v>705</v>
      </c>
    </row>
    <row r="399" spans="1:11" hidden="1">
      <c r="A399" s="630">
        <v>14</v>
      </c>
      <c r="B399" s="632" t="s">
        <v>949</v>
      </c>
      <c r="C399" s="713">
        <v>1662</v>
      </c>
      <c r="D399" s="713">
        <v>14</v>
      </c>
      <c r="E399" s="713" t="s">
        <v>243</v>
      </c>
      <c r="F399" s="630">
        <v>2274904</v>
      </c>
      <c r="G399" s="630">
        <v>2245013</v>
      </c>
      <c r="H399" s="630">
        <v>99</v>
      </c>
      <c r="I399" s="630">
        <v>1</v>
      </c>
      <c r="J399" s="630">
        <v>16</v>
      </c>
      <c r="K399" s="713" t="s">
        <v>574</v>
      </c>
    </row>
    <row r="400" spans="1:11" hidden="1">
      <c r="A400" s="630">
        <v>15</v>
      </c>
      <c r="B400" s="632" t="s">
        <v>950</v>
      </c>
      <c r="C400" s="713">
        <v>1656</v>
      </c>
      <c r="D400" s="713">
        <v>15</v>
      </c>
      <c r="E400" s="713" t="s">
        <v>243</v>
      </c>
      <c r="F400" s="630">
        <v>80128</v>
      </c>
      <c r="G400" s="630">
        <v>79900</v>
      </c>
      <c r="H400" s="630">
        <v>100</v>
      </c>
      <c r="I400" s="630">
        <v>0</v>
      </c>
      <c r="J400" s="630">
        <v>16</v>
      </c>
      <c r="K400" s="713" t="s">
        <v>705</v>
      </c>
    </row>
    <row r="401" spans="1:11" hidden="1">
      <c r="A401" s="630">
        <v>16</v>
      </c>
      <c r="B401" s="632" t="s">
        <v>951</v>
      </c>
      <c r="C401" s="713">
        <v>1657</v>
      </c>
      <c r="D401" s="713">
        <v>16</v>
      </c>
      <c r="E401" s="713" t="s">
        <v>243</v>
      </c>
      <c r="F401" s="630">
        <v>74714</v>
      </c>
      <c r="G401" s="630">
        <v>74642</v>
      </c>
      <c r="H401" s="630">
        <v>100</v>
      </c>
      <c r="I401" s="630">
        <v>100</v>
      </c>
      <c r="J401" s="630">
        <v>16</v>
      </c>
      <c r="K401" s="713" t="s">
        <v>100</v>
      </c>
    </row>
    <row r="402" spans="1:11" hidden="1">
      <c r="A402" s="630">
        <v>17</v>
      </c>
      <c r="B402" s="632" t="s">
        <v>952</v>
      </c>
      <c r="C402" s="713">
        <v>1659</v>
      </c>
      <c r="D402" s="713">
        <v>17</v>
      </c>
      <c r="E402" s="713" t="s">
        <v>243</v>
      </c>
      <c r="F402" s="630">
        <v>849661</v>
      </c>
      <c r="G402" s="630">
        <v>842203</v>
      </c>
      <c r="H402" s="630">
        <v>99</v>
      </c>
      <c r="I402" s="630">
        <v>0</v>
      </c>
      <c r="J402" s="630">
        <v>16</v>
      </c>
      <c r="K402" s="713" t="s">
        <v>1094</v>
      </c>
    </row>
    <row r="403" spans="1:11" hidden="1">
      <c r="A403" s="630">
        <v>18</v>
      </c>
      <c r="B403" s="632" t="s">
        <v>953</v>
      </c>
      <c r="C403" s="713">
        <v>1665</v>
      </c>
      <c r="D403" s="713">
        <v>18</v>
      </c>
      <c r="E403" s="713" t="s">
        <v>243</v>
      </c>
      <c r="F403" s="630">
        <v>92790</v>
      </c>
      <c r="G403" s="630">
        <v>91941</v>
      </c>
      <c r="H403" s="630">
        <v>99</v>
      </c>
      <c r="I403" s="630">
        <v>0</v>
      </c>
      <c r="J403" s="630">
        <v>16</v>
      </c>
      <c r="K403" s="713" t="s">
        <v>705</v>
      </c>
    </row>
    <row r="404" spans="1:11" hidden="1">
      <c r="A404" s="630">
        <v>19</v>
      </c>
      <c r="B404" s="632" t="s">
        <v>954</v>
      </c>
      <c r="C404" s="713">
        <v>9284</v>
      </c>
      <c r="D404" s="713">
        <v>19</v>
      </c>
      <c r="E404" s="713" t="s">
        <v>243</v>
      </c>
      <c r="F404" s="630">
        <v>503275</v>
      </c>
      <c r="G404" s="630">
        <v>438746</v>
      </c>
      <c r="H404" s="630">
        <v>87</v>
      </c>
      <c r="I404" s="630">
        <v>0</v>
      </c>
      <c r="J404" s="630">
        <v>16</v>
      </c>
      <c r="K404" s="713" t="s">
        <v>1094</v>
      </c>
    </row>
    <row r="405" spans="1:11" hidden="1">
      <c r="A405" s="630">
        <v>20</v>
      </c>
      <c r="B405" s="632" t="s">
        <v>886</v>
      </c>
      <c r="C405" s="713">
        <v>8038</v>
      </c>
      <c r="D405" s="713">
        <v>20</v>
      </c>
      <c r="E405" s="713" t="s">
        <v>247</v>
      </c>
      <c r="F405" s="630">
        <v>202725</v>
      </c>
      <c r="G405" s="630">
        <v>117693</v>
      </c>
      <c r="H405" s="630">
        <v>58</v>
      </c>
      <c r="I405" s="630">
        <v>0</v>
      </c>
      <c r="J405" s="630">
        <v>16</v>
      </c>
      <c r="K405" s="713" t="s">
        <v>705</v>
      </c>
    </row>
    <row r="406" spans="1:11" hidden="1">
      <c r="A406" s="630">
        <v>21</v>
      </c>
      <c r="B406" s="632" t="s">
        <v>887</v>
      </c>
      <c r="C406" s="713">
        <v>657</v>
      </c>
      <c r="D406" s="713">
        <v>21</v>
      </c>
      <c r="E406" s="713" t="s">
        <v>245</v>
      </c>
      <c r="F406" s="630">
        <v>321865</v>
      </c>
      <c r="G406" s="630">
        <v>253543</v>
      </c>
      <c r="H406" s="630">
        <v>79</v>
      </c>
      <c r="I406" s="630">
        <v>0</v>
      </c>
      <c r="J406" s="630">
        <v>16</v>
      </c>
      <c r="K406" s="713" t="s">
        <v>705</v>
      </c>
    </row>
    <row r="407" spans="1:11" hidden="1">
      <c r="A407" s="630">
        <v>22</v>
      </c>
      <c r="B407" s="632" t="s">
        <v>888</v>
      </c>
      <c r="C407" s="713">
        <v>9285</v>
      </c>
      <c r="D407" s="713">
        <v>22</v>
      </c>
      <c r="E407" s="713" t="s">
        <v>243</v>
      </c>
      <c r="F407" s="630">
        <v>145136</v>
      </c>
      <c r="G407" s="630">
        <v>142968</v>
      </c>
      <c r="H407" s="630">
        <v>99</v>
      </c>
      <c r="I407" s="630">
        <v>2</v>
      </c>
      <c r="J407" s="630">
        <v>16</v>
      </c>
      <c r="K407" s="713" t="s">
        <v>574</v>
      </c>
    </row>
    <row r="408" spans="1:11" hidden="1">
      <c r="A408" s="630"/>
      <c r="B408" s="631" t="s">
        <v>889</v>
      </c>
      <c r="C408" s="713"/>
      <c r="D408" s="713"/>
      <c r="E408" s="713"/>
      <c r="F408" s="630"/>
      <c r="G408" s="630"/>
      <c r="H408" s="630"/>
      <c r="I408" s="630"/>
      <c r="J408" s="630"/>
      <c r="K408" s="713"/>
    </row>
    <row r="409" spans="1:11" hidden="1">
      <c r="A409" s="630">
        <v>1</v>
      </c>
      <c r="B409" s="632" t="s">
        <v>901</v>
      </c>
      <c r="C409" s="713" t="s">
        <v>902</v>
      </c>
      <c r="D409" s="713">
        <v>1</v>
      </c>
      <c r="E409" s="713" t="s">
        <v>790</v>
      </c>
      <c r="F409" s="630"/>
      <c r="G409" s="630"/>
      <c r="H409" s="630"/>
      <c r="I409" s="630"/>
      <c r="J409" s="630"/>
      <c r="K409" s="713"/>
    </row>
    <row r="410" spans="1:11" hidden="1">
      <c r="A410" s="630">
        <v>2</v>
      </c>
      <c r="B410" s="632" t="s">
        <v>890</v>
      </c>
      <c r="C410" s="713">
        <v>940</v>
      </c>
      <c r="D410" s="713">
        <v>2</v>
      </c>
      <c r="E410" s="713" t="s">
        <v>243</v>
      </c>
      <c r="F410" s="630">
        <v>357068</v>
      </c>
      <c r="G410" s="630">
        <v>297984</v>
      </c>
      <c r="H410" s="630">
        <v>83</v>
      </c>
      <c r="I410" s="630">
        <v>60</v>
      </c>
      <c r="J410" s="630">
        <v>19</v>
      </c>
      <c r="K410" s="713" t="s">
        <v>100</v>
      </c>
    </row>
    <row r="411" spans="1:11" hidden="1">
      <c r="A411" s="630">
        <v>3</v>
      </c>
      <c r="B411" s="632" t="s">
        <v>1152</v>
      </c>
      <c r="C411" s="713">
        <v>9275</v>
      </c>
      <c r="D411" s="713">
        <v>3</v>
      </c>
      <c r="E411" s="713" t="s">
        <v>243</v>
      </c>
      <c r="F411" s="630">
        <v>27559</v>
      </c>
      <c r="G411" s="630">
        <v>27461</v>
      </c>
      <c r="H411" s="630">
        <v>100</v>
      </c>
      <c r="I411" s="630">
        <v>95</v>
      </c>
      <c r="J411" s="630">
        <v>19</v>
      </c>
      <c r="K411" s="713" t="s">
        <v>100</v>
      </c>
    </row>
    <row r="412" spans="1:11" hidden="1">
      <c r="A412" s="630">
        <v>4</v>
      </c>
      <c r="B412" s="632" t="s">
        <v>682</v>
      </c>
      <c r="C412" s="713">
        <v>816</v>
      </c>
      <c r="D412" s="713">
        <v>4</v>
      </c>
      <c r="E412" s="713" t="s">
        <v>245</v>
      </c>
      <c r="F412" s="630">
        <v>272205</v>
      </c>
      <c r="G412" s="630">
        <v>180868</v>
      </c>
      <c r="H412" s="630">
        <v>66</v>
      </c>
      <c r="I412" s="630">
        <v>17</v>
      </c>
      <c r="J412" s="630">
        <v>19</v>
      </c>
      <c r="K412" s="713" t="s">
        <v>1111</v>
      </c>
    </row>
    <row r="413" spans="1:11" hidden="1">
      <c r="A413" s="630">
        <v>5</v>
      </c>
      <c r="B413" s="632" t="s">
        <v>1046</v>
      </c>
      <c r="C413" s="713">
        <v>867</v>
      </c>
      <c r="D413" s="713">
        <v>5</v>
      </c>
      <c r="E413" s="713" t="s">
        <v>243</v>
      </c>
      <c r="F413" s="630">
        <v>107055</v>
      </c>
      <c r="G413" s="630">
        <v>106619</v>
      </c>
      <c r="H413" s="630">
        <v>100</v>
      </c>
      <c r="I413" s="630">
        <v>92</v>
      </c>
      <c r="J413" s="630">
        <v>19</v>
      </c>
      <c r="K413" s="713" t="s">
        <v>100</v>
      </c>
    </row>
    <row r="414" spans="1:11" hidden="1">
      <c r="A414" s="630">
        <v>6</v>
      </c>
      <c r="B414" s="632" t="s">
        <v>1047</v>
      </c>
      <c r="C414" s="713">
        <v>695</v>
      </c>
      <c r="D414" s="713">
        <v>6</v>
      </c>
      <c r="E414" s="713" t="s">
        <v>245</v>
      </c>
      <c r="F414" s="630">
        <v>1983918</v>
      </c>
      <c r="G414" s="630">
        <v>1570844</v>
      </c>
      <c r="H414" s="630">
        <v>79</v>
      </c>
      <c r="I414" s="630">
        <v>17</v>
      </c>
      <c r="J414" s="630">
        <v>19</v>
      </c>
      <c r="K414" s="713" t="s">
        <v>1111</v>
      </c>
    </row>
    <row r="415" spans="1:11" hidden="1">
      <c r="A415" s="630">
        <v>7</v>
      </c>
      <c r="B415" s="632" t="s">
        <v>1048</v>
      </c>
      <c r="C415" s="713">
        <v>9277</v>
      </c>
      <c r="D415" s="713">
        <v>7</v>
      </c>
      <c r="E415" s="713" t="s">
        <v>243</v>
      </c>
      <c r="F415" s="630">
        <v>32350</v>
      </c>
      <c r="G415" s="630">
        <v>27652</v>
      </c>
      <c r="H415" s="630">
        <v>85</v>
      </c>
      <c r="I415" s="630">
        <v>0</v>
      </c>
      <c r="J415" s="630">
        <v>19</v>
      </c>
      <c r="K415" s="713" t="s">
        <v>705</v>
      </c>
    </row>
    <row r="416" spans="1:11" hidden="1">
      <c r="A416" s="630">
        <v>8</v>
      </c>
      <c r="B416" s="632" t="s">
        <v>1049</v>
      </c>
      <c r="C416" s="713">
        <v>900</v>
      </c>
      <c r="D416" s="713">
        <v>8</v>
      </c>
      <c r="E416" s="713" t="s">
        <v>247</v>
      </c>
      <c r="F416" s="630">
        <v>353814</v>
      </c>
      <c r="G416" s="630">
        <v>178073</v>
      </c>
      <c r="H416" s="630">
        <v>50</v>
      </c>
      <c r="I416" s="630">
        <v>1</v>
      </c>
      <c r="J416" s="630">
        <v>19</v>
      </c>
      <c r="K416" s="713" t="s">
        <v>574</v>
      </c>
    </row>
    <row r="417" spans="1:11" hidden="1">
      <c r="A417" s="630">
        <v>9</v>
      </c>
      <c r="B417" s="632" t="s">
        <v>1050</v>
      </c>
      <c r="C417" s="713">
        <v>9259</v>
      </c>
      <c r="D417" s="713">
        <v>9</v>
      </c>
      <c r="E417" s="713" t="s">
        <v>243</v>
      </c>
      <c r="F417" s="630">
        <v>278287</v>
      </c>
      <c r="G417" s="630">
        <v>275947</v>
      </c>
      <c r="H417" s="630">
        <v>99</v>
      </c>
      <c r="I417" s="630">
        <v>17</v>
      </c>
      <c r="J417" s="630">
        <v>19</v>
      </c>
      <c r="K417" s="713" t="s">
        <v>1111</v>
      </c>
    </row>
    <row r="418" spans="1:11" hidden="1">
      <c r="A418" s="630">
        <v>10</v>
      </c>
      <c r="B418" s="632" t="s">
        <v>1051</v>
      </c>
      <c r="C418" s="713">
        <v>9260</v>
      </c>
      <c r="D418" s="713">
        <v>10</v>
      </c>
      <c r="E418" s="713" t="s">
        <v>245</v>
      </c>
      <c r="F418" s="630">
        <v>315419</v>
      </c>
      <c r="G418" s="630">
        <v>252367</v>
      </c>
      <c r="H418" s="630">
        <v>80</v>
      </c>
      <c r="I418" s="630">
        <v>32</v>
      </c>
      <c r="J418" s="630">
        <v>19</v>
      </c>
      <c r="K418" s="713" t="s">
        <v>100</v>
      </c>
    </row>
    <row r="419" spans="1:11" hidden="1">
      <c r="A419" s="630">
        <v>11</v>
      </c>
      <c r="B419" s="632" t="s">
        <v>1052</v>
      </c>
      <c r="C419" s="713">
        <v>9252</v>
      </c>
      <c r="D419" s="713">
        <v>11</v>
      </c>
      <c r="E419" s="713" t="s">
        <v>243</v>
      </c>
      <c r="F419" s="630">
        <v>33885</v>
      </c>
      <c r="G419" s="630">
        <v>31585</v>
      </c>
      <c r="H419" s="630">
        <v>93</v>
      </c>
      <c r="I419" s="630">
        <v>40</v>
      </c>
      <c r="J419" s="630">
        <v>19</v>
      </c>
      <c r="K419" s="713" t="s">
        <v>100</v>
      </c>
    </row>
    <row r="420" spans="1:11" hidden="1">
      <c r="A420" s="630">
        <v>12</v>
      </c>
      <c r="B420" s="632" t="s">
        <v>1053</v>
      </c>
      <c r="C420" s="713">
        <v>877</v>
      </c>
      <c r="D420" s="713">
        <v>12</v>
      </c>
      <c r="E420" s="713" t="s">
        <v>245</v>
      </c>
      <c r="F420" s="630">
        <v>207537</v>
      </c>
      <c r="G420" s="630">
        <v>151513</v>
      </c>
      <c r="H420" s="630">
        <v>73</v>
      </c>
      <c r="I420" s="630">
        <v>30</v>
      </c>
      <c r="J420" s="630">
        <v>19</v>
      </c>
      <c r="K420" s="713" t="s">
        <v>100</v>
      </c>
    </row>
    <row r="421" spans="1:11" hidden="1">
      <c r="A421" s="630">
        <v>13</v>
      </c>
      <c r="B421" s="632" t="s">
        <v>1054</v>
      </c>
      <c r="C421" s="713">
        <v>923</v>
      </c>
      <c r="D421" s="713">
        <v>13</v>
      </c>
      <c r="E421" s="713" t="s">
        <v>243</v>
      </c>
      <c r="F421" s="630">
        <v>280478</v>
      </c>
      <c r="G421" s="630">
        <v>279334</v>
      </c>
      <c r="H421" s="630">
        <v>100</v>
      </c>
      <c r="I421" s="630">
        <v>95</v>
      </c>
      <c r="J421" s="630">
        <v>19</v>
      </c>
      <c r="K421" s="713" t="s">
        <v>100</v>
      </c>
    </row>
    <row r="422" spans="1:11" hidden="1">
      <c r="A422" s="630">
        <v>14</v>
      </c>
      <c r="B422" s="632" t="s">
        <v>1055</v>
      </c>
      <c r="C422" s="713">
        <v>962</v>
      </c>
      <c r="D422" s="713">
        <v>14</v>
      </c>
      <c r="E422" s="713" t="s">
        <v>243</v>
      </c>
      <c r="F422" s="630">
        <v>879899</v>
      </c>
      <c r="G422" s="630">
        <v>857420</v>
      </c>
      <c r="H422" s="630">
        <v>97</v>
      </c>
      <c r="I422" s="630">
        <v>2</v>
      </c>
      <c r="J422" s="630">
        <v>19</v>
      </c>
      <c r="K422" s="713" t="s">
        <v>574</v>
      </c>
    </row>
    <row r="423" spans="1:11" hidden="1">
      <c r="A423" s="630">
        <v>15</v>
      </c>
      <c r="B423" s="632" t="s">
        <v>1056</v>
      </c>
      <c r="C423" s="713">
        <v>926</v>
      </c>
      <c r="D423" s="713">
        <v>15</v>
      </c>
      <c r="E423" s="713" t="s">
        <v>245</v>
      </c>
      <c r="F423" s="630">
        <v>617462</v>
      </c>
      <c r="G423" s="630">
        <v>484502</v>
      </c>
      <c r="H423" s="630">
        <v>78</v>
      </c>
      <c r="I423" s="630">
        <v>4</v>
      </c>
      <c r="J423" s="630">
        <v>19</v>
      </c>
      <c r="K423" s="713" t="s">
        <v>574</v>
      </c>
    </row>
    <row r="424" spans="1:11" hidden="1">
      <c r="A424" s="630">
        <v>16</v>
      </c>
      <c r="B424" s="632" t="s">
        <v>1057</v>
      </c>
      <c r="C424" s="713">
        <v>9263</v>
      </c>
      <c r="D424" s="713">
        <v>16</v>
      </c>
      <c r="E424" s="713" t="s">
        <v>243</v>
      </c>
      <c r="F424" s="630">
        <v>16978</v>
      </c>
      <c r="G424" s="630">
        <v>16915</v>
      </c>
      <c r="H424" s="630">
        <v>100</v>
      </c>
      <c r="I424" s="630">
        <v>92</v>
      </c>
      <c r="J424" s="630">
        <v>19</v>
      </c>
      <c r="K424" s="713" t="s">
        <v>100</v>
      </c>
    </row>
    <row r="425" spans="1:11" hidden="1">
      <c r="A425" s="630">
        <v>17</v>
      </c>
      <c r="B425" s="632" t="s">
        <v>1058</v>
      </c>
      <c r="C425" s="713">
        <v>9262</v>
      </c>
      <c r="D425" s="713">
        <v>17</v>
      </c>
      <c r="E425" s="713" t="s">
        <v>243</v>
      </c>
      <c r="F425" s="630">
        <v>139646</v>
      </c>
      <c r="G425" s="630">
        <v>128956</v>
      </c>
      <c r="H425" s="630">
        <v>92</v>
      </c>
      <c r="I425" s="630">
        <v>27</v>
      </c>
      <c r="J425" s="630">
        <v>19</v>
      </c>
      <c r="K425" s="713" t="s">
        <v>100</v>
      </c>
    </row>
    <row r="426" spans="1:11" hidden="1">
      <c r="A426" s="630">
        <v>18</v>
      </c>
      <c r="B426" s="632" t="s">
        <v>1059</v>
      </c>
      <c r="C426" s="713">
        <v>915</v>
      </c>
      <c r="D426" s="713">
        <v>18</v>
      </c>
      <c r="E426" s="713" t="s">
        <v>243</v>
      </c>
      <c r="F426" s="630">
        <v>94291</v>
      </c>
      <c r="G426" s="630">
        <v>78944</v>
      </c>
      <c r="H426" s="630">
        <v>84</v>
      </c>
      <c r="I426" s="630">
        <v>37</v>
      </c>
      <c r="J426" s="630">
        <v>19</v>
      </c>
      <c r="K426" s="713" t="s">
        <v>100</v>
      </c>
    </row>
    <row r="427" spans="1:11" hidden="1">
      <c r="A427" s="630">
        <v>19</v>
      </c>
      <c r="B427" s="632" t="s">
        <v>1060</v>
      </c>
      <c r="C427" s="713">
        <v>925</v>
      </c>
      <c r="D427" s="713">
        <v>19</v>
      </c>
      <c r="E427" s="713" t="s">
        <v>245</v>
      </c>
      <c r="F427" s="630">
        <v>430665</v>
      </c>
      <c r="G427" s="630">
        <v>340059</v>
      </c>
      <c r="H427" s="630">
        <v>79</v>
      </c>
      <c r="I427" s="630">
        <v>5</v>
      </c>
      <c r="J427" s="630">
        <v>19</v>
      </c>
      <c r="K427" s="713" t="s">
        <v>574</v>
      </c>
    </row>
    <row r="428" spans="1:11" hidden="1">
      <c r="A428" s="630">
        <v>20</v>
      </c>
      <c r="B428" s="632" t="s">
        <v>427</v>
      </c>
      <c r="C428" s="713">
        <v>326</v>
      </c>
      <c r="D428" s="713">
        <v>20</v>
      </c>
      <c r="E428" s="713" t="s">
        <v>243</v>
      </c>
      <c r="F428" s="630">
        <v>118943</v>
      </c>
      <c r="G428" s="630">
        <v>109380</v>
      </c>
      <c r="H428" s="630">
        <v>92</v>
      </c>
      <c r="I428" s="630">
        <v>16</v>
      </c>
      <c r="J428" s="630">
        <v>19</v>
      </c>
      <c r="K428" s="713" t="s">
        <v>1111</v>
      </c>
    </row>
    <row r="429" spans="1:11" hidden="1">
      <c r="A429" s="630">
        <v>21</v>
      </c>
      <c r="B429" s="632" t="s">
        <v>957</v>
      </c>
      <c r="C429" s="713">
        <v>9261</v>
      </c>
      <c r="D429" s="713">
        <v>21</v>
      </c>
      <c r="E429" s="713" t="s">
        <v>243</v>
      </c>
      <c r="F429" s="630">
        <v>614593</v>
      </c>
      <c r="G429" s="630">
        <v>552011</v>
      </c>
      <c r="H429" s="630">
        <v>90</v>
      </c>
      <c r="I429" s="630">
        <v>61</v>
      </c>
      <c r="J429" s="630">
        <v>19</v>
      </c>
      <c r="K429" s="713" t="s">
        <v>100</v>
      </c>
    </row>
    <row r="430" spans="1:11" hidden="1">
      <c r="A430" s="630">
        <v>22</v>
      </c>
      <c r="B430" s="632" t="s">
        <v>958</v>
      </c>
      <c r="C430" s="713">
        <v>904</v>
      </c>
      <c r="D430" s="713">
        <v>22</v>
      </c>
      <c r="E430" s="713" t="s">
        <v>247</v>
      </c>
      <c r="F430" s="630">
        <v>342613</v>
      </c>
      <c r="G430" s="630">
        <v>203384</v>
      </c>
      <c r="H430" s="630">
        <v>59</v>
      </c>
      <c r="I430" s="630">
        <v>1</v>
      </c>
      <c r="J430" s="630">
        <v>19</v>
      </c>
      <c r="K430" s="713" t="s">
        <v>574</v>
      </c>
    </row>
    <row r="431" spans="1:11" hidden="1">
      <c r="A431" s="630">
        <v>23</v>
      </c>
      <c r="B431" s="632" t="s">
        <v>959</v>
      </c>
      <c r="C431" s="713">
        <v>223</v>
      </c>
      <c r="D431" s="713">
        <v>23</v>
      </c>
      <c r="E431" s="713" t="s">
        <v>243</v>
      </c>
      <c r="F431" s="630">
        <v>14938</v>
      </c>
      <c r="G431" s="630">
        <v>14639</v>
      </c>
      <c r="H431" s="630">
        <v>98</v>
      </c>
      <c r="I431" s="630">
        <v>17</v>
      </c>
      <c r="J431" s="630">
        <v>19</v>
      </c>
      <c r="K431" s="713" t="s">
        <v>1111</v>
      </c>
    </row>
    <row r="432" spans="1:11" hidden="1">
      <c r="A432" s="630">
        <v>24</v>
      </c>
      <c r="B432" s="632" t="s">
        <v>1029</v>
      </c>
      <c r="C432" s="713">
        <v>9254</v>
      </c>
      <c r="D432" s="713">
        <v>24</v>
      </c>
      <c r="E432" s="713" t="s">
        <v>245</v>
      </c>
      <c r="F432" s="630">
        <v>125105</v>
      </c>
      <c r="G432" s="630">
        <v>81635</v>
      </c>
      <c r="H432" s="630">
        <v>65</v>
      </c>
      <c r="I432" s="630">
        <v>10</v>
      </c>
      <c r="J432" s="630">
        <v>19</v>
      </c>
      <c r="K432" s="713" t="s">
        <v>1111</v>
      </c>
    </row>
    <row r="433" spans="1:11" hidden="1">
      <c r="A433" s="630">
        <v>25</v>
      </c>
      <c r="B433" s="632" t="s">
        <v>1030</v>
      </c>
      <c r="C433" s="713">
        <v>9278</v>
      </c>
      <c r="D433" s="713">
        <v>25</v>
      </c>
      <c r="E433" s="713" t="s">
        <v>247</v>
      </c>
      <c r="F433" s="630">
        <v>69362</v>
      </c>
      <c r="G433" s="630">
        <v>29181</v>
      </c>
      <c r="H433" s="630">
        <v>42</v>
      </c>
      <c r="I433" s="630">
        <v>0</v>
      </c>
      <c r="J433" s="630">
        <v>19</v>
      </c>
      <c r="K433" s="713" t="s">
        <v>705</v>
      </c>
    </row>
    <row r="434" spans="1:11" hidden="1">
      <c r="A434" s="630">
        <v>26</v>
      </c>
      <c r="B434" s="632" t="s">
        <v>1031</v>
      </c>
      <c r="C434" s="713">
        <v>8049</v>
      </c>
      <c r="D434" s="713">
        <v>26</v>
      </c>
      <c r="E434" s="713" t="s">
        <v>796</v>
      </c>
      <c r="F434" s="630">
        <v>881795</v>
      </c>
      <c r="G434" s="630">
        <v>653957</v>
      </c>
      <c r="H434" s="630">
        <v>74</v>
      </c>
      <c r="I434" s="630">
        <v>9</v>
      </c>
      <c r="J434" s="630">
        <v>19</v>
      </c>
      <c r="K434" s="713" t="s">
        <v>1167</v>
      </c>
    </row>
    <row r="435" spans="1:11" hidden="1">
      <c r="A435" s="630"/>
      <c r="B435" s="631" t="s">
        <v>756</v>
      </c>
      <c r="C435" s="713"/>
      <c r="D435" s="713"/>
      <c r="E435" s="713"/>
      <c r="F435" s="630"/>
      <c r="G435" s="630"/>
      <c r="H435" s="630"/>
      <c r="I435" s="630"/>
      <c r="J435" s="630"/>
      <c r="K435" s="713"/>
    </row>
    <row r="436" spans="1:11" hidden="1">
      <c r="A436" s="630">
        <v>1</v>
      </c>
      <c r="B436" s="632" t="s">
        <v>901</v>
      </c>
      <c r="C436" s="713" t="s">
        <v>902</v>
      </c>
      <c r="D436" s="713">
        <v>1</v>
      </c>
      <c r="E436" s="713" t="s">
        <v>790</v>
      </c>
      <c r="F436" s="630"/>
      <c r="G436" s="630"/>
      <c r="H436" s="630"/>
      <c r="I436" s="630"/>
      <c r="J436" s="630"/>
      <c r="K436" s="713"/>
    </row>
    <row r="437" spans="1:11" hidden="1">
      <c r="A437" s="630">
        <v>2</v>
      </c>
      <c r="B437" s="632" t="s">
        <v>757</v>
      </c>
      <c r="C437" s="713">
        <v>863</v>
      </c>
      <c r="D437" s="713">
        <v>2</v>
      </c>
      <c r="E437" s="713" t="s">
        <v>243</v>
      </c>
      <c r="F437" s="630">
        <v>199530</v>
      </c>
      <c r="G437" s="630">
        <v>169605</v>
      </c>
      <c r="H437" s="630">
        <v>85</v>
      </c>
      <c r="I437" s="630">
        <v>6</v>
      </c>
      <c r="J437" s="630">
        <v>24</v>
      </c>
      <c r="K437" s="713" t="s">
        <v>574</v>
      </c>
    </row>
    <row r="438" spans="1:11" hidden="1">
      <c r="A438" s="630">
        <v>3</v>
      </c>
      <c r="B438" s="632" t="s">
        <v>758</v>
      </c>
      <c r="C438" s="713">
        <v>8098</v>
      </c>
      <c r="D438" s="713">
        <v>3</v>
      </c>
      <c r="E438" s="713" t="s">
        <v>245</v>
      </c>
      <c r="F438" s="630">
        <v>10962</v>
      </c>
      <c r="G438" s="630">
        <v>8146</v>
      </c>
      <c r="H438" s="630">
        <v>74</v>
      </c>
      <c r="I438" s="630">
        <v>6</v>
      </c>
      <c r="J438" s="630">
        <v>24</v>
      </c>
      <c r="K438" s="713" t="s">
        <v>574</v>
      </c>
    </row>
    <row r="439" spans="1:11" hidden="1">
      <c r="A439" s="630">
        <v>4</v>
      </c>
      <c r="B439" s="632" t="s">
        <v>759</v>
      </c>
      <c r="C439" s="713">
        <v>9279</v>
      </c>
      <c r="D439" s="713">
        <v>4</v>
      </c>
      <c r="E439" s="713" t="s">
        <v>245</v>
      </c>
      <c r="F439" s="630">
        <v>102501</v>
      </c>
      <c r="G439" s="630">
        <v>81370</v>
      </c>
      <c r="H439" s="630">
        <v>79</v>
      </c>
      <c r="I439" s="630">
        <v>0</v>
      </c>
      <c r="J439" s="630">
        <v>24</v>
      </c>
      <c r="K439" s="713" t="s">
        <v>1094</v>
      </c>
    </row>
    <row r="440" spans="1:11" hidden="1">
      <c r="A440" s="630">
        <v>5</v>
      </c>
      <c r="B440" s="632" t="s">
        <v>374</v>
      </c>
      <c r="C440" s="713">
        <v>859</v>
      </c>
      <c r="D440" s="713">
        <v>5</v>
      </c>
      <c r="E440" s="713" t="s">
        <v>243</v>
      </c>
      <c r="F440" s="630">
        <v>203098</v>
      </c>
      <c r="G440" s="630">
        <v>171727</v>
      </c>
      <c r="H440" s="630">
        <v>85</v>
      </c>
      <c r="I440" s="630">
        <v>21</v>
      </c>
      <c r="J440" s="630">
        <v>24</v>
      </c>
      <c r="K440" s="713" t="s">
        <v>1111</v>
      </c>
    </row>
    <row r="441" spans="1:11" hidden="1">
      <c r="A441" s="630">
        <v>6</v>
      </c>
      <c r="B441" s="632" t="s">
        <v>375</v>
      </c>
      <c r="C441" s="713">
        <v>918</v>
      </c>
      <c r="D441" s="713">
        <v>6</v>
      </c>
      <c r="E441" s="713" t="s">
        <v>243</v>
      </c>
      <c r="F441" s="630">
        <v>47845</v>
      </c>
      <c r="G441" s="630">
        <v>42169</v>
      </c>
      <c r="H441" s="630">
        <v>88</v>
      </c>
      <c r="I441" s="630">
        <v>16</v>
      </c>
      <c r="J441" s="630">
        <v>24</v>
      </c>
      <c r="K441" s="713" t="s">
        <v>1111</v>
      </c>
    </row>
    <row r="442" spans="1:11" hidden="1">
      <c r="A442" s="630">
        <v>7</v>
      </c>
      <c r="B442" s="632" t="s">
        <v>376</v>
      </c>
      <c r="C442" s="713">
        <v>884</v>
      </c>
      <c r="D442" s="713">
        <v>7</v>
      </c>
      <c r="E442" s="713" t="s">
        <v>243</v>
      </c>
      <c r="F442" s="630">
        <v>206630</v>
      </c>
      <c r="G442" s="630">
        <v>201836</v>
      </c>
      <c r="H442" s="630">
        <v>98</v>
      </c>
      <c r="I442" s="630">
        <v>14</v>
      </c>
      <c r="J442" s="630">
        <v>24</v>
      </c>
      <c r="K442" s="713" t="s">
        <v>1111</v>
      </c>
    </row>
    <row r="443" spans="1:11" hidden="1">
      <c r="A443" s="630">
        <v>8</v>
      </c>
      <c r="B443" s="632" t="s">
        <v>377</v>
      </c>
      <c r="C443" s="713">
        <v>693</v>
      </c>
      <c r="D443" s="713">
        <v>8</v>
      </c>
      <c r="E443" s="713" t="s">
        <v>243</v>
      </c>
      <c r="F443" s="630">
        <v>116701</v>
      </c>
      <c r="G443" s="630">
        <v>111526</v>
      </c>
      <c r="H443" s="630">
        <v>96</v>
      </c>
      <c r="I443" s="630">
        <v>39</v>
      </c>
      <c r="J443" s="630">
        <v>24</v>
      </c>
      <c r="K443" s="713" t="s">
        <v>100</v>
      </c>
    </row>
    <row r="444" spans="1:11" hidden="1">
      <c r="A444" s="630">
        <v>9</v>
      </c>
      <c r="B444" s="632" t="s">
        <v>378</v>
      </c>
      <c r="C444" s="713">
        <v>9276</v>
      </c>
      <c r="D444" s="713">
        <v>9</v>
      </c>
      <c r="E444" s="713" t="s">
        <v>243</v>
      </c>
      <c r="F444" s="630">
        <v>68295</v>
      </c>
      <c r="G444" s="630">
        <v>64108</v>
      </c>
      <c r="H444" s="630">
        <v>94</v>
      </c>
      <c r="I444" s="630">
        <v>8</v>
      </c>
      <c r="J444" s="630">
        <v>24</v>
      </c>
      <c r="K444" s="713" t="s">
        <v>574</v>
      </c>
    </row>
    <row r="445" spans="1:11" hidden="1">
      <c r="A445" s="630">
        <v>10</v>
      </c>
      <c r="B445" s="632" t="s">
        <v>379</v>
      </c>
      <c r="C445" s="713">
        <v>835</v>
      </c>
      <c r="D445" s="713">
        <v>10</v>
      </c>
      <c r="E445" s="713" t="s">
        <v>243</v>
      </c>
      <c r="F445" s="630">
        <v>26009</v>
      </c>
      <c r="G445" s="630">
        <v>23257</v>
      </c>
      <c r="H445" s="630">
        <v>89</v>
      </c>
      <c r="I445" s="630">
        <v>0</v>
      </c>
      <c r="J445" s="630">
        <v>24</v>
      </c>
      <c r="K445" s="713" t="s">
        <v>705</v>
      </c>
    </row>
    <row r="446" spans="1:11" hidden="1">
      <c r="A446" s="630">
        <v>11</v>
      </c>
      <c r="B446" s="632" t="s">
        <v>380</v>
      </c>
      <c r="C446" s="713">
        <v>882</v>
      </c>
      <c r="D446" s="713">
        <v>11</v>
      </c>
      <c r="E446" s="713" t="s">
        <v>243</v>
      </c>
      <c r="F446" s="630">
        <v>133827</v>
      </c>
      <c r="G446" s="630">
        <v>133433</v>
      </c>
      <c r="H446" s="630">
        <v>100</v>
      </c>
      <c r="I446" s="630">
        <v>98</v>
      </c>
      <c r="J446" s="630">
        <v>24</v>
      </c>
      <c r="K446" s="713" t="s">
        <v>100</v>
      </c>
    </row>
    <row r="447" spans="1:11" hidden="1">
      <c r="A447" s="630">
        <v>12</v>
      </c>
      <c r="B447" s="632" t="s">
        <v>381</v>
      </c>
      <c r="C447" s="713">
        <v>825</v>
      </c>
      <c r="D447" s="713">
        <v>12</v>
      </c>
      <c r="E447" s="713" t="s">
        <v>243</v>
      </c>
      <c r="F447" s="630">
        <v>199813</v>
      </c>
      <c r="G447" s="630">
        <v>181269</v>
      </c>
      <c r="H447" s="630">
        <v>91</v>
      </c>
      <c r="I447" s="630">
        <v>8</v>
      </c>
      <c r="J447" s="630">
        <v>24</v>
      </c>
      <c r="K447" s="713" t="s">
        <v>574</v>
      </c>
    </row>
    <row r="448" spans="1:11" hidden="1">
      <c r="A448" s="630">
        <v>13</v>
      </c>
      <c r="B448" s="632" t="s">
        <v>592</v>
      </c>
      <c r="C448" s="713">
        <v>914</v>
      </c>
      <c r="D448" s="713">
        <v>13</v>
      </c>
      <c r="E448" s="713" t="s">
        <v>243</v>
      </c>
      <c r="F448" s="630">
        <v>43499</v>
      </c>
      <c r="G448" s="630">
        <v>42782</v>
      </c>
      <c r="H448" s="630">
        <v>98</v>
      </c>
      <c r="I448" s="630">
        <v>95</v>
      </c>
      <c r="J448" s="630">
        <v>24</v>
      </c>
      <c r="K448" s="713" t="s">
        <v>100</v>
      </c>
    </row>
    <row r="449" spans="1:11" hidden="1">
      <c r="A449" s="630">
        <v>14</v>
      </c>
      <c r="B449" s="632" t="s">
        <v>525</v>
      </c>
      <c r="C449" s="713">
        <v>8095</v>
      </c>
      <c r="D449" s="713">
        <v>14</v>
      </c>
      <c r="E449" s="713" t="s">
        <v>243</v>
      </c>
      <c r="F449" s="630">
        <v>89203</v>
      </c>
      <c r="G449" s="630">
        <v>83952</v>
      </c>
      <c r="H449" s="630">
        <v>94</v>
      </c>
      <c r="I449" s="630">
        <v>10</v>
      </c>
      <c r="J449" s="630">
        <v>24</v>
      </c>
      <c r="K449" s="713" t="s">
        <v>574</v>
      </c>
    </row>
    <row r="450" spans="1:11" hidden="1">
      <c r="A450" s="630">
        <v>15</v>
      </c>
      <c r="B450" s="632" t="s">
        <v>526</v>
      </c>
      <c r="C450" s="713">
        <v>920</v>
      </c>
      <c r="D450" s="713">
        <v>15</v>
      </c>
      <c r="E450" s="713" t="s">
        <v>243</v>
      </c>
      <c r="F450" s="630">
        <v>231612</v>
      </c>
      <c r="G450" s="630">
        <v>199640</v>
      </c>
      <c r="H450" s="630">
        <v>86</v>
      </c>
      <c r="I450" s="630">
        <v>0</v>
      </c>
      <c r="J450" s="630">
        <v>24</v>
      </c>
      <c r="K450" s="713" t="s">
        <v>705</v>
      </c>
    </row>
    <row r="451" spans="1:11" hidden="1">
      <c r="A451" s="630">
        <v>16</v>
      </c>
      <c r="B451" s="632" t="s">
        <v>527</v>
      </c>
      <c r="C451" s="713">
        <v>881</v>
      </c>
      <c r="D451" s="713">
        <v>16</v>
      </c>
      <c r="E451" s="713" t="s">
        <v>243</v>
      </c>
      <c r="F451" s="630">
        <v>256559</v>
      </c>
      <c r="G451" s="630">
        <v>233945</v>
      </c>
      <c r="H451" s="630">
        <v>91</v>
      </c>
      <c r="I451" s="630">
        <v>5</v>
      </c>
      <c r="J451" s="630">
        <v>24</v>
      </c>
      <c r="K451" s="713" t="s">
        <v>574</v>
      </c>
    </row>
    <row r="452" spans="1:11" hidden="1">
      <c r="A452" s="630">
        <v>17</v>
      </c>
      <c r="B452" s="632" t="s">
        <v>528</v>
      </c>
      <c r="C452" s="713">
        <v>961</v>
      </c>
      <c r="D452" s="713">
        <v>17</v>
      </c>
      <c r="E452" s="713" t="s">
        <v>245</v>
      </c>
      <c r="F452" s="630">
        <v>412127</v>
      </c>
      <c r="G452" s="630">
        <v>326323</v>
      </c>
      <c r="H452" s="630">
        <v>79</v>
      </c>
      <c r="I452" s="630">
        <v>2</v>
      </c>
      <c r="J452" s="630">
        <v>24</v>
      </c>
      <c r="K452" s="713" t="s">
        <v>574</v>
      </c>
    </row>
    <row r="453" spans="1:11" hidden="1">
      <c r="A453" s="630">
        <v>18</v>
      </c>
      <c r="B453" s="632" t="s">
        <v>529</v>
      </c>
      <c r="C453" s="713">
        <v>8036</v>
      </c>
      <c r="D453" s="713">
        <v>18</v>
      </c>
      <c r="E453" s="713" t="s">
        <v>243</v>
      </c>
      <c r="F453" s="630">
        <v>264720</v>
      </c>
      <c r="G453" s="630">
        <v>246059</v>
      </c>
      <c r="H453" s="630">
        <v>93</v>
      </c>
      <c r="I453" s="630">
        <v>1</v>
      </c>
      <c r="J453" s="630">
        <v>24</v>
      </c>
      <c r="K453" s="713" t="s">
        <v>574</v>
      </c>
    </row>
    <row r="454" spans="1:11" hidden="1">
      <c r="A454" s="630">
        <v>19</v>
      </c>
      <c r="B454" s="632" t="s">
        <v>530</v>
      </c>
      <c r="C454" s="713">
        <v>9241</v>
      </c>
      <c r="D454" s="713">
        <v>19</v>
      </c>
      <c r="E454" s="713" t="s">
        <v>243</v>
      </c>
      <c r="F454" s="630">
        <v>33</v>
      </c>
      <c r="G454" s="630">
        <v>33</v>
      </c>
      <c r="H454" s="630">
        <v>100</v>
      </c>
      <c r="I454" s="630">
        <v>0</v>
      </c>
      <c r="J454" s="630">
        <v>24</v>
      </c>
      <c r="K454" s="713" t="s">
        <v>705</v>
      </c>
    </row>
    <row r="455" spans="1:11" hidden="1">
      <c r="A455" s="630">
        <v>20</v>
      </c>
      <c r="B455" s="632" t="s">
        <v>531</v>
      </c>
      <c r="C455" s="713">
        <v>956</v>
      </c>
      <c r="D455" s="713">
        <v>20</v>
      </c>
      <c r="E455" s="713" t="s">
        <v>243</v>
      </c>
      <c r="F455" s="630">
        <v>882092</v>
      </c>
      <c r="G455" s="630">
        <v>852719</v>
      </c>
      <c r="H455" s="630">
        <v>97</v>
      </c>
      <c r="I455" s="630">
        <v>9</v>
      </c>
      <c r="J455" s="630">
        <v>24</v>
      </c>
      <c r="K455" s="713" t="s">
        <v>574</v>
      </c>
    </row>
    <row r="456" spans="1:11" hidden="1">
      <c r="A456" s="630"/>
      <c r="B456" s="631" t="s">
        <v>532</v>
      </c>
      <c r="C456" s="713"/>
      <c r="D456" s="713"/>
      <c r="E456" s="713"/>
      <c r="F456" s="630"/>
      <c r="G456" s="630"/>
      <c r="H456" s="630"/>
      <c r="I456" s="630"/>
      <c r="J456" s="630"/>
      <c r="K456" s="713"/>
    </row>
    <row r="457" spans="1:11" hidden="1">
      <c r="A457" s="630">
        <v>1</v>
      </c>
      <c r="B457" s="632" t="s">
        <v>901</v>
      </c>
      <c r="C457" s="713" t="s">
        <v>902</v>
      </c>
      <c r="D457" s="713">
        <v>1</v>
      </c>
      <c r="E457" s="713" t="s">
        <v>790</v>
      </c>
      <c r="F457" s="630"/>
      <c r="G457" s="630"/>
      <c r="H457" s="630"/>
      <c r="I457" s="630"/>
      <c r="J457" s="630"/>
      <c r="K457" s="713"/>
    </row>
    <row r="458" spans="1:11" hidden="1">
      <c r="A458" s="630">
        <v>2</v>
      </c>
      <c r="B458" s="632" t="s">
        <v>533</v>
      </c>
      <c r="C458" s="713">
        <v>186</v>
      </c>
      <c r="D458" s="713">
        <v>2</v>
      </c>
      <c r="E458" s="713" t="s">
        <v>245</v>
      </c>
      <c r="F458" s="630">
        <v>800105</v>
      </c>
      <c r="G458" s="630">
        <v>641456</v>
      </c>
      <c r="H458" s="630">
        <v>80</v>
      </c>
      <c r="I458" s="630">
        <v>0</v>
      </c>
      <c r="J458" s="630">
        <v>25</v>
      </c>
      <c r="K458" s="713" t="s">
        <v>1094</v>
      </c>
    </row>
    <row r="459" spans="1:11" hidden="1">
      <c r="A459" s="630">
        <v>3</v>
      </c>
      <c r="B459" s="632" t="s">
        <v>534</v>
      </c>
      <c r="C459" s="713">
        <v>245</v>
      </c>
      <c r="D459" s="713">
        <v>3</v>
      </c>
      <c r="E459" s="713" t="s">
        <v>243</v>
      </c>
      <c r="F459" s="630">
        <v>995572</v>
      </c>
      <c r="G459" s="630">
        <v>841923</v>
      </c>
      <c r="H459" s="630">
        <v>85</v>
      </c>
      <c r="I459" s="630">
        <v>0</v>
      </c>
      <c r="J459" s="630">
        <v>25</v>
      </c>
      <c r="K459" s="713" t="s">
        <v>1094</v>
      </c>
    </row>
    <row r="460" spans="1:11" hidden="1">
      <c r="A460" s="630">
        <v>4</v>
      </c>
      <c r="B460" s="632" t="s">
        <v>535</v>
      </c>
      <c r="C460" s="713">
        <v>231</v>
      </c>
      <c r="D460" s="713">
        <v>4</v>
      </c>
      <c r="E460" s="713" t="s">
        <v>245</v>
      </c>
      <c r="F460" s="630">
        <v>114580</v>
      </c>
      <c r="G460" s="630">
        <v>88952</v>
      </c>
      <c r="H460" s="630">
        <v>78</v>
      </c>
      <c r="I460" s="630">
        <v>0</v>
      </c>
      <c r="J460" s="630">
        <v>25</v>
      </c>
      <c r="K460" s="713" t="s">
        <v>705</v>
      </c>
    </row>
    <row r="461" spans="1:11" hidden="1">
      <c r="A461" s="630">
        <v>5</v>
      </c>
      <c r="B461" s="632" t="s">
        <v>1154</v>
      </c>
      <c r="C461" s="713">
        <v>9287</v>
      </c>
      <c r="D461" s="713">
        <v>5</v>
      </c>
      <c r="E461" s="713" t="s">
        <v>247</v>
      </c>
      <c r="F461" s="630">
        <v>102757</v>
      </c>
      <c r="G461" s="630">
        <v>34995</v>
      </c>
      <c r="H461" s="630">
        <v>34</v>
      </c>
      <c r="I461" s="630">
        <v>0</v>
      </c>
      <c r="J461" s="630">
        <v>25</v>
      </c>
      <c r="K461" s="713" t="s">
        <v>705</v>
      </c>
    </row>
    <row r="462" spans="1:11" hidden="1">
      <c r="A462" s="630">
        <v>6</v>
      </c>
      <c r="B462" s="632" t="s">
        <v>1155</v>
      </c>
      <c r="C462" s="713">
        <v>2324</v>
      </c>
      <c r="D462" s="713">
        <v>6</v>
      </c>
      <c r="E462" s="713" t="s">
        <v>245</v>
      </c>
      <c r="F462" s="630">
        <v>1005115</v>
      </c>
      <c r="G462" s="630">
        <v>618058</v>
      </c>
      <c r="H462" s="630">
        <v>61</v>
      </c>
      <c r="I462" s="630">
        <v>0</v>
      </c>
      <c r="J462" s="630">
        <v>25</v>
      </c>
      <c r="K462" s="713" t="s">
        <v>1094</v>
      </c>
    </row>
    <row r="463" spans="1:11" hidden="1">
      <c r="A463" s="630">
        <v>7</v>
      </c>
      <c r="B463" s="632" t="s">
        <v>600</v>
      </c>
      <c r="C463" s="713">
        <v>248</v>
      </c>
      <c r="D463" s="713">
        <v>7</v>
      </c>
      <c r="E463" s="713" t="s">
        <v>243</v>
      </c>
      <c r="F463" s="630">
        <v>231178</v>
      </c>
      <c r="G463" s="630">
        <v>218496</v>
      </c>
      <c r="H463" s="630">
        <v>95</v>
      </c>
      <c r="I463" s="630">
        <v>1</v>
      </c>
      <c r="J463" s="630">
        <v>25</v>
      </c>
      <c r="K463" s="713" t="s">
        <v>1094</v>
      </c>
    </row>
    <row r="464" spans="1:11" hidden="1">
      <c r="A464" s="630">
        <v>8</v>
      </c>
      <c r="B464" s="632" t="s">
        <v>601</v>
      </c>
      <c r="C464" s="713">
        <v>249</v>
      </c>
      <c r="D464" s="713">
        <v>8</v>
      </c>
      <c r="E464" s="713" t="s">
        <v>243</v>
      </c>
      <c r="F464" s="630">
        <v>270676</v>
      </c>
      <c r="G464" s="630">
        <v>249974</v>
      </c>
      <c r="H464" s="630">
        <v>92</v>
      </c>
      <c r="I464" s="630">
        <v>0</v>
      </c>
      <c r="J464" s="630">
        <v>25</v>
      </c>
      <c r="K464" s="713" t="s">
        <v>1094</v>
      </c>
    </row>
    <row r="465" spans="1:11" hidden="1">
      <c r="A465" s="630"/>
      <c r="B465" s="631" t="s">
        <v>602</v>
      </c>
      <c r="C465" s="713"/>
      <c r="D465" s="713"/>
      <c r="E465" s="713"/>
      <c r="F465" s="630"/>
      <c r="G465" s="630"/>
      <c r="H465" s="630"/>
      <c r="I465" s="630"/>
      <c r="J465" s="630"/>
      <c r="K465" s="713"/>
    </row>
    <row r="466" spans="1:11" hidden="1">
      <c r="A466" s="630">
        <v>1</v>
      </c>
      <c r="B466" s="632" t="s">
        <v>901</v>
      </c>
      <c r="C466" s="713" t="s">
        <v>902</v>
      </c>
      <c r="D466" s="713">
        <v>1</v>
      </c>
      <c r="E466" s="713" t="s">
        <v>790</v>
      </c>
      <c r="F466" s="630"/>
      <c r="G466" s="630"/>
      <c r="H466" s="630"/>
      <c r="I466" s="630"/>
      <c r="J466" s="630"/>
      <c r="K466" s="713"/>
    </row>
    <row r="467" spans="1:11" hidden="1">
      <c r="A467" s="630">
        <v>2</v>
      </c>
      <c r="B467" s="632" t="s">
        <v>1042</v>
      </c>
      <c r="C467" s="713">
        <v>3140</v>
      </c>
      <c r="D467" s="713">
        <v>2</v>
      </c>
      <c r="E467" s="713" t="s">
        <v>243</v>
      </c>
      <c r="F467" s="630">
        <v>90597</v>
      </c>
      <c r="G467" s="630">
        <v>88309</v>
      </c>
      <c r="H467" s="630">
        <v>97</v>
      </c>
      <c r="I467" s="630">
        <v>1</v>
      </c>
      <c r="J467" s="630">
        <v>19</v>
      </c>
      <c r="K467" s="713" t="s">
        <v>574</v>
      </c>
    </row>
    <row r="468" spans="1:11" hidden="1">
      <c r="A468" s="630">
        <v>3</v>
      </c>
      <c r="B468" s="632" t="s">
        <v>937</v>
      </c>
      <c r="C468" s="713">
        <v>3142</v>
      </c>
      <c r="D468" s="713">
        <v>3</v>
      </c>
      <c r="E468" s="713" t="s">
        <v>243</v>
      </c>
      <c r="F468" s="630">
        <v>47195</v>
      </c>
      <c r="G468" s="630">
        <v>40146</v>
      </c>
      <c r="H468" s="630">
        <v>85</v>
      </c>
      <c r="I468" s="630">
        <v>0</v>
      </c>
      <c r="J468" s="630">
        <v>19</v>
      </c>
      <c r="K468" s="713" t="s">
        <v>705</v>
      </c>
    </row>
    <row r="469" spans="1:11" hidden="1">
      <c r="A469" s="630">
        <v>4</v>
      </c>
      <c r="B469" s="632" t="s">
        <v>938</v>
      </c>
      <c r="C469" s="713">
        <v>879</v>
      </c>
      <c r="D469" s="713">
        <v>4</v>
      </c>
      <c r="E469" s="713" t="s">
        <v>243</v>
      </c>
      <c r="F469" s="630">
        <v>471450</v>
      </c>
      <c r="G469" s="630">
        <v>468123</v>
      </c>
      <c r="H469" s="630">
        <v>99</v>
      </c>
      <c r="I469" s="630">
        <v>0</v>
      </c>
      <c r="J469" s="630">
        <v>19</v>
      </c>
      <c r="K469" s="713" t="s">
        <v>1094</v>
      </c>
    </row>
    <row r="470" spans="1:11" hidden="1">
      <c r="A470" s="630">
        <v>5</v>
      </c>
      <c r="B470" s="632" t="s">
        <v>104</v>
      </c>
      <c r="C470" s="713">
        <v>3141</v>
      </c>
      <c r="D470" s="713">
        <v>5</v>
      </c>
      <c r="E470" s="713" t="s">
        <v>243</v>
      </c>
      <c r="F470" s="630">
        <v>55937</v>
      </c>
      <c r="G470" s="630">
        <v>55146</v>
      </c>
      <c r="H470" s="630">
        <v>99</v>
      </c>
      <c r="I470" s="630">
        <v>5</v>
      </c>
      <c r="J470" s="630">
        <v>19</v>
      </c>
      <c r="K470" s="713" t="s">
        <v>574</v>
      </c>
    </row>
    <row r="471" spans="1:11" hidden="1">
      <c r="A471" s="630">
        <v>6</v>
      </c>
      <c r="B471" s="632" t="s">
        <v>653</v>
      </c>
      <c r="C471" s="713">
        <v>9256</v>
      </c>
      <c r="D471" s="713">
        <v>6</v>
      </c>
      <c r="E471" s="713" t="s">
        <v>243</v>
      </c>
      <c r="F471" s="630">
        <v>132133</v>
      </c>
      <c r="G471" s="630">
        <v>131844</v>
      </c>
      <c r="H471" s="630">
        <v>100</v>
      </c>
      <c r="I471" s="630">
        <v>1</v>
      </c>
      <c r="J471" s="630">
        <v>19</v>
      </c>
      <c r="K471" s="713" t="s">
        <v>1094</v>
      </c>
    </row>
    <row r="472" spans="1:11" hidden="1">
      <c r="A472" s="630">
        <v>7</v>
      </c>
      <c r="B472" s="632" t="s">
        <v>654</v>
      </c>
      <c r="C472" s="713">
        <v>946</v>
      </c>
      <c r="D472" s="713">
        <v>7</v>
      </c>
      <c r="E472" s="713" t="s">
        <v>243</v>
      </c>
      <c r="F472" s="630">
        <v>698831</v>
      </c>
      <c r="G472" s="630">
        <v>693898</v>
      </c>
      <c r="H472" s="630">
        <v>99</v>
      </c>
      <c r="I472" s="630">
        <v>7</v>
      </c>
      <c r="J472" s="630">
        <v>19</v>
      </c>
      <c r="K472" s="713" t="s">
        <v>574</v>
      </c>
    </row>
    <row r="473" spans="1:11" hidden="1">
      <c r="A473" s="630">
        <v>8</v>
      </c>
      <c r="B473" s="632" t="s">
        <v>655</v>
      </c>
      <c r="C473" s="713">
        <v>945</v>
      </c>
      <c r="D473" s="713">
        <v>8</v>
      </c>
      <c r="E473" s="713" t="s">
        <v>243</v>
      </c>
      <c r="F473" s="630">
        <v>213008</v>
      </c>
      <c r="G473" s="630">
        <v>206300</v>
      </c>
      <c r="H473" s="630">
        <v>97</v>
      </c>
      <c r="I473" s="630">
        <v>10</v>
      </c>
      <c r="J473" s="630">
        <v>19</v>
      </c>
      <c r="K473" s="713" t="s">
        <v>1111</v>
      </c>
    </row>
    <row r="474" spans="1:11" hidden="1">
      <c r="A474" s="630"/>
      <c r="B474" s="631" t="s">
        <v>656</v>
      </c>
      <c r="C474" s="713"/>
      <c r="D474" s="713"/>
      <c r="E474" s="713"/>
      <c r="F474" s="630"/>
      <c r="G474" s="630"/>
      <c r="H474" s="630"/>
      <c r="I474" s="630"/>
      <c r="J474" s="630"/>
      <c r="K474" s="713"/>
    </row>
    <row r="475" spans="1:11" hidden="1">
      <c r="A475" s="630">
        <v>1</v>
      </c>
      <c r="B475" s="632" t="s">
        <v>901</v>
      </c>
      <c r="C475" s="713" t="s">
        <v>902</v>
      </c>
      <c r="D475" s="713">
        <v>1</v>
      </c>
      <c r="E475" s="713" t="s">
        <v>790</v>
      </c>
      <c r="F475" s="630"/>
      <c r="G475" s="630"/>
      <c r="H475" s="630"/>
      <c r="I475" s="630"/>
      <c r="J475" s="630"/>
      <c r="K475" s="713"/>
    </row>
    <row r="476" spans="1:11" hidden="1">
      <c r="A476" s="630">
        <v>2</v>
      </c>
      <c r="B476" s="632" t="s">
        <v>657</v>
      </c>
      <c r="C476" s="713">
        <v>9245</v>
      </c>
      <c r="D476" s="713">
        <v>2</v>
      </c>
      <c r="E476" s="713" t="s">
        <v>243</v>
      </c>
      <c r="F476" s="630">
        <v>231075</v>
      </c>
      <c r="G476" s="630">
        <v>228319</v>
      </c>
      <c r="H476" s="630">
        <v>99</v>
      </c>
      <c r="I476" s="630">
        <v>0</v>
      </c>
      <c r="J476" s="630">
        <v>16</v>
      </c>
      <c r="K476" s="713" t="s">
        <v>1094</v>
      </c>
    </row>
    <row r="477" spans="1:11" hidden="1">
      <c r="A477" s="630">
        <v>3</v>
      </c>
      <c r="B477" s="632" t="s">
        <v>373</v>
      </c>
      <c r="C477" s="713">
        <v>8020</v>
      </c>
      <c r="D477" s="713">
        <v>3</v>
      </c>
      <c r="E477" s="713" t="s">
        <v>243</v>
      </c>
      <c r="F477" s="630">
        <v>155554</v>
      </c>
      <c r="G477" s="630">
        <v>136150</v>
      </c>
      <c r="H477" s="630">
        <v>88</v>
      </c>
      <c r="I477" s="630">
        <v>0</v>
      </c>
      <c r="J477" s="630">
        <v>16</v>
      </c>
      <c r="K477" s="713" t="s">
        <v>1094</v>
      </c>
    </row>
    <row r="478" spans="1:11" hidden="1">
      <c r="A478" s="630">
        <v>4</v>
      </c>
      <c r="B478" s="632" t="s">
        <v>686</v>
      </c>
      <c r="C478" s="713">
        <v>9236</v>
      </c>
      <c r="D478" s="713">
        <v>4</v>
      </c>
      <c r="E478" s="713" t="s">
        <v>243</v>
      </c>
      <c r="F478" s="630">
        <v>11493</v>
      </c>
      <c r="G478" s="630">
        <v>10607</v>
      </c>
      <c r="H478" s="630">
        <v>92</v>
      </c>
      <c r="I478" s="630">
        <v>1</v>
      </c>
      <c r="J478" s="630">
        <v>16</v>
      </c>
      <c r="K478" s="713" t="s">
        <v>574</v>
      </c>
    </row>
    <row r="479" spans="1:11" hidden="1">
      <c r="A479" s="630">
        <v>5</v>
      </c>
      <c r="B479" s="632" t="s">
        <v>687</v>
      </c>
      <c r="C479" s="713">
        <v>898</v>
      </c>
      <c r="D479" s="713">
        <v>5</v>
      </c>
      <c r="E479" s="713" t="s">
        <v>247</v>
      </c>
      <c r="F479" s="630">
        <v>42262</v>
      </c>
      <c r="G479" s="630">
        <v>17240</v>
      </c>
      <c r="H479" s="630">
        <v>41</v>
      </c>
      <c r="I479" s="630">
        <v>0</v>
      </c>
      <c r="J479" s="630">
        <v>16</v>
      </c>
      <c r="K479" s="713" t="s">
        <v>705</v>
      </c>
    </row>
    <row r="480" spans="1:11" hidden="1">
      <c r="A480" s="630">
        <v>6</v>
      </c>
      <c r="B480" s="632" t="s">
        <v>688</v>
      </c>
      <c r="C480" s="713">
        <v>908</v>
      </c>
      <c r="D480" s="713">
        <v>6</v>
      </c>
      <c r="E480" s="713" t="s">
        <v>243</v>
      </c>
      <c r="F480" s="630">
        <v>258288</v>
      </c>
      <c r="G480" s="630">
        <v>254654</v>
      </c>
      <c r="H480" s="630">
        <v>99</v>
      </c>
      <c r="I480" s="630">
        <v>2</v>
      </c>
      <c r="J480" s="630">
        <v>16</v>
      </c>
      <c r="K480" s="713" t="s">
        <v>574</v>
      </c>
    </row>
    <row r="481" spans="1:11" hidden="1">
      <c r="A481" s="630">
        <v>7</v>
      </c>
      <c r="B481" s="632" t="s">
        <v>689</v>
      </c>
      <c r="C481" s="713">
        <v>5562</v>
      </c>
      <c r="D481" s="713">
        <v>7</v>
      </c>
      <c r="E481" s="713" t="s">
        <v>243</v>
      </c>
      <c r="F481" s="630">
        <v>61300</v>
      </c>
      <c r="G481" s="630">
        <v>51230</v>
      </c>
      <c r="H481" s="630">
        <v>84</v>
      </c>
      <c r="I481" s="630">
        <v>0</v>
      </c>
      <c r="J481" s="630">
        <v>16</v>
      </c>
      <c r="K481" s="713" t="s">
        <v>1094</v>
      </c>
    </row>
    <row r="482" spans="1:11" hidden="1">
      <c r="A482" s="630">
        <v>8</v>
      </c>
      <c r="B482" s="632" t="s">
        <v>690</v>
      </c>
      <c r="C482" s="713">
        <v>935</v>
      </c>
      <c r="D482" s="713">
        <v>8</v>
      </c>
      <c r="E482" s="713" t="s">
        <v>243</v>
      </c>
      <c r="F482" s="630">
        <v>79341</v>
      </c>
      <c r="G482" s="630">
        <v>77971</v>
      </c>
      <c r="H482" s="630">
        <v>98</v>
      </c>
      <c r="I482" s="630">
        <v>0</v>
      </c>
      <c r="J482" s="630">
        <v>16</v>
      </c>
      <c r="K482" s="713" t="s">
        <v>705</v>
      </c>
    </row>
    <row r="483" spans="1:11" hidden="1">
      <c r="A483" s="630">
        <v>9</v>
      </c>
      <c r="B483" s="632" t="s">
        <v>691</v>
      </c>
      <c r="C483" s="713">
        <v>8074</v>
      </c>
      <c r="D483" s="713">
        <v>9</v>
      </c>
      <c r="E483" s="713" t="s">
        <v>243</v>
      </c>
      <c r="F483" s="630">
        <v>75964</v>
      </c>
      <c r="G483" s="630">
        <v>74367</v>
      </c>
      <c r="H483" s="630">
        <v>98</v>
      </c>
      <c r="I483" s="630">
        <v>2</v>
      </c>
      <c r="J483" s="630">
        <v>16</v>
      </c>
      <c r="K483" s="713" t="s">
        <v>574</v>
      </c>
    </row>
    <row r="484" spans="1:11" hidden="1">
      <c r="A484" s="630">
        <v>10</v>
      </c>
      <c r="B484" s="632" t="s">
        <v>692</v>
      </c>
      <c r="C484" s="713">
        <v>298</v>
      </c>
      <c r="D484" s="713">
        <v>10</v>
      </c>
      <c r="E484" s="713" t="s">
        <v>243</v>
      </c>
      <c r="F484" s="630">
        <v>420134</v>
      </c>
      <c r="G484" s="630">
        <v>404006</v>
      </c>
      <c r="H484" s="630">
        <v>96</v>
      </c>
      <c r="I484" s="630">
        <v>3</v>
      </c>
      <c r="J484" s="630">
        <v>16</v>
      </c>
      <c r="K484" s="713" t="s">
        <v>574</v>
      </c>
    </row>
    <row r="485" spans="1:11" hidden="1">
      <c r="A485" s="630"/>
      <c r="B485" s="631" t="s">
        <v>693</v>
      </c>
      <c r="C485" s="713"/>
      <c r="D485" s="713"/>
      <c r="E485" s="713"/>
      <c r="F485" s="630"/>
      <c r="G485" s="630"/>
      <c r="H485" s="630"/>
      <c r="I485" s="630"/>
      <c r="J485" s="630"/>
      <c r="K485" s="713"/>
    </row>
    <row r="486" spans="1:11" hidden="1">
      <c r="A486" s="630">
        <v>1</v>
      </c>
      <c r="B486" s="632" t="s">
        <v>901</v>
      </c>
      <c r="C486" s="713" t="s">
        <v>902</v>
      </c>
      <c r="D486" s="713">
        <v>1</v>
      </c>
      <c r="E486" s="713" t="s">
        <v>790</v>
      </c>
      <c r="F486" s="630"/>
      <c r="G486" s="630"/>
      <c r="H486" s="630"/>
      <c r="I486" s="630"/>
      <c r="J486" s="630"/>
      <c r="K486" s="713"/>
    </row>
    <row r="487" spans="1:11" hidden="1">
      <c r="A487" s="630">
        <v>2</v>
      </c>
      <c r="B487" s="632" t="s">
        <v>667</v>
      </c>
      <c r="C487" s="713">
        <v>9235</v>
      </c>
      <c r="D487" s="713">
        <v>2</v>
      </c>
      <c r="E487" s="713" t="s">
        <v>243</v>
      </c>
      <c r="F487" s="630">
        <v>6222</v>
      </c>
      <c r="G487" s="630">
        <v>6169</v>
      </c>
      <c r="H487" s="630">
        <v>99</v>
      </c>
      <c r="I487" s="630">
        <v>0</v>
      </c>
      <c r="J487" s="630">
        <v>18</v>
      </c>
      <c r="K487" s="713" t="s">
        <v>705</v>
      </c>
    </row>
    <row r="488" spans="1:11" hidden="1">
      <c r="A488" s="630">
        <v>3</v>
      </c>
      <c r="B488" s="632" t="s">
        <v>152</v>
      </c>
      <c r="C488" s="713">
        <v>272</v>
      </c>
      <c r="D488" s="713">
        <v>3</v>
      </c>
      <c r="E488" s="713" t="s">
        <v>243</v>
      </c>
      <c r="F488" s="630">
        <v>746356</v>
      </c>
      <c r="G488" s="630">
        <v>735643</v>
      </c>
      <c r="H488" s="630">
        <v>99</v>
      </c>
      <c r="I488" s="630">
        <v>0</v>
      </c>
      <c r="J488" s="630">
        <v>18</v>
      </c>
      <c r="K488" s="713" t="s">
        <v>1094</v>
      </c>
    </row>
    <row r="489" spans="1:11" hidden="1">
      <c r="A489" s="630">
        <v>4</v>
      </c>
      <c r="B489" s="632" t="s">
        <v>232</v>
      </c>
      <c r="C489" s="713">
        <v>289</v>
      </c>
      <c r="D489" s="713">
        <v>4</v>
      </c>
      <c r="E489" s="713" t="s">
        <v>243</v>
      </c>
      <c r="F489" s="630">
        <v>565554</v>
      </c>
      <c r="G489" s="630">
        <v>556037</v>
      </c>
      <c r="H489" s="630">
        <v>98</v>
      </c>
      <c r="I489" s="630">
        <v>0</v>
      </c>
      <c r="J489" s="630">
        <v>18</v>
      </c>
      <c r="K489" s="713" t="s">
        <v>705</v>
      </c>
    </row>
    <row r="490" spans="1:11" hidden="1">
      <c r="A490" s="630">
        <v>5</v>
      </c>
      <c r="B490" s="632" t="s">
        <v>233</v>
      </c>
      <c r="C490" s="713">
        <v>4199</v>
      </c>
      <c r="D490" s="713">
        <v>5</v>
      </c>
      <c r="E490" s="713" t="s">
        <v>243</v>
      </c>
      <c r="F490" s="630">
        <v>229721</v>
      </c>
      <c r="G490" s="630">
        <v>228784</v>
      </c>
      <c r="H490" s="630">
        <v>100</v>
      </c>
      <c r="I490" s="630">
        <v>0</v>
      </c>
      <c r="J490" s="630">
        <v>18</v>
      </c>
      <c r="K490" s="713" t="s">
        <v>705</v>
      </c>
    </row>
    <row r="491" spans="1:11" hidden="1">
      <c r="A491" s="630"/>
      <c r="B491" s="631" t="s">
        <v>234</v>
      </c>
      <c r="C491" s="713"/>
      <c r="D491" s="713"/>
      <c r="E491" s="713"/>
      <c r="F491" s="630"/>
      <c r="G491" s="630"/>
      <c r="H491" s="630"/>
      <c r="I491" s="630"/>
      <c r="J491" s="630"/>
      <c r="K491" s="713"/>
    </row>
    <row r="492" spans="1:11" hidden="1">
      <c r="A492" s="630">
        <v>1</v>
      </c>
      <c r="B492" s="632" t="s">
        <v>901</v>
      </c>
      <c r="C492" s="713" t="s">
        <v>902</v>
      </c>
      <c r="D492" s="713">
        <v>1</v>
      </c>
      <c r="E492" s="713" t="s">
        <v>790</v>
      </c>
      <c r="F492" s="630"/>
      <c r="G492" s="630"/>
      <c r="H492" s="630"/>
      <c r="I492" s="630"/>
      <c r="J492" s="630"/>
      <c r="K492" s="713"/>
    </row>
    <row r="493" spans="1:11" hidden="1">
      <c r="A493" s="630">
        <v>2</v>
      </c>
      <c r="B493" s="632" t="s">
        <v>235</v>
      </c>
      <c r="C493" s="713">
        <v>768</v>
      </c>
      <c r="D493" s="713">
        <v>2</v>
      </c>
      <c r="E493" s="713" t="s">
        <v>243</v>
      </c>
      <c r="F493" s="630">
        <v>12330</v>
      </c>
      <c r="G493" s="630">
        <v>12226</v>
      </c>
      <c r="H493" s="630">
        <v>99</v>
      </c>
      <c r="I493" s="630">
        <v>0</v>
      </c>
      <c r="J493" s="630">
        <v>26</v>
      </c>
      <c r="K493" s="713" t="s">
        <v>705</v>
      </c>
    </row>
    <row r="494" spans="1:11" hidden="1">
      <c r="A494" s="630">
        <v>3</v>
      </c>
      <c r="B494" s="632" t="s">
        <v>236</v>
      </c>
      <c r="C494" s="713">
        <v>2864</v>
      </c>
      <c r="D494" s="713">
        <v>3</v>
      </c>
      <c r="E494" s="713" t="s">
        <v>243</v>
      </c>
      <c r="F494" s="630">
        <v>70396</v>
      </c>
      <c r="G494" s="630">
        <v>67233</v>
      </c>
      <c r="H494" s="630">
        <v>96</v>
      </c>
      <c r="I494" s="630">
        <v>20</v>
      </c>
      <c r="J494" s="630">
        <v>26</v>
      </c>
      <c r="K494" s="713" t="s">
        <v>1111</v>
      </c>
    </row>
    <row r="495" spans="1:11" hidden="1">
      <c r="A495" s="630">
        <v>4</v>
      </c>
      <c r="B495" s="632" t="s">
        <v>612</v>
      </c>
      <c r="C495" s="713">
        <v>2871</v>
      </c>
      <c r="D495" s="713">
        <v>4</v>
      </c>
      <c r="E495" s="713" t="s">
        <v>243</v>
      </c>
      <c r="F495" s="630">
        <v>98345</v>
      </c>
      <c r="G495" s="630">
        <v>90176</v>
      </c>
      <c r="H495" s="630">
        <v>92</v>
      </c>
      <c r="I495" s="630">
        <v>0</v>
      </c>
      <c r="J495" s="630">
        <v>26</v>
      </c>
      <c r="K495" s="713" t="s">
        <v>705</v>
      </c>
    </row>
    <row r="496" spans="1:11" hidden="1">
      <c r="A496" s="630">
        <v>5</v>
      </c>
      <c r="B496" s="632" t="s">
        <v>64</v>
      </c>
      <c r="C496" s="713">
        <v>2859</v>
      </c>
      <c r="D496" s="713">
        <v>5</v>
      </c>
      <c r="E496" s="713" t="s">
        <v>243</v>
      </c>
      <c r="F496" s="630">
        <v>31205</v>
      </c>
      <c r="G496" s="630">
        <v>30969</v>
      </c>
      <c r="H496" s="630">
        <v>99</v>
      </c>
      <c r="I496" s="630">
        <v>0</v>
      </c>
      <c r="J496" s="630">
        <v>26</v>
      </c>
      <c r="K496" s="713" t="s">
        <v>705</v>
      </c>
    </row>
    <row r="497" spans="1:11" hidden="1">
      <c r="A497" s="630">
        <v>6</v>
      </c>
      <c r="B497" s="632" t="s">
        <v>65</v>
      </c>
      <c r="C497" s="713">
        <v>2873</v>
      </c>
      <c r="D497" s="713">
        <v>6</v>
      </c>
      <c r="E497" s="713" t="s">
        <v>243</v>
      </c>
      <c r="F497" s="630">
        <v>6757</v>
      </c>
      <c r="G497" s="630">
        <v>6338</v>
      </c>
      <c r="H497" s="630">
        <v>94</v>
      </c>
      <c r="I497" s="630">
        <v>0</v>
      </c>
      <c r="J497" s="630">
        <v>26</v>
      </c>
      <c r="K497" s="713" t="s">
        <v>705</v>
      </c>
    </row>
    <row r="498" spans="1:11" hidden="1">
      <c r="A498" s="630">
        <v>7</v>
      </c>
      <c r="B498" s="632" t="s">
        <v>66</v>
      </c>
      <c r="C498" s="713">
        <v>2866</v>
      </c>
      <c r="D498" s="713">
        <v>7</v>
      </c>
      <c r="E498" s="713" t="s">
        <v>243</v>
      </c>
      <c r="F498" s="630">
        <v>52227</v>
      </c>
      <c r="G498" s="630">
        <v>50122</v>
      </c>
      <c r="H498" s="630">
        <v>96</v>
      </c>
      <c r="I498" s="630">
        <v>4</v>
      </c>
      <c r="J498" s="630">
        <v>26</v>
      </c>
      <c r="K498" s="713" t="s">
        <v>574</v>
      </c>
    </row>
    <row r="499" spans="1:11" hidden="1">
      <c r="A499" s="630">
        <v>8</v>
      </c>
      <c r="B499" s="632" t="s">
        <v>67</v>
      </c>
      <c r="C499" s="713">
        <v>2861</v>
      </c>
      <c r="D499" s="713">
        <v>8</v>
      </c>
      <c r="E499" s="713" t="s">
        <v>243</v>
      </c>
      <c r="F499" s="630">
        <v>391642</v>
      </c>
      <c r="G499" s="630">
        <v>358617</v>
      </c>
      <c r="H499" s="630">
        <v>92</v>
      </c>
      <c r="I499" s="630">
        <v>0</v>
      </c>
      <c r="J499" s="630">
        <v>26</v>
      </c>
      <c r="K499" s="713" t="s">
        <v>1094</v>
      </c>
    </row>
    <row r="500" spans="1:11" hidden="1">
      <c r="A500" s="630">
        <v>9</v>
      </c>
      <c r="B500" s="632" t="s">
        <v>68</v>
      </c>
      <c r="C500" s="713">
        <v>2877</v>
      </c>
      <c r="D500" s="713">
        <v>9</v>
      </c>
      <c r="E500" s="713" t="s">
        <v>243</v>
      </c>
      <c r="F500" s="630">
        <v>1286</v>
      </c>
      <c r="G500" s="630">
        <v>1106</v>
      </c>
      <c r="H500" s="630">
        <v>86</v>
      </c>
      <c r="I500" s="630">
        <v>0</v>
      </c>
      <c r="J500" s="630">
        <v>26</v>
      </c>
      <c r="K500" s="713" t="s">
        <v>705</v>
      </c>
    </row>
    <row r="501" spans="1:11" hidden="1">
      <c r="A501" s="630">
        <v>10</v>
      </c>
      <c r="B501" s="632" t="s">
        <v>431</v>
      </c>
      <c r="C501" s="713">
        <v>781</v>
      </c>
      <c r="D501" s="713">
        <v>10</v>
      </c>
      <c r="E501" s="713" t="s">
        <v>243</v>
      </c>
      <c r="F501" s="630">
        <v>31030</v>
      </c>
      <c r="G501" s="630">
        <v>31010</v>
      </c>
      <c r="H501" s="630">
        <v>100</v>
      </c>
      <c r="I501" s="630">
        <v>0</v>
      </c>
      <c r="J501" s="630">
        <v>26</v>
      </c>
      <c r="K501" s="713" t="s">
        <v>705</v>
      </c>
    </row>
    <row r="502" spans="1:11" hidden="1">
      <c r="A502" s="630">
        <v>11</v>
      </c>
      <c r="B502" s="632" t="s">
        <v>432</v>
      </c>
      <c r="C502" s="713">
        <v>786</v>
      </c>
      <c r="D502" s="713">
        <v>11</v>
      </c>
      <c r="E502" s="713" t="s">
        <v>243</v>
      </c>
      <c r="F502" s="630">
        <v>10938</v>
      </c>
      <c r="G502" s="630">
        <v>10929</v>
      </c>
      <c r="H502" s="630">
        <v>100</v>
      </c>
      <c r="I502" s="630">
        <v>0</v>
      </c>
      <c r="J502" s="630">
        <v>26</v>
      </c>
      <c r="K502" s="713" t="s">
        <v>705</v>
      </c>
    </row>
    <row r="503" spans="1:11" hidden="1">
      <c r="A503" s="630">
        <v>12</v>
      </c>
      <c r="B503" s="632" t="s">
        <v>433</v>
      </c>
      <c r="C503" s="713">
        <v>785</v>
      </c>
      <c r="D503" s="713">
        <v>12</v>
      </c>
      <c r="E503" s="713" t="s">
        <v>243</v>
      </c>
      <c r="F503" s="630">
        <v>54747</v>
      </c>
      <c r="G503" s="630">
        <v>54337</v>
      </c>
      <c r="H503" s="630">
        <v>99</v>
      </c>
      <c r="I503" s="630">
        <v>0</v>
      </c>
      <c r="J503" s="630">
        <v>26</v>
      </c>
      <c r="K503" s="713" t="s">
        <v>705</v>
      </c>
    </row>
    <row r="504" spans="1:11" hidden="1">
      <c r="A504" s="630">
        <v>13</v>
      </c>
      <c r="B504" s="632" t="s">
        <v>434</v>
      </c>
      <c r="C504" s="713">
        <v>797</v>
      </c>
      <c r="D504" s="713">
        <v>13</v>
      </c>
      <c r="E504" s="713" t="s">
        <v>243</v>
      </c>
      <c r="F504" s="630">
        <v>36707</v>
      </c>
      <c r="G504" s="630">
        <v>33279</v>
      </c>
      <c r="H504" s="630">
        <v>91</v>
      </c>
      <c r="I504" s="630">
        <v>0</v>
      </c>
      <c r="J504" s="630">
        <v>26</v>
      </c>
      <c r="K504" s="713" t="s">
        <v>705</v>
      </c>
    </row>
    <row r="505" spans="1:11" hidden="1">
      <c r="A505" s="630">
        <v>14</v>
      </c>
      <c r="B505" s="632" t="s">
        <v>454</v>
      </c>
      <c r="C505" s="713">
        <v>784</v>
      </c>
      <c r="D505" s="713">
        <v>14</v>
      </c>
      <c r="E505" s="713" t="s">
        <v>243</v>
      </c>
      <c r="F505" s="630">
        <v>11625</v>
      </c>
      <c r="G505" s="630">
        <v>10621</v>
      </c>
      <c r="H505" s="630">
        <v>91</v>
      </c>
      <c r="I505" s="630">
        <v>0</v>
      </c>
      <c r="J505" s="630">
        <v>26</v>
      </c>
      <c r="K505" s="713" t="s">
        <v>705</v>
      </c>
    </row>
    <row r="506" spans="1:11" hidden="1">
      <c r="A506" s="630">
        <v>15</v>
      </c>
      <c r="B506" s="632" t="s">
        <v>455</v>
      </c>
      <c r="C506" s="713">
        <v>796</v>
      </c>
      <c r="D506" s="713">
        <v>15</v>
      </c>
      <c r="E506" s="713" t="s">
        <v>243</v>
      </c>
      <c r="F506" s="630">
        <v>22634</v>
      </c>
      <c r="G506" s="630">
        <v>22621</v>
      </c>
      <c r="H506" s="630">
        <v>100</v>
      </c>
      <c r="I506" s="630">
        <v>0</v>
      </c>
      <c r="J506" s="630">
        <v>26</v>
      </c>
      <c r="K506" s="713" t="s">
        <v>705</v>
      </c>
    </row>
    <row r="507" spans="1:11" hidden="1">
      <c r="A507" s="630">
        <v>16</v>
      </c>
      <c r="B507" s="632" t="s">
        <v>892</v>
      </c>
      <c r="C507" s="713">
        <v>799</v>
      </c>
      <c r="D507" s="713">
        <v>16</v>
      </c>
      <c r="E507" s="713" t="s">
        <v>243</v>
      </c>
      <c r="F507" s="630">
        <v>17020</v>
      </c>
      <c r="G507" s="630">
        <v>16944</v>
      </c>
      <c r="H507" s="630">
        <v>100</v>
      </c>
      <c r="I507" s="630">
        <v>0</v>
      </c>
      <c r="J507" s="630">
        <v>26</v>
      </c>
      <c r="K507" s="713" t="s">
        <v>705</v>
      </c>
    </row>
    <row r="508" spans="1:11" hidden="1">
      <c r="A508" s="630">
        <v>17</v>
      </c>
      <c r="B508" s="632" t="s">
        <v>893</v>
      </c>
      <c r="C508" s="713">
        <v>798</v>
      </c>
      <c r="D508" s="713">
        <v>17</v>
      </c>
      <c r="E508" s="713" t="s">
        <v>243</v>
      </c>
      <c r="F508" s="630">
        <v>33343</v>
      </c>
      <c r="G508" s="630">
        <v>32262</v>
      </c>
      <c r="H508" s="630">
        <v>97</v>
      </c>
      <c r="I508" s="630">
        <v>0</v>
      </c>
      <c r="J508" s="630">
        <v>26</v>
      </c>
      <c r="K508" s="713" t="s">
        <v>705</v>
      </c>
    </row>
    <row r="509" spans="1:11" hidden="1">
      <c r="A509" s="630"/>
      <c r="B509" s="631" t="s">
        <v>894</v>
      </c>
      <c r="C509" s="713"/>
      <c r="D509" s="713"/>
      <c r="E509" s="713"/>
      <c r="F509" s="630"/>
      <c r="G509" s="630"/>
      <c r="H509" s="630"/>
      <c r="I509" s="630"/>
      <c r="J509" s="630"/>
      <c r="K509" s="713"/>
    </row>
    <row r="510" spans="1:11" hidden="1">
      <c r="A510" s="630">
        <v>1</v>
      </c>
      <c r="B510" s="632" t="s">
        <v>901</v>
      </c>
      <c r="C510" s="713" t="s">
        <v>902</v>
      </c>
      <c r="D510" s="713">
        <v>1</v>
      </c>
      <c r="E510" s="713" t="s">
        <v>790</v>
      </c>
      <c r="F510" s="630"/>
      <c r="G510" s="630"/>
      <c r="H510" s="630"/>
      <c r="I510" s="630"/>
      <c r="J510" s="630"/>
      <c r="K510" s="713"/>
    </row>
    <row r="511" spans="1:11" hidden="1">
      <c r="A511" s="630">
        <v>2</v>
      </c>
      <c r="B511" s="632" t="s">
        <v>153</v>
      </c>
      <c r="C511" s="713">
        <v>2867</v>
      </c>
      <c r="D511" s="713">
        <v>2</v>
      </c>
      <c r="E511" s="713" t="s">
        <v>243</v>
      </c>
      <c r="F511" s="630">
        <v>29236</v>
      </c>
      <c r="G511" s="630">
        <v>28989</v>
      </c>
      <c r="H511" s="630">
        <v>99</v>
      </c>
      <c r="I511" s="630">
        <v>0</v>
      </c>
      <c r="J511" s="630">
        <v>28</v>
      </c>
      <c r="K511" s="713" t="s">
        <v>705</v>
      </c>
    </row>
    <row r="512" spans="1:11" hidden="1">
      <c r="A512" s="630">
        <v>3</v>
      </c>
      <c r="B512" s="632" t="s">
        <v>154</v>
      </c>
      <c r="C512" s="713">
        <v>64</v>
      </c>
      <c r="D512" s="713">
        <v>3</v>
      </c>
      <c r="E512" s="713" t="s">
        <v>245</v>
      </c>
      <c r="F512" s="630">
        <v>12663</v>
      </c>
      <c r="G512" s="630">
        <v>8334</v>
      </c>
      <c r="H512" s="630">
        <v>66</v>
      </c>
      <c r="I512" s="630">
        <v>0</v>
      </c>
      <c r="J512" s="630">
        <v>28</v>
      </c>
      <c r="K512" s="713" t="s">
        <v>705</v>
      </c>
    </row>
    <row r="513" spans="1:11" hidden="1">
      <c r="A513" s="630">
        <v>4</v>
      </c>
      <c r="B513" s="632" t="s">
        <v>155</v>
      </c>
      <c r="C513" s="713">
        <v>2863</v>
      </c>
      <c r="D513" s="713">
        <v>4</v>
      </c>
      <c r="E513" s="713" t="s">
        <v>243</v>
      </c>
      <c r="F513" s="630">
        <v>5796</v>
      </c>
      <c r="G513" s="630">
        <v>5673</v>
      </c>
      <c r="H513" s="630">
        <v>98</v>
      </c>
      <c r="I513" s="630">
        <v>0</v>
      </c>
      <c r="J513" s="630">
        <v>28</v>
      </c>
      <c r="K513" s="713" t="s">
        <v>705</v>
      </c>
    </row>
    <row r="514" spans="1:11" hidden="1">
      <c r="A514" s="630">
        <v>5</v>
      </c>
      <c r="B514" s="632" t="s">
        <v>989</v>
      </c>
      <c r="C514" s="713">
        <v>2865</v>
      </c>
      <c r="D514" s="713">
        <v>5</v>
      </c>
      <c r="E514" s="713" t="s">
        <v>243</v>
      </c>
      <c r="F514" s="630">
        <v>121150</v>
      </c>
      <c r="G514" s="630">
        <v>118402</v>
      </c>
      <c r="H514" s="630">
        <v>98</v>
      </c>
      <c r="I514" s="630">
        <v>5</v>
      </c>
      <c r="J514" s="630">
        <v>28</v>
      </c>
      <c r="K514" s="713" t="s">
        <v>574</v>
      </c>
    </row>
    <row r="515" spans="1:11" hidden="1">
      <c r="A515" s="630">
        <v>6</v>
      </c>
      <c r="B515" s="632" t="s">
        <v>990</v>
      </c>
      <c r="C515" s="713">
        <v>2868</v>
      </c>
      <c r="D515" s="713">
        <v>6</v>
      </c>
      <c r="E515" s="713" t="s">
        <v>243</v>
      </c>
      <c r="F515" s="630">
        <v>88507</v>
      </c>
      <c r="G515" s="630">
        <v>88072</v>
      </c>
      <c r="H515" s="630">
        <v>100</v>
      </c>
      <c r="I515" s="630">
        <v>0</v>
      </c>
      <c r="J515" s="630">
        <v>28</v>
      </c>
      <c r="K515" s="713" t="s">
        <v>705</v>
      </c>
    </row>
    <row r="516" spans="1:11" hidden="1">
      <c r="A516" s="630">
        <v>7</v>
      </c>
      <c r="B516" s="632" t="s">
        <v>991</v>
      </c>
      <c r="C516" s="713">
        <v>2858</v>
      </c>
      <c r="D516" s="713">
        <v>7</v>
      </c>
      <c r="E516" s="713" t="s">
        <v>243</v>
      </c>
      <c r="F516" s="630">
        <v>255656</v>
      </c>
      <c r="G516" s="630">
        <v>246887</v>
      </c>
      <c r="H516" s="630">
        <v>97</v>
      </c>
      <c r="I516" s="630">
        <v>9</v>
      </c>
      <c r="J516" s="630">
        <v>28</v>
      </c>
      <c r="K516" s="713" t="s">
        <v>574</v>
      </c>
    </row>
    <row r="517" spans="1:11" hidden="1">
      <c r="A517" s="630">
        <v>8</v>
      </c>
      <c r="B517" s="632" t="s">
        <v>128</v>
      </c>
      <c r="C517" s="713">
        <v>2860</v>
      </c>
      <c r="D517" s="713">
        <v>8</v>
      </c>
      <c r="E517" s="713" t="s">
        <v>243</v>
      </c>
      <c r="F517" s="630">
        <v>151390</v>
      </c>
      <c r="G517" s="630">
        <v>150636</v>
      </c>
      <c r="H517" s="630">
        <v>100</v>
      </c>
      <c r="I517" s="630">
        <v>0</v>
      </c>
      <c r="J517" s="630">
        <v>28</v>
      </c>
      <c r="K517" s="713" t="s">
        <v>705</v>
      </c>
    </row>
    <row r="518" spans="1:11" hidden="1">
      <c r="A518" s="630">
        <v>9</v>
      </c>
      <c r="B518" s="632" t="s">
        <v>129</v>
      </c>
      <c r="C518" s="713">
        <v>3145</v>
      </c>
      <c r="D518" s="713">
        <v>9</v>
      </c>
      <c r="E518" s="713" t="s">
        <v>243</v>
      </c>
      <c r="F518" s="630">
        <v>34326</v>
      </c>
      <c r="G518" s="630">
        <v>34212</v>
      </c>
      <c r="H518" s="630">
        <v>100</v>
      </c>
      <c r="I518" s="630">
        <v>15</v>
      </c>
      <c r="J518" s="630">
        <v>28</v>
      </c>
      <c r="K518" s="713" t="s">
        <v>1111</v>
      </c>
    </row>
    <row r="519" spans="1:11" hidden="1">
      <c r="A519" s="630">
        <v>10</v>
      </c>
      <c r="B519" s="632" t="s">
        <v>130</v>
      </c>
      <c r="C519" s="713">
        <v>783</v>
      </c>
      <c r="D519" s="713">
        <v>10</v>
      </c>
      <c r="E519" s="713" t="s">
        <v>243</v>
      </c>
      <c r="F519" s="630">
        <v>91185</v>
      </c>
      <c r="G519" s="630">
        <v>90971</v>
      </c>
      <c r="H519" s="630">
        <v>100</v>
      </c>
      <c r="I519" s="630">
        <v>0</v>
      </c>
      <c r="J519" s="630">
        <v>28</v>
      </c>
      <c r="K519" s="713" t="s">
        <v>705</v>
      </c>
    </row>
    <row r="520" spans="1:11" hidden="1">
      <c r="A520" s="630">
        <v>11</v>
      </c>
      <c r="B520" s="632" t="s">
        <v>131</v>
      </c>
      <c r="C520" s="713">
        <v>2857</v>
      </c>
      <c r="D520" s="713">
        <v>11</v>
      </c>
      <c r="E520" s="713" t="s">
        <v>243</v>
      </c>
      <c r="F520" s="630">
        <v>11183</v>
      </c>
      <c r="G520" s="630">
        <v>11131</v>
      </c>
      <c r="H520" s="630">
        <v>100</v>
      </c>
      <c r="I520" s="630">
        <v>28</v>
      </c>
      <c r="J520" s="630">
        <v>28</v>
      </c>
      <c r="K520" s="713" t="s">
        <v>100</v>
      </c>
    </row>
    <row r="521" spans="1:11" hidden="1">
      <c r="A521" s="630">
        <v>12</v>
      </c>
      <c r="B521" s="632" t="s">
        <v>132</v>
      </c>
      <c r="C521" s="713">
        <v>792</v>
      </c>
      <c r="D521" s="713">
        <v>12</v>
      </c>
      <c r="E521" s="713" t="s">
        <v>243</v>
      </c>
      <c r="F521" s="630">
        <v>61215</v>
      </c>
      <c r="G521" s="630">
        <v>61185</v>
      </c>
      <c r="H521" s="630">
        <v>100</v>
      </c>
      <c r="I521" s="630">
        <v>0</v>
      </c>
      <c r="J521" s="630">
        <v>28</v>
      </c>
      <c r="K521" s="713" t="s">
        <v>705</v>
      </c>
    </row>
    <row r="522" spans="1:11" hidden="1">
      <c r="A522" s="630">
        <v>13</v>
      </c>
      <c r="B522" s="632" t="s">
        <v>133</v>
      </c>
      <c r="C522" s="713">
        <v>795</v>
      </c>
      <c r="D522" s="713">
        <v>13</v>
      </c>
      <c r="E522" s="713" t="s">
        <v>243</v>
      </c>
      <c r="F522" s="630">
        <v>72139</v>
      </c>
      <c r="G522" s="630">
        <v>71736</v>
      </c>
      <c r="H522" s="630">
        <v>99</v>
      </c>
      <c r="I522" s="630">
        <v>0</v>
      </c>
      <c r="J522" s="630">
        <v>28</v>
      </c>
      <c r="K522" s="713" t="s">
        <v>705</v>
      </c>
    </row>
    <row r="523" spans="1:11" hidden="1">
      <c r="A523" s="630">
        <v>14</v>
      </c>
      <c r="B523" s="632" t="s">
        <v>189</v>
      </c>
      <c r="C523" s="713">
        <v>2862</v>
      </c>
      <c r="D523" s="713">
        <v>14</v>
      </c>
      <c r="E523" s="713" t="s">
        <v>245</v>
      </c>
      <c r="F523" s="630">
        <v>97126</v>
      </c>
      <c r="G523" s="630">
        <v>77158</v>
      </c>
      <c r="H523" s="630">
        <v>79</v>
      </c>
      <c r="I523" s="630">
        <v>0</v>
      </c>
      <c r="J523" s="630">
        <v>28</v>
      </c>
      <c r="K523" s="713" t="s">
        <v>705</v>
      </c>
    </row>
    <row r="524" spans="1:11" hidden="1">
      <c r="A524" s="630"/>
      <c r="B524" s="631" t="s">
        <v>190</v>
      </c>
      <c r="C524" s="713"/>
      <c r="D524" s="713"/>
      <c r="E524" s="713"/>
      <c r="F524" s="630"/>
      <c r="G524" s="630"/>
      <c r="H524" s="630"/>
      <c r="I524" s="630"/>
      <c r="J524" s="630"/>
      <c r="K524" s="713"/>
    </row>
    <row r="525" spans="1:11" hidden="1">
      <c r="A525" s="630">
        <v>1</v>
      </c>
      <c r="B525" s="632" t="s">
        <v>901</v>
      </c>
      <c r="C525" s="713" t="s">
        <v>902</v>
      </c>
      <c r="D525" s="713">
        <v>1</v>
      </c>
      <c r="E525" s="713" t="s">
        <v>790</v>
      </c>
      <c r="F525" s="630"/>
      <c r="G525" s="630"/>
      <c r="H525" s="630"/>
      <c r="I525" s="630"/>
      <c r="J525" s="630"/>
      <c r="K525" s="713"/>
    </row>
    <row r="526" spans="1:11" hidden="1">
      <c r="A526" s="630">
        <v>2</v>
      </c>
      <c r="B526" s="632" t="s">
        <v>191</v>
      </c>
      <c r="C526" s="713">
        <v>804</v>
      </c>
      <c r="D526" s="713">
        <v>2</v>
      </c>
      <c r="E526" s="713" t="s">
        <v>243</v>
      </c>
      <c r="F526" s="630">
        <v>66828</v>
      </c>
      <c r="G526" s="630">
        <v>66570</v>
      </c>
      <c r="H526" s="630">
        <v>100</v>
      </c>
      <c r="I526" s="630">
        <v>0</v>
      </c>
      <c r="J526" s="630">
        <v>24</v>
      </c>
      <c r="K526" s="713" t="s">
        <v>705</v>
      </c>
    </row>
    <row r="527" spans="1:11" hidden="1">
      <c r="A527" s="630"/>
      <c r="B527" s="631" t="s">
        <v>192</v>
      </c>
      <c r="C527" s="713"/>
      <c r="D527" s="713"/>
      <c r="E527" s="713"/>
      <c r="F527" s="630"/>
      <c r="G527" s="630"/>
      <c r="H527" s="630"/>
      <c r="I527" s="630"/>
      <c r="J527" s="630"/>
      <c r="K527" s="713"/>
    </row>
    <row r="528" spans="1:11" hidden="1">
      <c r="A528" s="630">
        <v>1</v>
      </c>
      <c r="B528" s="632" t="s">
        <v>901</v>
      </c>
      <c r="C528" s="713" t="s">
        <v>902</v>
      </c>
      <c r="D528" s="713">
        <v>1</v>
      </c>
      <c r="E528" s="713" t="s">
        <v>790</v>
      </c>
      <c r="F528" s="630"/>
      <c r="G528" s="630"/>
      <c r="H528" s="630"/>
      <c r="I528" s="630"/>
      <c r="J528" s="630"/>
      <c r="K528" s="713"/>
    </row>
    <row r="529" spans="1:11" hidden="1">
      <c r="A529" s="630">
        <v>2</v>
      </c>
      <c r="B529" s="632" t="s">
        <v>193</v>
      </c>
      <c r="C529" s="713">
        <v>766</v>
      </c>
      <c r="D529" s="713">
        <v>2</v>
      </c>
      <c r="E529" s="713" t="s">
        <v>243</v>
      </c>
      <c r="F529" s="630">
        <v>23428</v>
      </c>
      <c r="G529" s="630">
        <v>23345</v>
      </c>
      <c r="H529" s="630">
        <v>100</v>
      </c>
      <c r="I529" s="630">
        <v>0</v>
      </c>
      <c r="J529" s="630">
        <v>28</v>
      </c>
      <c r="K529" s="713" t="s">
        <v>705</v>
      </c>
    </row>
    <row r="530" spans="1:11" hidden="1">
      <c r="A530" s="630">
        <v>3</v>
      </c>
      <c r="B530" s="632" t="s">
        <v>194</v>
      </c>
      <c r="C530" s="713">
        <v>767</v>
      </c>
      <c r="D530" s="713">
        <v>3</v>
      </c>
      <c r="E530" s="713" t="s">
        <v>243</v>
      </c>
      <c r="F530" s="630">
        <v>1837</v>
      </c>
      <c r="G530" s="630">
        <v>1837</v>
      </c>
      <c r="H530" s="630">
        <v>100</v>
      </c>
      <c r="I530" s="630">
        <v>0</v>
      </c>
      <c r="J530" s="630">
        <v>28</v>
      </c>
      <c r="K530" s="713" t="s">
        <v>705</v>
      </c>
    </row>
    <row r="531" spans="1:11" hidden="1">
      <c r="A531" s="630">
        <v>4</v>
      </c>
      <c r="B531" s="632" t="s">
        <v>195</v>
      </c>
      <c r="C531" s="713">
        <v>769</v>
      </c>
      <c r="D531" s="713">
        <v>4</v>
      </c>
      <c r="E531" s="713" t="s">
        <v>243</v>
      </c>
      <c r="F531" s="630">
        <v>104137</v>
      </c>
      <c r="G531" s="630">
        <v>104041</v>
      </c>
      <c r="H531" s="630">
        <v>100</v>
      </c>
      <c r="I531" s="630">
        <v>37</v>
      </c>
      <c r="J531" s="630">
        <v>28</v>
      </c>
      <c r="K531" s="713" t="s">
        <v>100</v>
      </c>
    </row>
    <row r="532" spans="1:11" hidden="1">
      <c r="A532" s="630">
        <v>5</v>
      </c>
      <c r="B532" s="632" t="s">
        <v>196</v>
      </c>
      <c r="C532" s="713">
        <v>770</v>
      </c>
      <c r="D532" s="713">
        <v>5</v>
      </c>
      <c r="E532" s="713" t="s">
        <v>243</v>
      </c>
      <c r="F532" s="630">
        <v>12756</v>
      </c>
      <c r="G532" s="630">
        <v>12703</v>
      </c>
      <c r="H532" s="630">
        <v>100</v>
      </c>
      <c r="I532" s="630">
        <v>0</v>
      </c>
      <c r="J532" s="630">
        <v>28</v>
      </c>
      <c r="K532" s="713" t="s">
        <v>705</v>
      </c>
    </row>
    <row r="533" spans="1:11" hidden="1">
      <c r="A533" s="630">
        <v>6</v>
      </c>
      <c r="B533" s="632" t="s">
        <v>197</v>
      </c>
      <c r="C533" s="713">
        <v>789</v>
      </c>
      <c r="D533" s="713">
        <v>6</v>
      </c>
      <c r="E533" s="713" t="s">
        <v>243</v>
      </c>
      <c r="F533" s="630">
        <v>26075</v>
      </c>
      <c r="G533" s="630">
        <v>25935</v>
      </c>
      <c r="H533" s="630">
        <v>99</v>
      </c>
      <c r="I533" s="630">
        <v>0</v>
      </c>
      <c r="J533" s="630">
        <v>28</v>
      </c>
      <c r="K533" s="713" t="s">
        <v>705</v>
      </c>
    </row>
    <row r="534" spans="1:11" hidden="1">
      <c r="A534" s="630">
        <v>7</v>
      </c>
      <c r="B534" s="632" t="s">
        <v>198</v>
      </c>
      <c r="C534" s="713">
        <v>772</v>
      </c>
      <c r="D534" s="713">
        <v>7</v>
      </c>
      <c r="E534" s="713" t="s">
        <v>243</v>
      </c>
      <c r="F534" s="630">
        <v>17078</v>
      </c>
      <c r="G534" s="630">
        <v>17069</v>
      </c>
      <c r="H534" s="630">
        <v>100</v>
      </c>
      <c r="I534" s="630">
        <v>0</v>
      </c>
      <c r="J534" s="630">
        <v>28</v>
      </c>
      <c r="K534" s="713" t="s">
        <v>705</v>
      </c>
    </row>
    <row r="535" spans="1:11" hidden="1">
      <c r="A535" s="630">
        <v>8</v>
      </c>
      <c r="B535" s="632" t="s">
        <v>199</v>
      </c>
      <c r="C535" s="713">
        <v>2876</v>
      </c>
      <c r="D535" s="713">
        <v>8</v>
      </c>
      <c r="E535" s="713" t="s">
        <v>243</v>
      </c>
      <c r="F535" s="630">
        <v>42532</v>
      </c>
      <c r="G535" s="630">
        <v>41868</v>
      </c>
      <c r="H535" s="630">
        <v>98</v>
      </c>
      <c r="I535" s="630">
        <v>2</v>
      </c>
      <c r="J535" s="630">
        <v>28</v>
      </c>
      <c r="K535" s="713" t="s">
        <v>574</v>
      </c>
    </row>
    <row r="536" spans="1:11" hidden="1">
      <c r="A536" s="630">
        <v>9</v>
      </c>
      <c r="B536" s="632" t="s">
        <v>1043</v>
      </c>
      <c r="C536" s="713">
        <v>2855</v>
      </c>
      <c r="D536" s="713">
        <v>9</v>
      </c>
      <c r="E536" s="713" t="s">
        <v>243</v>
      </c>
      <c r="F536" s="630">
        <v>380919</v>
      </c>
      <c r="G536" s="630">
        <v>357909</v>
      </c>
      <c r="H536" s="630">
        <v>94</v>
      </c>
      <c r="I536" s="630">
        <v>1</v>
      </c>
      <c r="J536" s="630">
        <v>28</v>
      </c>
      <c r="K536" s="713" t="s">
        <v>1094</v>
      </c>
    </row>
    <row r="537" spans="1:11" hidden="1">
      <c r="A537" s="630">
        <v>10</v>
      </c>
      <c r="B537" s="632" t="s">
        <v>1044</v>
      </c>
      <c r="C537" s="713">
        <v>2854</v>
      </c>
      <c r="D537" s="713">
        <v>10</v>
      </c>
      <c r="E537" s="713" t="s">
        <v>243</v>
      </c>
      <c r="F537" s="630">
        <v>1093611</v>
      </c>
      <c r="G537" s="630">
        <v>1039202</v>
      </c>
      <c r="H537" s="630">
        <v>95</v>
      </c>
      <c r="I537" s="630">
        <v>5</v>
      </c>
      <c r="J537" s="630">
        <v>28</v>
      </c>
      <c r="K537" s="713" t="s">
        <v>574</v>
      </c>
    </row>
    <row r="538" spans="1:11" hidden="1">
      <c r="A538" s="630">
        <v>11</v>
      </c>
      <c r="B538" s="632" t="s">
        <v>1045</v>
      </c>
      <c r="C538" s="713">
        <v>4198</v>
      </c>
      <c r="D538" s="713">
        <v>11</v>
      </c>
      <c r="E538" s="713" t="s">
        <v>243</v>
      </c>
      <c r="F538" s="630">
        <v>97793</v>
      </c>
      <c r="G538" s="630">
        <v>97144</v>
      </c>
      <c r="H538" s="630">
        <v>99</v>
      </c>
      <c r="I538" s="630">
        <v>0</v>
      </c>
      <c r="J538" s="630">
        <v>28</v>
      </c>
      <c r="K538" s="713" t="s">
        <v>705</v>
      </c>
    </row>
    <row r="539" spans="1:11" hidden="1">
      <c r="A539" s="630">
        <v>12</v>
      </c>
      <c r="B539" s="632" t="s">
        <v>286</v>
      </c>
      <c r="C539" s="713">
        <v>787</v>
      </c>
      <c r="D539" s="713">
        <v>12</v>
      </c>
      <c r="E539" s="713" t="s">
        <v>243</v>
      </c>
      <c r="F539" s="630">
        <v>12928</v>
      </c>
      <c r="G539" s="630">
        <v>12862</v>
      </c>
      <c r="H539" s="630">
        <v>99</v>
      </c>
      <c r="I539" s="630">
        <v>0</v>
      </c>
      <c r="J539" s="630">
        <v>28</v>
      </c>
      <c r="K539" s="713" t="s">
        <v>705</v>
      </c>
    </row>
    <row r="540" spans="1:11" hidden="1">
      <c r="A540" s="630">
        <v>13</v>
      </c>
      <c r="B540" s="632" t="s">
        <v>287</v>
      </c>
      <c r="C540" s="713">
        <v>788</v>
      </c>
      <c r="D540" s="713">
        <v>13</v>
      </c>
      <c r="E540" s="713" t="s">
        <v>243</v>
      </c>
      <c r="F540" s="630">
        <v>5055</v>
      </c>
      <c r="G540" s="630">
        <v>5055</v>
      </c>
      <c r="H540" s="630">
        <v>100</v>
      </c>
      <c r="I540" s="630">
        <v>97</v>
      </c>
      <c r="J540" s="630">
        <v>28</v>
      </c>
      <c r="K540" s="713" t="s">
        <v>100</v>
      </c>
    </row>
    <row r="541" spans="1:11" hidden="1">
      <c r="A541" s="630">
        <v>14</v>
      </c>
      <c r="B541" s="632" t="s">
        <v>288</v>
      </c>
      <c r="C541" s="713">
        <v>794</v>
      </c>
      <c r="D541" s="713">
        <v>14</v>
      </c>
      <c r="E541" s="713" t="s">
        <v>243</v>
      </c>
      <c r="F541" s="630">
        <v>36558</v>
      </c>
      <c r="G541" s="630">
        <v>36433</v>
      </c>
      <c r="H541" s="630">
        <v>100</v>
      </c>
      <c r="I541" s="630">
        <v>0</v>
      </c>
      <c r="J541" s="630">
        <v>28</v>
      </c>
      <c r="K541" s="713" t="s">
        <v>705</v>
      </c>
    </row>
    <row r="542" spans="1:11" hidden="1">
      <c r="A542" s="630">
        <v>15</v>
      </c>
      <c r="B542" s="632" t="s">
        <v>289</v>
      </c>
      <c r="C542" s="713">
        <v>801</v>
      </c>
      <c r="D542" s="713">
        <v>15</v>
      </c>
      <c r="E542" s="713" t="s">
        <v>243</v>
      </c>
      <c r="F542" s="630">
        <v>18989</v>
      </c>
      <c r="G542" s="630">
        <v>18976</v>
      </c>
      <c r="H542" s="630">
        <v>100</v>
      </c>
      <c r="I542" s="630">
        <v>0</v>
      </c>
      <c r="J542" s="630">
        <v>28</v>
      </c>
      <c r="K542" s="713" t="s">
        <v>705</v>
      </c>
    </row>
    <row r="543" spans="1:11" hidden="1">
      <c r="A543" s="630">
        <v>16</v>
      </c>
      <c r="B543" s="632" t="s">
        <v>290</v>
      </c>
      <c r="C543" s="713">
        <v>805</v>
      </c>
      <c r="D543" s="713">
        <v>16</v>
      </c>
      <c r="E543" s="713" t="s">
        <v>243</v>
      </c>
      <c r="F543" s="630">
        <v>6587</v>
      </c>
      <c r="G543" s="630">
        <v>6587</v>
      </c>
      <c r="H543" s="630">
        <v>100</v>
      </c>
      <c r="I543" s="630">
        <v>2</v>
      </c>
      <c r="J543" s="630">
        <v>28</v>
      </c>
      <c r="K543" s="713" t="s">
        <v>574</v>
      </c>
    </row>
    <row r="544" spans="1:11" hidden="1">
      <c r="A544" s="630">
        <v>17</v>
      </c>
      <c r="B544" s="632" t="s">
        <v>138</v>
      </c>
      <c r="C544" s="713">
        <v>808</v>
      </c>
      <c r="D544" s="713">
        <v>17</v>
      </c>
      <c r="E544" s="713" t="s">
        <v>243</v>
      </c>
      <c r="F544" s="630">
        <v>43285</v>
      </c>
      <c r="G544" s="630">
        <v>43232</v>
      </c>
      <c r="H544" s="630">
        <v>100</v>
      </c>
      <c r="I544" s="630">
        <v>0</v>
      </c>
      <c r="J544" s="630">
        <v>28</v>
      </c>
      <c r="K544" s="713" t="s">
        <v>705</v>
      </c>
    </row>
    <row r="545" spans="1:11" hidden="1">
      <c r="A545" s="630">
        <v>18</v>
      </c>
      <c r="B545" s="632" t="s">
        <v>139</v>
      </c>
      <c r="C545" s="713">
        <v>809</v>
      </c>
      <c r="D545" s="713">
        <v>18</v>
      </c>
      <c r="E545" s="713" t="s">
        <v>243</v>
      </c>
      <c r="F545" s="630">
        <v>19181</v>
      </c>
      <c r="G545" s="630">
        <v>19126</v>
      </c>
      <c r="H545" s="630">
        <v>100</v>
      </c>
      <c r="I545" s="630">
        <v>0</v>
      </c>
      <c r="J545" s="630">
        <v>28</v>
      </c>
      <c r="K545" s="713" t="s">
        <v>705</v>
      </c>
    </row>
    <row r="546" spans="1:11" hidden="1">
      <c r="A546" s="630">
        <v>19</v>
      </c>
      <c r="B546" s="632" t="s">
        <v>140</v>
      </c>
      <c r="C546" s="713">
        <v>780</v>
      </c>
      <c r="D546" s="713">
        <v>19</v>
      </c>
      <c r="E546" s="713" t="s">
        <v>243</v>
      </c>
      <c r="F546" s="630">
        <v>4903</v>
      </c>
      <c r="G546" s="630">
        <v>4903</v>
      </c>
      <c r="H546" s="630">
        <v>100</v>
      </c>
      <c r="I546" s="630">
        <v>49</v>
      </c>
      <c r="J546" s="630">
        <v>28</v>
      </c>
      <c r="K546" s="713" t="s">
        <v>100</v>
      </c>
    </row>
    <row r="547" spans="1:11" hidden="1">
      <c r="A547" s="630"/>
      <c r="B547" s="631" t="s">
        <v>1112</v>
      </c>
      <c r="C547" s="713"/>
      <c r="D547" s="713"/>
      <c r="E547" s="713"/>
      <c r="F547" s="630"/>
      <c r="G547" s="630"/>
      <c r="H547" s="630"/>
      <c r="I547" s="630"/>
      <c r="J547" s="630"/>
      <c r="K547" s="713"/>
    </row>
    <row r="548" spans="1:11" hidden="1">
      <c r="A548" s="630">
        <v>1</v>
      </c>
      <c r="B548" s="632" t="s">
        <v>901</v>
      </c>
      <c r="C548" s="713" t="s">
        <v>902</v>
      </c>
      <c r="D548" s="713">
        <v>1</v>
      </c>
      <c r="E548" s="713" t="s">
        <v>790</v>
      </c>
      <c r="F548" s="630"/>
      <c r="G548" s="630"/>
      <c r="H548" s="630"/>
      <c r="I548" s="630"/>
      <c r="J548" s="630"/>
      <c r="K548" s="713"/>
    </row>
    <row r="549" spans="1:11" hidden="1">
      <c r="A549" s="630">
        <v>2</v>
      </c>
      <c r="B549" s="632" t="s">
        <v>141</v>
      </c>
      <c r="C549" s="713">
        <v>2870</v>
      </c>
      <c r="D549" s="713">
        <v>2</v>
      </c>
      <c r="E549" s="713" t="s">
        <v>245</v>
      </c>
      <c r="F549" s="630">
        <v>5667</v>
      </c>
      <c r="G549" s="630">
        <v>4558</v>
      </c>
      <c r="H549" s="630">
        <v>80</v>
      </c>
      <c r="I549" s="630">
        <v>0</v>
      </c>
      <c r="J549" s="630">
        <v>24</v>
      </c>
      <c r="K549" s="713" t="s">
        <v>705</v>
      </c>
    </row>
    <row r="550" spans="1:11" hidden="1">
      <c r="A550" s="630">
        <v>3</v>
      </c>
      <c r="B550" s="632" t="s">
        <v>142</v>
      </c>
      <c r="C550" s="713">
        <v>829</v>
      </c>
      <c r="D550" s="713">
        <v>3</v>
      </c>
      <c r="E550" s="713" t="s">
        <v>245</v>
      </c>
      <c r="F550" s="630">
        <v>9868</v>
      </c>
      <c r="G550" s="630">
        <v>7126</v>
      </c>
      <c r="H550" s="630">
        <v>72</v>
      </c>
      <c r="I550" s="630">
        <v>2</v>
      </c>
      <c r="J550" s="630">
        <v>24</v>
      </c>
      <c r="K550" s="713" t="s">
        <v>574</v>
      </c>
    </row>
    <row r="551" spans="1:11" hidden="1">
      <c r="A551" s="630">
        <v>4</v>
      </c>
      <c r="B551" s="632" t="s">
        <v>143</v>
      </c>
      <c r="C551" s="713">
        <v>862</v>
      </c>
      <c r="D551" s="713">
        <v>4</v>
      </c>
      <c r="E551" s="713" t="s">
        <v>243</v>
      </c>
      <c r="F551" s="630">
        <v>376</v>
      </c>
      <c r="G551" s="630">
        <v>350</v>
      </c>
      <c r="H551" s="630">
        <v>93</v>
      </c>
      <c r="I551" s="630">
        <v>0</v>
      </c>
      <c r="J551" s="630">
        <v>24</v>
      </c>
      <c r="K551" s="713" t="s">
        <v>705</v>
      </c>
    </row>
    <row r="552" spans="1:11" hidden="1">
      <c r="A552" s="630"/>
      <c r="B552" s="631" t="s">
        <v>144</v>
      </c>
      <c r="C552" s="713"/>
      <c r="D552" s="713"/>
      <c r="E552" s="713"/>
      <c r="F552" s="630"/>
      <c r="G552" s="630"/>
      <c r="H552" s="630"/>
      <c r="I552" s="630"/>
      <c r="J552" s="630"/>
      <c r="K552" s="713"/>
    </row>
    <row r="553" spans="1:11" hidden="1">
      <c r="A553" s="630">
        <v>1</v>
      </c>
      <c r="B553" s="632" t="s">
        <v>901</v>
      </c>
      <c r="C553" s="713" t="s">
        <v>902</v>
      </c>
      <c r="D553" s="713">
        <v>1</v>
      </c>
      <c r="E553" s="713" t="s">
        <v>790</v>
      </c>
      <c r="F553" s="630"/>
      <c r="G553" s="630"/>
      <c r="H553" s="630"/>
      <c r="I553" s="630"/>
      <c r="J553" s="630"/>
      <c r="K553" s="713"/>
    </row>
    <row r="554" spans="1:11" hidden="1">
      <c r="A554" s="630">
        <v>2</v>
      </c>
      <c r="B554" s="632" t="s">
        <v>145</v>
      </c>
      <c r="C554" s="713">
        <v>8047</v>
      </c>
      <c r="D554" s="713">
        <v>2</v>
      </c>
      <c r="E554" s="713" t="s">
        <v>245</v>
      </c>
      <c r="F554" s="630">
        <v>7488</v>
      </c>
      <c r="G554" s="630">
        <v>5573</v>
      </c>
      <c r="H554" s="630">
        <v>74</v>
      </c>
      <c r="I554" s="630">
        <v>9</v>
      </c>
      <c r="J554" s="630">
        <v>24</v>
      </c>
      <c r="K554" s="713" t="s">
        <v>574</v>
      </c>
    </row>
    <row r="555" spans="1:11" hidden="1">
      <c r="A555" s="630">
        <v>3</v>
      </c>
      <c r="B555" s="632" t="s">
        <v>146</v>
      </c>
      <c r="C555" s="713">
        <v>9244</v>
      </c>
      <c r="D555" s="713">
        <v>3</v>
      </c>
      <c r="E555" s="713" t="s">
        <v>176</v>
      </c>
      <c r="F555" s="630">
        <v>20</v>
      </c>
      <c r="G555" s="630">
        <v>2</v>
      </c>
      <c r="H555" s="630">
        <v>12</v>
      </c>
      <c r="I555" s="630">
        <v>0</v>
      </c>
      <c r="J555" s="630">
        <v>24</v>
      </c>
      <c r="K555" s="713" t="s">
        <v>705</v>
      </c>
    </row>
    <row r="556" spans="1:11" hidden="1">
      <c r="A556" s="630">
        <v>4</v>
      </c>
      <c r="B556" s="632" t="s">
        <v>147</v>
      </c>
      <c r="C556" s="713">
        <v>8079</v>
      </c>
      <c r="D556" s="713">
        <v>4</v>
      </c>
      <c r="E556" s="713" t="s">
        <v>243</v>
      </c>
      <c r="F556" s="630">
        <v>1387</v>
      </c>
      <c r="G556" s="630">
        <v>1351</v>
      </c>
      <c r="H556" s="630">
        <v>97</v>
      </c>
      <c r="I556" s="630">
        <v>0</v>
      </c>
      <c r="J556" s="630">
        <v>24</v>
      </c>
      <c r="K556" s="713" t="s">
        <v>705</v>
      </c>
    </row>
    <row r="557" spans="1:11" hidden="1">
      <c r="A557" s="630">
        <v>5</v>
      </c>
      <c r="B557" s="632" t="s">
        <v>1177</v>
      </c>
      <c r="C557" s="713">
        <v>960</v>
      </c>
      <c r="D557" s="713">
        <v>5</v>
      </c>
      <c r="E557" s="713" t="s">
        <v>245</v>
      </c>
      <c r="F557" s="630">
        <v>55677</v>
      </c>
      <c r="G557" s="630">
        <v>40440</v>
      </c>
      <c r="H557" s="630">
        <v>73</v>
      </c>
      <c r="I557" s="630">
        <v>4</v>
      </c>
      <c r="J557" s="630">
        <v>24</v>
      </c>
      <c r="K557" s="713" t="s">
        <v>574</v>
      </c>
    </row>
    <row r="558" spans="1:11" hidden="1">
      <c r="A558" s="630">
        <v>6</v>
      </c>
      <c r="B558" s="632" t="s">
        <v>536</v>
      </c>
      <c r="C558" s="713">
        <v>9237</v>
      </c>
      <c r="D558" s="713">
        <v>6</v>
      </c>
      <c r="E558" s="713" t="s">
        <v>243</v>
      </c>
      <c r="F558" s="630">
        <v>2662</v>
      </c>
      <c r="G558" s="630">
        <v>2655</v>
      </c>
      <c r="H558" s="630">
        <v>100</v>
      </c>
      <c r="I558" s="630">
        <v>4</v>
      </c>
      <c r="J558" s="630">
        <v>24</v>
      </c>
      <c r="K558" s="713" t="s">
        <v>574</v>
      </c>
    </row>
    <row r="559" spans="1:11" hidden="1">
      <c r="A559" s="630">
        <v>7</v>
      </c>
      <c r="B559" s="632" t="s">
        <v>51</v>
      </c>
      <c r="C559" s="713">
        <v>8081</v>
      </c>
      <c r="D559" s="713">
        <v>7</v>
      </c>
      <c r="E559" s="713" t="s">
        <v>243</v>
      </c>
      <c r="F559" s="630">
        <v>65646</v>
      </c>
      <c r="G559" s="630">
        <v>61891</v>
      </c>
      <c r="H559" s="630">
        <v>94</v>
      </c>
      <c r="I559" s="630">
        <v>40</v>
      </c>
      <c r="J559" s="630">
        <v>24</v>
      </c>
      <c r="K559" s="713" t="s">
        <v>100</v>
      </c>
    </row>
    <row r="560" spans="1:11" hidden="1">
      <c r="A560" s="630"/>
      <c r="B560" s="631" t="s">
        <v>52</v>
      </c>
      <c r="C560" s="713"/>
      <c r="D560" s="713"/>
      <c r="E560" s="713"/>
      <c r="F560" s="630"/>
      <c r="G560" s="630"/>
      <c r="H560" s="630"/>
      <c r="I560" s="630"/>
      <c r="J560" s="630"/>
      <c r="K560" s="713"/>
    </row>
    <row r="561" spans="1:11" hidden="1">
      <c r="A561" s="630">
        <v>1</v>
      </c>
      <c r="B561" s="632" t="s">
        <v>901</v>
      </c>
      <c r="C561" s="713" t="s">
        <v>902</v>
      </c>
      <c r="D561" s="713">
        <v>1</v>
      </c>
      <c r="E561" s="713" t="s">
        <v>790</v>
      </c>
      <c r="F561" s="630"/>
      <c r="G561" s="630"/>
      <c r="H561" s="630"/>
      <c r="I561" s="630"/>
      <c r="J561" s="630"/>
      <c r="K561" s="713"/>
    </row>
    <row r="562" spans="1:11" hidden="1">
      <c r="A562" s="630">
        <v>2</v>
      </c>
      <c r="B562" s="632" t="s">
        <v>53</v>
      </c>
      <c r="C562" s="713">
        <v>264</v>
      </c>
      <c r="D562" s="713">
        <v>2</v>
      </c>
      <c r="E562" s="713" t="s">
        <v>243</v>
      </c>
      <c r="F562" s="630">
        <v>470690</v>
      </c>
      <c r="G562" s="630">
        <v>451942</v>
      </c>
      <c r="H562" s="630">
        <v>96</v>
      </c>
      <c r="I562" s="630">
        <v>0</v>
      </c>
      <c r="J562" s="630">
        <v>24</v>
      </c>
      <c r="K562" s="713" t="s">
        <v>705</v>
      </c>
    </row>
    <row r="563" spans="1:11" hidden="1">
      <c r="A563" s="630">
        <v>3</v>
      </c>
      <c r="B563" s="632" t="s">
        <v>54</v>
      </c>
      <c r="C563" s="713">
        <v>8084</v>
      </c>
      <c r="D563" s="713">
        <v>3</v>
      </c>
      <c r="E563" s="713" t="s">
        <v>247</v>
      </c>
      <c r="F563" s="630">
        <v>8171</v>
      </c>
      <c r="G563" s="630">
        <v>4838</v>
      </c>
      <c r="H563" s="630">
        <v>59</v>
      </c>
      <c r="I563" s="630">
        <v>7</v>
      </c>
      <c r="J563" s="630">
        <v>24</v>
      </c>
      <c r="K563" s="713" t="s">
        <v>574</v>
      </c>
    </row>
    <row r="564" spans="1:11" hidden="1">
      <c r="A564" s="630">
        <v>4</v>
      </c>
      <c r="B564" s="632" t="s">
        <v>55</v>
      </c>
      <c r="C564" s="713">
        <v>869</v>
      </c>
      <c r="D564" s="713">
        <v>4</v>
      </c>
      <c r="E564" s="713" t="s">
        <v>243</v>
      </c>
      <c r="F564" s="630">
        <v>116231</v>
      </c>
      <c r="G564" s="630">
        <v>111887</v>
      </c>
      <c r="H564" s="630">
        <v>96</v>
      </c>
      <c r="I564" s="630">
        <v>0</v>
      </c>
      <c r="J564" s="630">
        <v>24</v>
      </c>
      <c r="K564" s="713" t="s">
        <v>1094</v>
      </c>
    </row>
    <row r="565" spans="1:11" hidden="1">
      <c r="A565" s="630">
        <v>5</v>
      </c>
      <c r="B565" s="632" t="s">
        <v>56</v>
      </c>
      <c r="C565" s="713">
        <v>899</v>
      </c>
      <c r="D565" s="713">
        <v>5</v>
      </c>
      <c r="E565" s="713" t="s">
        <v>243</v>
      </c>
      <c r="F565" s="630">
        <v>85472</v>
      </c>
      <c r="G565" s="630">
        <v>71156</v>
      </c>
      <c r="H565" s="630">
        <v>83</v>
      </c>
      <c r="I565" s="630">
        <v>0</v>
      </c>
      <c r="J565" s="630">
        <v>24</v>
      </c>
      <c r="K565" s="713" t="s">
        <v>1094</v>
      </c>
    </row>
    <row r="566" spans="1:11" hidden="1">
      <c r="A566" s="630">
        <v>6</v>
      </c>
      <c r="B566" s="632" t="s">
        <v>57</v>
      </c>
      <c r="C566" s="713">
        <v>2856</v>
      </c>
      <c r="D566" s="713">
        <v>6</v>
      </c>
      <c r="E566" s="713" t="s">
        <v>243</v>
      </c>
      <c r="F566" s="630">
        <v>9954</v>
      </c>
      <c r="G566" s="630">
        <v>9747</v>
      </c>
      <c r="H566" s="630">
        <v>98</v>
      </c>
      <c r="I566" s="630">
        <v>0</v>
      </c>
      <c r="J566" s="630">
        <v>24</v>
      </c>
      <c r="K566" s="713" t="s">
        <v>705</v>
      </c>
    </row>
    <row r="567" spans="1:11" hidden="1">
      <c r="A567" s="630">
        <v>7</v>
      </c>
      <c r="B567" s="632" t="s">
        <v>58</v>
      </c>
      <c r="C567" s="713">
        <v>870</v>
      </c>
      <c r="D567" s="713">
        <v>7</v>
      </c>
      <c r="E567" s="713" t="s">
        <v>243</v>
      </c>
      <c r="F567" s="630">
        <v>218123</v>
      </c>
      <c r="G567" s="630">
        <v>214549</v>
      </c>
      <c r="H567" s="630">
        <v>98</v>
      </c>
      <c r="I567" s="630">
        <v>16</v>
      </c>
      <c r="J567" s="630">
        <v>24</v>
      </c>
      <c r="K567" s="713" t="s">
        <v>1111</v>
      </c>
    </row>
    <row r="568" spans="1:11" hidden="1">
      <c r="A568" s="630">
        <v>8</v>
      </c>
      <c r="B568" s="632" t="s">
        <v>59</v>
      </c>
      <c r="C568" s="713">
        <v>1670</v>
      </c>
      <c r="D568" s="713">
        <v>8</v>
      </c>
      <c r="E568" s="713" t="s">
        <v>243</v>
      </c>
      <c r="F568" s="630">
        <v>88278</v>
      </c>
      <c r="G568" s="630">
        <v>87223</v>
      </c>
      <c r="H568" s="630">
        <v>99</v>
      </c>
      <c r="I568" s="630">
        <v>7</v>
      </c>
      <c r="J568" s="630">
        <v>24</v>
      </c>
      <c r="K568" s="713" t="s">
        <v>574</v>
      </c>
    </row>
    <row r="569" spans="1:11" hidden="1">
      <c r="A569" s="630">
        <v>9</v>
      </c>
      <c r="B569" s="632" t="s">
        <v>60</v>
      </c>
      <c r="C569" s="713">
        <v>885</v>
      </c>
      <c r="D569" s="713">
        <v>9</v>
      </c>
      <c r="E569" s="713" t="s">
        <v>243</v>
      </c>
      <c r="F569" s="630">
        <v>529865</v>
      </c>
      <c r="G569" s="630">
        <v>469129</v>
      </c>
      <c r="H569" s="630">
        <v>89</v>
      </c>
      <c r="I569" s="630">
        <v>1</v>
      </c>
      <c r="J569" s="630">
        <v>24</v>
      </c>
      <c r="K569" s="713" t="s">
        <v>1094</v>
      </c>
    </row>
    <row r="570" spans="1:11" hidden="1">
      <c r="A570" s="630">
        <v>10</v>
      </c>
      <c r="B570" s="632" t="s">
        <v>61</v>
      </c>
      <c r="C570" s="713">
        <v>9274</v>
      </c>
      <c r="D570" s="713">
        <v>10</v>
      </c>
      <c r="E570" s="713" t="s">
        <v>245</v>
      </c>
      <c r="F570" s="630">
        <v>3273</v>
      </c>
      <c r="G570" s="630">
        <v>2265</v>
      </c>
      <c r="H570" s="630">
        <v>69</v>
      </c>
      <c r="I570" s="630">
        <v>20</v>
      </c>
      <c r="J570" s="630">
        <v>24</v>
      </c>
      <c r="K570" s="713" t="s">
        <v>1111</v>
      </c>
    </row>
    <row r="571" spans="1:11" hidden="1">
      <c r="A571" s="630"/>
      <c r="B571" s="631" t="s">
        <v>62</v>
      </c>
      <c r="C571" s="713"/>
      <c r="D571" s="713"/>
      <c r="E571" s="713"/>
      <c r="F571" s="630"/>
      <c r="G571" s="630"/>
      <c r="H571" s="630"/>
      <c r="I571" s="630"/>
      <c r="J571" s="630"/>
      <c r="K571" s="713"/>
    </row>
    <row r="572" spans="1:11" hidden="1">
      <c r="A572" s="630">
        <v>1</v>
      </c>
      <c r="B572" s="632" t="s">
        <v>901</v>
      </c>
      <c r="C572" s="713" t="s">
        <v>902</v>
      </c>
      <c r="D572" s="713">
        <v>1</v>
      </c>
      <c r="E572" s="713" t="s">
        <v>790</v>
      </c>
      <c r="F572" s="630"/>
      <c r="G572" s="630"/>
      <c r="H572" s="630"/>
      <c r="I572" s="630"/>
      <c r="J572" s="630"/>
      <c r="K572" s="713"/>
    </row>
    <row r="573" spans="1:11" hidden="1">
      <c r="A573" s="630">
        <v>2</v>
      </c>
      <c r="B573" s="632" t="s">
        <v>63</v>
      </c>
      <c r="C573" s="713">
        <v>9246</v>
      </c>
      <c r="D573" s="713">
        <v>2</v>
      </c>
      <c r="E573" s="713" t="s">
        <v>243</v>
      </c>
      <c r="F573" s="630">
        <v>176</v>
      </c>
      <c r="G573" s="630">
        <v>176</v>
      </c>
      <c r="H573" s="630">
        <v>100</v>
      </c>
      <c r="I573" s="630">
        <v>0</v>
      </c>
      <c r="J573" s="630">
        <v>24</v>
      </c>
      <c r="K573" s="713" t="s">
        <v>705</v>
      </c>
    </row>
    <row r="574" spans="1:11" hidden="1">
      <c r="A574" s="618"/>
    </row>
    <row r="575" spans="1:11" hidden="1">
      <c r="A575" s="634"/>
    </row>
  </sheetData>
  <sheetProtection password="AD9B" sheet="1" objects="1" scenarios="1"/>
  <mergeCells count="7">
    <mergeCell ref="F3:H3"/>
    <mergeCell ref="T46:U46"/>
    <mergeCell ref="T48:U48"/>
    <mergeCell ref="T44:U44"/>
    <mergeCell ref="F22:G22"/>
    <mergeCell ref="H22:J22"/>
    <mergeCell ref="F7:H7"/>
  </mergeCells>
  <phoneticPr fontId="12" type="noConversion"/>
  <conditionalFormatting sqref="C24:D41 I24:I41">
    <cfRule type="cellIs" dxfId="2" priority="1" stopIfTrue="1" operator="notEqual">
      <formula>1</formula>
    </cfRule>
  </conditionalFormatting>
  <pageMargins left="0.59055118110236227" right="0.59055118110236227" top="0.47244094488188981" bottom="0.47244094488188981" header="0.23622047244094491" footer="0.35433070866141736"/>
  <pageSetup paperSize="9" scale="76" orientation="portrait" blackAndWhite="1" horizontalDpi="300" verticalDpi="300" r:id="rId1"/>
  <headerFooter alignWithMargins="0">
    <oddHeader>&amp;LGreen Building Council of South Africa&amp;R&amp;T   &amp;D</oddHeader>
    <oddFooter>&amp;L&amp;F&amp;CPage &amp;P of &amp;N&amp;RCategory: Land Use &amp; Ecology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7138" r:id="rId4" name="Button 2">
              <controlPr defaultSize="0" print="0" autoFill="0" autoPict="0" macro="[0]!GoToEcology">
                <anchor moveWithCells="1" sizeWithCells="1">
                  <from>
                    <xdr:col>1</xdr:col>
                    <xdr:colOff>3076575</xdr:colOff>
                    <xdr:row>46</xdr:row>
                    <xdr:rowOff>190500</xdr:rowOff>
                  </from>
                  <to>
                    <xdr:col>37</xdr:col>
                    <xdr:colOff>47625</xdr:colOff>
                    <xdr:row>48</xdr:row>
                    <xdr:rowOff>142875</xdr:rowOff>
                  </to>
                </anchor>
              </controlPr>
            </control>
          </mc:Choice>
        </mc:AlternateContent>
        <mc:AlternateContent xmlns:mc="http://schemas.openxmlformats.org/markup-compatibility/2006">
          <mc:Choice Requires="x14">
            <control shapeId="347139" r:id="rId5" name="Drop Down 3">
              <controlPr locked="0" defaultSize="0" autoLine="0" autoPict="0">
                <anchor moveWithCells="1">
                  <from>
                    <xdr:col>5</xdr:col>
                    <xdr:colOff>28575</xdr:colOff>
                    <xdr:row>10</xdr:row>
                    <xdr:rowOff>57150</xdr:rowOff>
                  </from>
                  <to>
                    <xdr:col>5</xdr:col>
                    <xdr:colOff>781050</xdr:colOff>
                    <xdr:row>10</xdr:row>
                    <xdr:rowOff>266700</xdr:rowOff>
                  </to>
                </anchor>
              </controlPr>
            </control>
          </mc:Choice>
        </mc:AlternateContent>
        <mc:AlternateContent xmlns:mc="http://schemas.openxmlformats.org/markup-compatibility/2006">
          <mc:Choice Requires="x14">
            <control shapeId="347141" r:id="rId6" name="Drop Down 5">
              <controlPr defaultSize="0" autoLine="0" autoPict="0">
                <anchor moveWithCells="1">
                  <from>
                    <xdr:col>5</xdr:col>
                    <xdr:colOff>28575</xdr:colOff>
                    <xdr:row>12</xdr:row>
                    <xdr:rowOff>161925</xdr:rowOff>
                  </from>
                  <to>
                    <xdr:col>6</xdr:col>
                    <xdr:colOff>714375</xdr:colOff>
                    <xdr:row>14</xdr:row>
                    <xdr:rowOff>28575</xdr:rowOff>
                  </to>
                </anchor>
              </controlPr>
            </control>
          </mc:Choice>
        </mc:AlternateContent>
        <mc:AlternateContent xmlns:mc="http://schemas.openxmlformats.org/markup-compatibility/2006">
          <mc:Choice Requires="x14">
            <control shapeId="347142" r:id="rId7" name="Drop Down 6">
              <controlPr defaultSize="0" autoLine="0" autoPict="0">
                <anchor moveWithCells="1">
                  <from>
                    <xdr:col>5</xdr:col>
                    <xdr:colOff>28575</xdr:colOff>
                    <xdr:row>14</xdr:row>
                    <xdr:rowOff>161925</xdr:rowOff>
                  </from>
                  <to>
                    <xdr:col>6</xdr:col>
                    <xdr:colOff>714375</xdr:colOff>
                    <xdr:row>20</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IU32"/>
  <sheetViews>
    <sheetView zoomScale="80" zoomScaleNormal="80" workbookViewId="0">
      <pane xSplit="2" ySplit="4" topLeftCell="C26" activePane="bottomRight" state="frozen"/>
      <selection pane="topRight"/>
      <selection pane="bottomLeft"/>
      <selection pane="bottomRight"/>
    </sheetView>
  </sheetViews>
  <sheetFormatPr defaultColWidth="7.875" defaultRowHeight="15"/>
  <cols>
    <col min="1" max="1" width="7.25" style="319" customWidth="1"/>
    <col min="2" max="2" width="15.125" style="319" customWidth="1"/>
    <col min="3" max="3" width="25.625" style="319" customWidth="1"/>
    <col min="4" max="4" width="64.875" style="319" customWidth="1"/>
    <col min="5" max="7" width="12.625" style="323" customWidth="1"/>
    <col min="8" max="8" width="31" style="324" customWidth="1"/>
    <col min="9" max="9" width="10.875" style="319" hidden="1" customWidth="1"/>
    <col min="10" max="11" width="8.875" style="319" customWidth="1"/>
    <col min="12" max="111" width="7.875" style="319"/>
    <col min="112" max="16384" width="7.875" style="318"/>
  </cols>
  <sheetData>
    <row r="1" spans="1:12" s="468" customFormat="1" ht="24" customHeight="1" thickBot="1">
      <c r="A1" s="600" t="str">
        <f>'Building Input'!B1</f>
        <v>Green Star SA - Public &amp; Education Building v1</v>
      </c>
      <c r="D1" s="1150"/>
      <c r="E1" s="275"/>
      <c r="F1" s="444" t="s">
        <v>134</v>
      </c>
      <c r="G1" s="445">
        <f>'Credit Summary'!J91</f>
        <v>7.0000000000000007E-2</v>
      </c>
      <c r="H1" s="443" t="s">
        <v>136</v>
      </c>
      <c r="I1" s="452"/>
    </row>
    <row r="2" spans="1:12" s="596" customFormat="1" ht="30" customHeight="1" thickBot="1">
      <c r="A2" s="272" t="s">
        <v>253</v>
      </c>
      <c r="D2" s="442" t="s">
        <v>135</v>
      </c>
      <c r="E2" s="1190">
        <f>E21</f>
        <v>17</v>
      </c>
      <c r="F2" s="1191">
        <f>F21</f>
        <v>0</v>
      </c>
      <c r="G2" s="1190">
        <f>G21</f>
        <v>0</v>
      </c>
      <c r="H2" s="1192">
        <f>'Credit Summary'!K91</f>
        <v>0</v>
      </c>
      <c r="I2" s="452"/>
    </row>
    <row r="3" spans="1:12" s="601" customFormat="1" ht="19.5" customHeight="1" thickBot="1">
      <c r="A3" s="458" t="s">
        <v>1037</v>
      </c>
      <c r="B3" s="459"/>
      <c r="C3" s="458" t="str">
        <f>IF('Building Input'!$C$5=0,"",'Building Input'!$C$5)</f>
        <v/>
      </c>
      <c r="D3" s="460"/>
      <c r="E3" s="275"/>
      <c r="F3" s="598" t="str">
        <f>IF(OR((I3=Calculation1!$B$84),(I3=Calculation1!$B$85),((F2+G2)&gt;E2)),Calculation1!$B$86,"")</f>
        <v/>
      </c>
      <c r="G3" s="275"/>
      <c r="H3" s="460"/>
      <c r="I3" s="467" t="str">
        <f>T(I5:I16)</f>
        <v>ERROR, text not valid!</v>
      </c>
    </row>
    <row r="4" spans="1:12" ht="43.5" customHeight="1" thickBot="1">
      <c r="A4" s="1207" t="s">
        <v>1039</v>
      </c>
      <c r="B4" s="1208" t="s">
        <v>1040</v>
      </c>
      <c r="C4" s="1208" t="s">
        <v>1041</v>
      </c>
      <c r="D4" s="1208" t="s">
        <v>1168</v>
      </c>
      <c r="E4" s="1209" t="s">
        <v>1169</v>
      </c>
      <c r="F4" s="1209" t="s">
        <v>451</v>
      </c>
      <c r="G4" s="1209" t="s">
        <v>452</v>
      </c>
      <c r="H4" s="1210" t="s">
        <v>453</v>
      </c>
    </row>
    <row r="5" spans="1:12" ht="25.5">
      <c r="A5" s="1161" t="s">
        <v>577</v>
      </c>
      <c r="B5" s="944" t="s">
        <v>494</v>
      </c>
      <c r="C5" s="857"/>
      <c r="D5" s="939" t="s">
        <v>2104</v>
      </c>
      <c r="E5" s="940" t="s">
        <v>1308</v>
      </c>
      <c r="F5" s="946" t="s">
        <v>1308</v>
      </c>
      <c r="G5" s="946" t="s">
        <v>1308</v>
      </c>
      <c r="H5" s="2095"/>
      <c r="I5" s="1151" t="str">
        <f>IF(OR(ISTEXT(F5)=TRUE,ISTEXT(G5)=TRUE),Calculation1!$B$87,IF(F5+G5&gt;E5,Calculation1!$B$84,""))</f>
        <v>ERROR, text not valid!</v>
      </c>
      <c r="J5" s="321"/>
      <c r="K5" s="322"/>
      <c r="L5" s="470"/>
    </row>
    <row r="6" spans="1:12" ht="26.25" customHeight="1">
      <c r="A6" s="1162" t="s">
        <v>578</v>
      </c>
      <c r="B6" s="857" t="s">
        <v>292</v>
      </c>
      <c r="C6" s="857"/>
      <c r="D6" s="939" t="s">
        <v>2104</v>
      </c>
      <c r="E6" s="940" t="s">
        <v>1308</v>
      </c>
      <c r="F6" s="946" t="s">
        <v>1308</v>
      </c>
      <c r="G6" s="946" t="s">
        <v>1308</v>
      </c>
      <c r="H6" s="2096"/>
      <c r="I6" s="1151" t="str">
        <f>IF(OR(ISTEXT(F6)=TRUE,ISTEXT(G6)=TRUE),Calculation1!$B$87,IF(F6+G6&gt;E6,Calculation1!$B$84,""))</f>
        <v>ERROR, text not valid!</v>
      </c>
      <c r="J6" s="321"/>
      <c r="K6" s="322"/>
      <c r="L6" s="470"/>
    </row>
    <row r="7" spans="1:12" ht="27.75" customHeight="1">
      <c r="A7" s="1162" t="s">
        <v>579</v>
      </c>
      <c r="B7" s="857" t="s">
        <v>293</v>
      </c>
      <c r="C7" s="857"/>
      <c r="D7" s="939" t="s">
        <v>2104</v>
      </c>
      <c r="E7" s="940" t="s">
        <v>1308</v>
      </c>
      <c r="F7" s="946" t="s">
        <v>1308</v>
      </c>
      <c r="G7" s="946" t="s">
        <v>1308</v>
      </c>
      <c r="H7" s="2096"/>
      <c r="I7" s="897" t="str">
        <f>IF(ISBLANK(F7),IF(G7&gt;E7,Calculation1!$B$84,""),IF(F7="na","",IF(OR(F7="na",ISNUMBER(F7)),IF(F7+G7&gt;E7,Calculation1!$B$84,""),Calculation1!$B$85)))</f>
        <v>ERROR, Value entered in 'No. of points achieved' must be a number or 'na'</v>
      </c>
      <c r="J7" s="321"/>
      <c r="K7" s="322"/>
      <c r="L7" s="470"/>
    </row>
    <row r="8" spans="1:12" ht="24.75" customHeight="1">
      <c r="A8" s="1163" t="s">
        <v>580</v>
      </c>
      <c r="B8" s="857" t="s">
        <v>298</v>
      </c>
      <c r="C8" s="857"/>
      <c r="D8" s="939" t="s">
        <v>2104</v>
      </c>
      <c r="E8" s="940" t="s">
        <v>1308</v>
      </c>
      <c r="F8" s="946" t="s">
        <v>1308</v>
      </c>
      <c r="G8" s="946" t="s">
        <v>1308</v>
      </c>
      <c r="H8" s="2096"/>
      <c r="I8" s="1151" t="str">
        <f>IF(OR(ISTEXT(F8)=TRUE,ISTEXT(G8)=TRUE),Calculation1!$B$87,IF(F8+G8&gt;E8,Calculation1!$B$84,""))</f>
        <v>ERROR, text not valid!</v>
      </c>
    </row>
    <row r="9" spans="1:12" ht="156.75" customHeight="1">
      <c r="A9" s="2679" t="s">
        <v>581</v>
      </c>
      <c r="B9" s="2680" t="s">
        <v>294</v>
      </c>
      <c r="C9" s="2681" t="s">
        <v>2089</v>
      </c>
      <c r="D9" s="1138" t="s">
        <v>2145</v>
      </c>
      <c r="E9" s="1172">
        <v>1</v>
      </c>
      <c r="F9" s="2097"/>
      <c r="G9" s="2097"/>
      <c r="H9" s="2673"/>
      <c r="I9" s="897" t="str">
        <f>IF(ISBLANK(F9),IF(G9&gt;E9,Calculation1!$B$84,""),IF(F9="na","",IF(OR(F9="na",ISNUMBER(F9)),IF(F9+G9&gt;E9,Calculation1!$B$84,""),Calculation1!$B$85)))</f>
        <v/>
      </c>
      <c r="J9" s="321"/>
      <c r="K9" s="322"/>
      <c r="L9" s="470"/>
    </row>
    <row r="10" spans="1:12" ht="88.5" customHeight="1">
      <c r="A10" s="2679"/>
      <c r="B10" s="2680"/>
      <c r="C10" s="2681"/>
      <c r="D10" s="1138" t="s">
        <v>2146</v>
      </c>
      <c r="E10" s="1172">
        <v>1</v>
      </c>
      <c r="F10" s="2097"/>
      <c r="G10" s="2097"/>
      <c r="H10" s="2674"/>
      <c r="I10" s="897" t="str">
        <f>IF(ISBLANK(F10),IF(G10&gt;E10,Calculation1!$B$84,""),IF(F10="na","",IF(OR(F10="na",ISNUMBER(F10)),IF(F10+G10&gt;E10,Calculation1!$B$84,""),Calculation1!$B$85)))</f>
        <v/>
      </c>
      <c r="J10" s="321"/>
      <c r="K10" s="322"/>
      <c r="L10" s="470"/>
    </row>
    <row r="11" spans="1:12" ht="98.25" customHeight="1" thickBot="1">
      <c r="A11" s="2679"/>
      <c r="B11" s="2680"/>
      <c r="C11" s="2681"/>
      <c r="D11" s="1138" t="s">
        <v>2147</v>
      </c>
      <c r="E11" s="1173">
        <f>IF(F11="na",0,1)</f>
        <v>1</v>
      </c>
      <c r="F11" s="2097"/>
      <c r="G11" s="2097"/>
      <c r="H11" s="2675"/>
      <c r="I11" s="897" t="str">
        <f>IF(ISBLANK(F11),IF(G11&gt;E11,Calculation1!$B$84,""),IF(F11="na","",IF(OR(F11="na",ISNUMBER(F11)),IF(F11+G11&gt;E11,Calculation1!$B$84,""),Calculation1!$B$85)))</f>
        <v/>
      </c>
      <c r="J11" s="321"/>
      <c r="K11" s="322"/>
      <c r="L11" s="470"/>
    </row>
    <row r="12" spans="1:12" ht="198" customHeight="1">
      <c r="A12" s="2676" t="s">
        <v>582</v>
      </c>
      <c r="B12" s="2677" t="s">
        <v>295</v>
      </c>
      <c r="C12" s="2678" t="s">
        <v>846</v>
      </c>
      <c r="D12" s="1137" t="s">
        <v>2039</v>
      </c>
      <c r="E12" s="1146">
        <v>4</v>
      </c>
      <c r="F12" s="1094" t="str">
        <f>IFERROR('Sewage Calculator'!G2,0)</f>
        <v>0</v>
      </c>
      <c r="G12" s="2050"/>
      <c r="H12" s="2622"/>
      <c r="I12" s="1151" t="str">
        <f>IF(OR(ISTEXT(F12)=TRUE,ISTEXT(G12)=TRUE),Calculation1!$B$87,IF(F12+G12&gt;E12,Calculation1!$B$84,""))</f>
        <v>ERROR, text not valid!</v>
      </c>
      <c r="J12" s="321"/>
      <c r="K12" s="322"/>
      <c r="L12" s="470"/>
    </row>
    <row r="13" spans="1:12" ht="137.25" customHeight="1">
      <c r="A13" s="2676"/>
      <c r="B13" s="2677"/>
      <c r="C13" s="2678"/>
      <c r="D13" s="1136" t="s">
        <v>2040</v>
      </c>
      <c r="E13" s="240">
        <f>IF(F13="na",0,1)</f>
        <v>1</v>
      </c>
      <c r="F13" s="2050"/>
      <c r="G13" s="2050"/>
      <c r="H13" s="2622"/>
      <c r="I13" s="897" t="str">
        <f>IF(ISBLANK(F13),IF(G13&gt;E13,Calculation1!$B$84,""),IF(F13="na","",IF(OR(F13="na",ISNUMBER(F13)),IF(F13+G13&gt;E13,Calculation1!$B$84,""),Calculation1!$B$85)))</f>
        <v/>
      </c>
      <c r="J13" s="321"/>
      <c r="K13" s="322"/>
      <c r="L13" s="470"/>
    </row>
    <row r="14" spans="1:12" ht="178.5" customHeight="1">
      <c r="A14" s="2011" t="s">
        <v>583</v>
      </c>
      <c r="B14" s="471" t="s">
        <v>296</v>
      </c>
      <c r="C14" s="2012" t="s">
        <v>847</v>
      </c>
      <c r="D14" s="1138" t="s">
        <v>2090</v>
      </c>
      <c r="E14" s="1146">
        <v>1</v>
      </c>
      <c r="F14" s="2050"/>
      <c r="G14" s="2050"/>
      <c r="H14" s="2117"/>
      <c r="I14" s="1151" t="str">
        <f>IF(OR(ISTEXT(F14)=TRUE,ISTEXT(G14)=TRUE),Calculation1!$B$87,IF(F14+G14&gt;E14,Calculation1!$B$84,""))</f>
        <v/>
      </c>
      <c r="J14" s="321"/>
      <c r="K14" s="322"/>
      <c r="L14" s="470"/>
    </row>
    <row r="15" spans="1:12" ht="297.75" customHeight="1">
      <c r="A15" s="2011" t="s">
        <v>584</v>
      </c>
      <c r="B15" s="471" t="s">
        <v>297</v>
      </c>
      <c r="C15" s="2012" t="s">
        <v>137</v>
      </c>
      <c r="D15" s="857" t="s">
        <v>2056</v>
      </c>
      <c r="E15" s="642">
        <v>1</v>
      </c>
      <c r="F15" s="2050"/>
      <c r="G15" s="2050"/>
      <c r="H15" s="2117"/>
      <c r="I15" s="1151" t="str">
        <f>IF(OR(ISTEXT(F15)=TRUE,ISTEXT(G15)=TRUE),Calculation1!$B$87,IF(F15+G15&gt;E15,Calculation1!$B$84,""))</f>
        <v/>
      </c>
      <c r="J15" s="321"/>
      <c r="K15" s="322"/>
      <c r="L15" s="470"/>
    </row>
    <row r="16" spans="1:12" ht="193.5" customHeight="1">
      <c r="A16" s="2013" t="s">
        <v>276</v>
      </c>
      <c r="B16" s="860" t="s">
        <v>1034</v>
      </c>
      <c r="C16" s="641" t="s">
        <v>50</v>
      </c>
      <c r="D16" s="1145" t="s">
        <v>2057</v>
      </c>
      <c r="E16" s="240">
        <f>IF(F16="na",0,1)</f>
        <v>1</v>
      </c>
      <c r="F16" s="2097"/>
      <c r="G16" s="2097"/>
      <c r="H16" s="853"/>
      <c r="I16" s="897" t="str">
        <f>IF(ISBLANK(F16),IF(G16&gt;E16,Calculation1!$B$84,""),IF(F16="na","",IF(OR(F16="na",ISNUMBER(F16)),IF(F16+G16&gt;E16,Calculation1!$B$84,""),Calculation1!$B$85)))</f>
        <v/>
      </c>
      <c r="J16" s="321"/>
      <c r="K16" s="322"/>
      <c r="L16" s="470"/>
    </row>
    <row r="17" spans="1:255" s="912" customFormat="1" ht="25.5">
      <c r="A17" s="938" t="s">
        <v>1459</v>
      </c>
      <c r="B17" s="857" t="s">
        <v>1377</v>
      </c>
      <c r="C17" s="857"/>
      <c r="D17" s="939" t="s">
        <v>2104</v>
      </c>
      <c r="E17" s="940" t="s">
        <v>1308</v>
      </c>
      <c r="F17" s="946" t="s">
        <v>1308</v>
      </c>
      <c r="G17" s="946" t="s">
        <v>1308</v>
      </c>
      <c r="H17" s="2047"/>
      <c r="I17" s="1151" t="str">
        <f>IF(OR(ISTEXT(F17)=TRUE,ISTEXT(G17)=TRUE),Calculation1!$B$87,IF(F17+G17&gt;E17,Calculation1!$B$84,""))</f>
        <v>ERROR, text not valid!</v>
      </c>
      <c r="J17" s="1144"/>
      <c r="K17" s="1144"/>
      <c r="L17" s="1144"/>
      <c r="M17" s="1144"/>
      <c r="N17" s="1144"/>
      <c r="O17" s="1144"/>
      <c r="P17" s="1144"/>
      <c r="Q17" s="1144"/>
      <c r="R17" s="1144"/>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1144"/>
      <c r="AS17" s="1144"/>
      <c r="AT17" s="1144"/>
      <c r="AU17" s="1144"/>
      <c r="AV17" s="1144"/>
      <c r="AW17" s="1144"/>
      <c r="AX17" s="1144"/>
      <c r="AY17" s="1144"/>
      <c r="AZ17" s="1144"/>
      <c r="BA17" s="1144"/>
      <c r="BB17" s="1144"/>
      <c r="BC17" s="1144"/>
      <c r="BD17" s="1144"/>
      <c r="BE17" s="1144"/>
      <c r="BF17" s="1144"/>
      <c r="BG17" s="1144"/>
      <c r="BH17" s="1144"/>
      <c r="BI17" s="1144"/>
      <c r="BJ17" s="1144"/>
      <c r="BK17" s="1144"/>
      <c r="BL17" s="1144"/>
      <c r="BM17" s="1144"/>
      <c r="BN17" s="1144"/>
      <c r="BO17" s="1144"/>
      <c r="BP17" s="1144"/>
      <c r="BQ17" s="1144"/>
      <c r="BR17" s="1144"/>
      <c r="BS17" s="1144"/>
      <c r="BT17" s="1144"/>
      <c r="BU17" s="1144"/>
      <c r="BV17" s="1144"/>
      <c r="BW17" s="1144"/>
      <c r="BX17" s="1144"/>
      <c r="BY17" s="1144"/>
      <c r="BZ17" s="1144"/>
      <c r="CA17" s="1144"/>
      <c r="CB17" s="1144"/>
      <c r="CC17" s="1144"/>
      <c r="CD17" s="1144"/>
      <c r="CE17" s="1144"/>
      <c r="CF17" s="1144"/>
      <c r="CG17" s="1144"/>
      <c r="CH17" s="1144"/>
      <c r="CI17" s="1144"/>
      <c r="CJ17" s="1144"/>
      <c r="CK17" s="1144"/>
      <c r="CL17" s="1144"/>
      <c r="CM17" s="1144"/>
      <c r="CN17" s="1144"/>
      <c r="CO17" s="1144"/>
      <c r="CP17" s="1144"/>
      <c r="CQ17" s="1144"/>
      <c r="CR17" s="1144"/>
      <c r="CS17" s="1144"/>
      <c r="CT17" s="1144"/>
      <c r="CU17" s="1144"/>
      <c r="CV17" s="1144"/>
      <c r="CW17" s="1144"/>
      <c r="CX17" s="1144"/>
      <c r="CY17" s="1144"/>
      <c r="CZ17" s="1144"/>
      <c r="DA17" s="1144"/>
      <c r="DB17" s="1144"/>
      <c r="DC17" s="1144"/>
      <c r="DD17" s="1144"/>
      <c r="DE17" s="1144"/>
      <c r="DF17" s="1144"/>
      <c r="DG17" s="1144"/>
      <c r="DH17" s="274"/>
      <c r="DI17" s="274"/>
      <c r="DJ17" s="274"/>
      <c r="DK17" s="274"/>
      <c r="DL17" s="274"/>
      <c r="DM17" s="274"/>
      <c r="DN17" s="274"/>
      <c r="DO17" s="274"/>
      <c r="DP17" s="274"/>
      <c r="DQ17" s="274"/>
      <c r="DR17" s="274"/>
      <c r="DS17" s="274"/>
      <c r="DT17" s="274"/>
      <c r="DU17" s="274"/>
      <c r="DV17" s="274"/>
      <c r="DW17" s="274"/>
      <c r="DX17" s="274"/>
      <c r="DY17" s="274"/>
      <c r="DZ17" s="274"/>
      <c r="EA17" s="274"/>
      <c r="EB17" s="274"/>
      <c r="EC17" s="274"/>
      <c r="ED17" s="274"/>
      <c r="EE17" s="274"/>
      <c r="EF17" s="274"/>
      <c r="EG17" s="274"/>
      <c r="EH17" s="274"/>
      <c r="EI17" s="274"/>
      <c r="EJ17" s="274"/>
      <c r="EK17" s="274"/>
      <c r="EL17" s="274"/>
      <c r="EM17" s="274"/>
      <c r="EN17" s="274"/>
      <c r="EO17" s="274"/>
      <c r="EP17" s="274"/>
      <c r="EQ17" s="274"/>
      <c r="ER17" s="274"/>
      <c r="ES17" s="274"/>
      <c r="ET17" s="274"/>
      <c r="EU17" s="274"/>
      <c r="EV17" s="274"/>
      <c r="EW17" s="274"/>
      <c r="EX17" s="274"/>
      <c r="EY17" s="274"/>
      <c r="EZ17" s="274"/>
      <c r="FA17" s="274"/>
      <c r="FB17" s="274"/>
      <c r="FC17" s="274"/>
      <c r="FD17" s="274"/>
      <c r="FE17" s="274"/>
      <c r="FF17" s="274"/>
      <c r="FG17" s="274"/>
      <c r="FH17" s="274"/>
      <c r="FI17" s="274"/>
      <c r="FJ17" s="274"/>
      <c r="FK17" s="274"/>
      <c r="FL17" s="274"/>
      <c r="FM17" s="274"/>
      <c r="FN17" s="274"/>
      <c r="FO17" s="274"/>
      <c r="FP17" s="274"/>
      <c r="FQ17" s="274"/>
      <c r="FR17" s="274"/>
      <c r="FS17" s="274"/>
      <c r="FT17" s="274"/>
      <c r="FU17" s="274"/>
      <c r="FV17" s="274"/>
      <c r="FW17" s="274"/>
      <c r="FX17" s="274"/>
      <c r="FY17" s="274"/>
      <c r="FZ17" s="274"/>
      <c r="GA17" s="274"/>
      <c r="GB17" s="274"/>
      <c r="GC17" s="274"/>
      <c r="GD17" s="274"/>
      <c r="GE17" s="274"/>
      <c r="GF17" s="274"/>
      <c r="GG17" s="274"/>
      <c r="GH17" s="274"/>
      <c r="GI17" s="274"/>
      <c r="GJ17" s="274"/>
      <c r="GK17" s="274"/>
      <c r="GL17" s="274"/>
      <c r="GM17" s="274"/>
      <c r="GN17" s="274"/>
      <c r="GO17" s="274"/>
      <c r="GP17" s="274"/>
      <c r="GQ17" s="274"/>
      <c r="GR17" s="274"/>
      <c r="GS17" s="274"/>
      <c r="GT17" s="274"/>
      <c r="GU17" s="274"/>
      <c r="GV17" s="274"/>
      <c r="GW17" s="274"/>
      <c r="GX17" s="274"/>
      <c r="GY17" s="274"/>
      <c r="GZ17" s="274"/>
      <c r="HA17" s="274"/>
      <c r="HB17" s="274"/>
      <c r="HC17" s="274"/>
      <c r="HD17" s="274"/>
      <c r="HE17" s="274"/>
      <c r="HF17" s="274"/>
      <c r="HG17" s="274"/>
      <c r="HH17" s="274"/>
      <c r="HI17" s="274"/>
      <c r="HJ17" s="274"/>
      <c r="HK17" s="274"/>
      <c r="HL17" s="274"/>
      <c r="HM17" s="274"/>
      <c r="HN17" s="274"/>
      <c r="HO17" s="274"/>
      <c r="HP17" s="274"/>
      <c r="HQ17" s="274"/>
      <c r="HR17" s="274"/>
      <c r="HS17" s="274"/>
      <c r="HT17" s="274"/>
      <c r="HU17" s="274"/>
      <c r="HV17" s="274"/>
      <c r="HW17" s="274"/>
      <c r="HX17" s="274"/>
      <c r="HY17" s="274"/>
      <c r="HZ17" s="274"/>
      <c r="IA17" s="274"/>
      <c r="IB17" s="274"/>
      <c r="IC17" s="274"/>
      <c r="ID17" s="274"/>
      <c r="IE17" s="274"/>
      <c r="IF17" s="274"/>
      <c r="IG17" s="274"/>
      <c r="IH17" s="274"/>
      <c r="II17" s="274"/>
      <c r="IJ17" s="274"/>
      <c r="IK17" s="274"/>
      <c r="IL17" s="274"/>
      <c r="IM17" s="274"/>
      <c r="IN17" s="274"/>
      <c r="IO17" s="274"/>
      <c r="IP17" s="274"/>
      <c r="IQ17" s="274"/>
      <c r="IR17" s="274"/>
      <c r="IS17" s="274"/>
      <c r="IT17" s="274"/>
      <c r="IU17" s="274"/>
    </row>
    <row r="18" spans="1:255" s="1150" customFormat="1" ht="126" customHeight="1">
      <c r="A18" s="2664" t="s">
        <v>2067</v>
      </c>
      <c r="B18" s="2667" t="s">
        <v>2068</v>
      </c>
      <c r="C18" s="2670" t="s">
        <v>2069</v>
      </c>
      <c r="D18" s="1145" t="s">
        <v>2070</v>
      </c>
      <c r="E18" s="240">
        <v>2</v>
      </c>
      <c r="F18" s="2097"/>
      <c r="G18" s="2097"/>
      <c r="H18" s="853"/>
      <c r="I18" s="1151"/>
      <c r="J18" s="1144"/>
      <c r="K18" s="1144"/>
      <c r="L18" s="1144"/>
      <c r="M18" s="1144"/>
      <c r="N18" s="1144"/>
      <c r="O18" s="1144"/>
      <c r="P18" s="1144"/>
      <c r="Q18" s="1144"/>
      <c r="R18" s="1144"/>
      <c r="S18" s="1144"/>
      <c r="T18" s="1144"/>
      <c r="U18" s="1144"/>
      <c r="V18" s="1144"/>
      <c r="W18" s="1144"/>
      <c r="X18" s="1144"/>
      <c r="Y18" s="1144"/>
      <c r="Z18" s="1144"/>
      <c r="AA18" s="1144"/>
      <c r="AB18" s="1144"/>
      <c r="AC18" s="1144"/>
      <c r="AD18" s="1144"/>
      <c r="AE18" s="1144"/>
      <c r="AF18" s="1144"/>
      <c r="AG18" s="1144"/>
      <c r="AH18" s="1144"/>
      <c r="AI18" s="1144"/>
      <c r="AJ18" s="1144"/>
      <c r="AK18" s="1144"/>
      <c r="AL18" s="1144"/>
      <c r="AM18" s="1144"/>
      <c r="AN18" s="1144"/>
      <c r="AO18" s="1144"/>
      <c r="AP18" s="1144"/>
      <c r="AQ18" s="1144"/>
      <c r="AR18" s="1144"/>
      <c r="AS18" s="1144"/>
      <c r="AT18" s="1144"/>
      <c r="AU18" s="1144"/>
      <c r="AV18" s="1144"/>
      <c r="AW18" s="1144"/>
      <c r="AX18" s="1144"/>
      <c r="AY18" s="1144"/>
      <c r="AZ18" s="1144"/>
      <c r="BA18" s="1144"/>
      <c r="BB18" s="1144"/>
      <c r="BC18" s="1144"/>
      <c r="BD18" s="1144"/>
      <c r="BE18" s="1144"/>
      <c r="BF18" s="1144"/>
      <c r="BG18" s="1144"/>
      <c r="BH18" s="1144"/>
      <c r="BI18" s="1144"/>
      <c r="BJ18" s="1144"/>
      <c r="BK18" s="1144"/>
      <c r="BL18" s="1144"/>
      <c r="BM18" s="1144"/>
      <c r="BN18" s="1144"/>
      <c r="BO18" s="1144"/>
      <c r="BP18" s="1144"/>
      <c r="BQ18" s="1144"/>
      <c r="BR18" s="1144"/>
      <c r="BS18" s="1144"/>
      <c r="BT18" s="1144"/>
      <c r="BU18" s="1144"/>
      <c r="BV18" s="1144"/>
      <c r="BW18" s="1144"/>
      <c r="BX18" s="1144"/>
      <c r="BY18" s="1144"/>
      <c r="BZ18" s="1144"/>
      <c r="CA18" s="1144"/>
      <c r="CB18" s="1144"/>
      <c r="CC18" s="1144"/>
      <c r="CD18" s="1144"/>
      <c r="CE18" s="1144"/>
      <c r="CF18" s="1144"/>
      <c r="CG18" s="1144"/>
      <c r="CH18" s="1144"/>
      <c r="CI18" s="1144"/>
      <c r="CJ18" s="1144"/>
      <c r="CK18" s="1144"/>
      <c r="CL18" s="1144"/>
      <c r="CM18" s="1144"/>
      <c r="CN18" s="1144"/>
      <c r="CO18" s="1144"/>
      <c r="CP18" s="1144"/>
      <c r="CQ18" s="1144"/>
      <c r="CR18" s="1144"/>
      <c r="CS18" s="1144"/>
      <c r="CT18" s="1144"/>
      <c r="CU18" s="1144"/>
      <c r="CV18" s="1144"/>
      <c r="CW18" s="1144"/>
      <c r="CX18" s="1144"/>
      <c r="CY18" s="1144"/>
      <c r="CZ18" s="1144"/>
      <c r="DA18" s="1144"/>
      <c r="DB18" s="1144"/>
      <c r="DC18" s="1144"/>
      <c r="DD18" s="1144"/>
      <c r="DE18" s="1144"/>
      <c r="DF18" s="1144"/>
      <c r="DG18" s="1144"/>
      <c r="DH18" s="1144"/>
      <c r="DI18" s="1144"/>
      <c r="DJ18" s="1144"/>
      <c r="DK18" s="1144"/>
      <c r="DL18" s="1144"/>
      <c r="DM18" s="1144"/>
      <c r="DN18" s="1144"/>
      <c r="DO18" s="1144"/>
      <c r="DP18" s="1144"/>
      <c r="DQ18" s="1144"/>
      <c r="DR18" s="1144"/>
      <c r="DS18" s="1144"/>
      <c r="DT18" s="1144"/>
      <c r="DU18" s="1144"/>
      <c r="DV18" s="1144"/>
      <c r="DW18" s="1144"/>
      <c r="DX18" s="1144"/>
      <c r="DY18" s="1144"/>
      <c r="DZ18" s="1144"/>
      <c r="EA18" s="1144"/>
      <c r="EB18" s="1144"/>
      <c r="EC18" s="1144"/>
      <c r="ED18" s="1144"/>
      <c r="EE18" s="1144"/>
      <c r="EF18" s="1144"/>
      <c r="EG18" s="1144"/>
      <c r="EH18" s="1144"/>
      <c r="EI18" s="1144"/>
      <c r="EJ18" s="1144"/>
      <c r="EK18" s="1144"/>
      <c r="EL18" s="1144"/>
      <c r="EM18" s="1144"/>
      <c r="EN18" s="1144"/>
      <c r="EO18" s="1144"/>
      <c r="EP18" s="1144"/>
      <c r="EQ18" s="1144"/>
      <c r="ER18" s="1144"/>
      <c r="ES18" s="1144"/>
      <c r="ET18" s="1144"/>
      <c r="EU18" s="1144"/>
      <c r="EV18" s="1144"/>
      <c r="EW18" s="1144"/>
      <c r="EX18" s="1144"/>
      <c r="EY18" s="1144"/>
      <c r="EZ18" s="1144"/>
      <c r="FA18" s="1144"/>
      <c r="FB18" s="1144"/>
      <c r="FC18" s="1144"/>
      <c r="FD18" s="1144"/>
      <c r="FE18" s="1144"/>
      <c r="FF18" s="1144"/>
      <c r="FG18" s="1144"/>
      <c r="FH18" s="1144"/>
      <c r="FI18" s="1144"/>
      <c r="FJ18" s="1144"/>
      <c r="FK18" s="1144"/>
      <c r="FL18" s="1144"/>
      <c r="FM18" s="1144"/>
      <c r="FN18" s="1144"/>
      <c r="FO18" s="1144"/>
      <c r="FP18" s="1144"/>
      <c r="FQ18" s="1144"/>
      <c r="FR18" s="1144"/>
      <c r="FS18" s="1144"/>
      <c r="FT18" s="1144"/>
      <c r="FU18" s="1144"/>
      <c r="FV18" s="1144"/>
      <c r="FW18" s="1144"/>
      <c r="FX18" s="1144"/>
      <c r="FY18" s="1144"/>
      <c r="FZ18" s="1144"/>
      <c r="GA18" s="1144"/>
      <c r="GB18" s="1144"/>
      <c r="GC18" s="1144"/>
      <c r="GD18" s="1144"/>
      <c r="GE18" s="1144"/>
      <c r="GF18" s="1144"/>
      <c r="GG18" s="1144"/>
      <c r="GH18" s="1144"/>
      <c r="GI18" s="1144"/>
      <c r="GJ18" s="1144"/>
      <c r="GK18" s="1144"/>
      <c r="GL18" s="1144"/>
      <c r="GM18" s="1144"/>
      <c r="GN18" s="1144"/>
      <c r="GO18" s="1144"/>
      <c r="GP18" s="1144"/>
      <c r="GQ18" s="1144"/>
      <c r="GR18" s="1144"/>
      <c r="GS18" s="1144"/>
      <c r="GT18" s="1144"/>
      <c r="GU18" s="1144"/>
      <c r="GV18" s="1144"/>
      <c r="GW18" s="1144"/>
      <c r="GX18" s="1144"/>
      <c r="GY18" s="1144"/>
      <c r="GZ18" s="1144"/>
      <c r="HA18" s="1144"/>
      <c r="HB18" s="1144"/>
      <c r="HC18" s="1144"/>
      <c r="HD18" s="1144"/>
      <c r="HE18" s="1144"/>
      <c r="HF18" s="1144"/>
      <c r="HG18" s="1144"/>
      <c r="HH18" s="1144"/>
      <c r="HI18" s="1144"/>
      <c r="HJ18" s="1144"/>
      <c r="HK18" s="1144"/>
      <c r="HL18" s="1144"/>
      <c r="HM18" s="1144"/>
      <c r="HN18" s="1144"/>
      <c r="HO18" s="1144"/>
      <c r="HP18" s="1144"/>
      <c r="HQ18" s="1144"/>
      <c r="HR18" s="1144"/>
      <c r="HS18" s="1144"/>
      <c r="HT18" s="1144"/>
      <c r="HU18" s="1144"/>
      <c r="HV18" s="1144"/>
      <c r="HW18" s="1144"/>
      <c r="HX18" s="1144"/>
      <c r="HY18" s="1144"/>
      <c r="HZ18" s="1144"/>
      <c r="IA18" s="1144"/>
      <c r="IB18" s="1144"/>
      <c r="IC18" s="1144"/>
      <c r="ID18" s="1144"/>
      <c r="IE18" s="1144"/>
      <c r="IF18" s="1144"/>
      <c r="IG18" s="1144"/>
      <c r="IH18" s="1144"/>
      <c r="II18" s="1144"/>
      <c r="IJ18" s="1144"/>
      <c r="IK18" s="1144"/>
      <c r="IL18" s="1144"/>
      <c r="IM18" s="1144"/>
      <c r="IN18" s="1144"/>
      <c r="IO18" s="1144"/>
      <c r="IP18" s="1144"/>
      <c r="IQ18" s="1144"/>
      <c r="IR18" s="1144"/>
      <c r="IS18" s="1144"/>
      <c r="IT18" s="1144"/>
      <c r="IU18" s="1144"/>
    </row>
    <row r="19" spans="1:255" s="1150" customFormat="1" ht="126" customHeight="1">
      <c r="A19" s="2665"/>
      <c r="B19" s="2668"/>
      <c r="C19" s="2671"/>
      <c r="D19" s="1164" t="s">
        <v>2071</v>
      </c>
      <c r="E19" s="240">
        <v>2</v>
      </c>
      <c r="F19" s="2097"/>
      <c r="G19" s="2097"/>
      <c r="H19" s="853"/>
      <c r="I19" s="1151"/>
      <c r="J19" s="1144"/>
      <c r="K19" s="1144"/>
      <c r="L19" s="1144"/>
      <c r="M19" s="1144"/>
      <c r="N19" s="1144"/>
      <c r="O19" s="1144"/>
      <c r="P19" s="1144"/>
      <c r="Q19" s="1144"/>
      <c r="R19" s="1144"/>
      <c r="S19" s="1144"/>
      <c r="T19" s="1144"/>
      <c r="U19" s="1144"/>
      <c r="V19" s="1144"/>
      <c r="W19" s="1144"/>
      <c r="X19" s="1144"/>
      <c r="Y19" s="1144"/>
      <c r="Z19" s="1144"/>
      <c r="AA19" s="1144"/>
      <c r="AB19" s="1144"/>
      <c r="AC19" s="1144"/>
      <c r="AD19" s="1144"/>
      <c r="AE19" s="1144"/>
      <c r="AF19" s="1144"/>
      <c r="AG19" s="1144"/>
      <c r="AH19" s="1144"/>
      <c r="AI19" s="1144"/>
      <c r="AJ19" s="1144"/>
      <c r="AK19" s="1144"/>
      <c r="AL19" s="1144"/>
      <c r="AM19" s="1144"/>
      <c r="AN19" s="1144"/>
      <c r="AO19" s="1144"/>
      <c r="AP19" s="1144"/>
      <c r="AQ19" s="1144"/>
      <c r="AR19" s="1144"/>
      <c r="AS19" s="1144"/>
      <c r="AT19" s="1144"/>
      <c r="AU19" s="1144"/>
      <c r="AV19" s="1144"/>
      <c r="AW19" s="1144"/>
      <c r="AX19" s="1144"/>
      <c r="AY19" s="1144"/>
      <c r="AZ19" s="1144"/>
      <c r="BA19" s="1144"/>
      <c r="BB19" s="1144"/>
      <c r="BC19" s="1144"/>
      <c r="BD19" s="1144"/>
      <c r="BE19" s="1144"/>
      <c r="BF19" s="1144"/>
      <c r="BG19" s="1144"/>
      <c r="BH19" s="1144"/>
      <c r="BI19" s="1144"/>
      <c r="BJ19" s="1144"/>
      <c r="BK19" s="1144"/>
      <c r="BL19" s="1144"/>
      <c r="BM19" s="1144"/>
      <c r="BN19" s="1144"/>
      <c r="BO19" s="1144"/>
      <c r="BP19" s="1144"/>
      <c r="BQ19" s="1144"/>
      <c r="BR19" s="1144"/>
      <c r="BS19" s="1144"/>
      <c r="BT19" s="1144"/>
      <c r="BU19" s="1144"/>
      <c r="BV19" s="1144"/>
      <c r="BW19" s="1144"/>
      <c r="BX19" s="1144"/>
      <c r="BY19" s="1144"/>
      <c r="BZ19" s="1144"/>
      <c r="CA19" s="1144"/>
      <c r="CB19" s="1144"/>
      <c r="CC19" s="1144"/>
      <c r="CD19" s="1144"/>
      <c r="CE19" s="1144"/>
      <c r="CF19" s="1144"/>
      <c r="CG19" s="1144"/>
      <c r="CH19" s="1144"/>
      <c r="CI19" s="1144"/>
      <c r="CJ19" s="1144"/>
      <c r="CK19" s="1144"/>
      <c r="CL19" s="1144"/>
      <c r="CM19" s="1144"/>
      <c r="CN19" s="1144"/>
      <c r="CO19" s="1144"/>
      <c r="CP19" s="1144"/>
      <c r="CQ19" s="1144"/>
      <c r="CR19" s="1144"/>
      <c r="CS19" s="1144"/>
      <c r="CT19" s="1144"/>
      <c r="CU19" s="1144"/>
      <c r="CV19" s="1144"/>
      <c r="CW19" s="1144"/>
      <c r="CX19" s="1144"/>
      <c r="CY19" s="1144"/>
      <c r="CZ19" s="1144"/>
      <c r="DA19" s="1144"/>
      <c r="DB19" s="1144"/>
      <c r="DC19" s="1144"/>
      <c r="DD19" s="1144"/>
      <c r="DE19" s="1144"/>
      <c r="DF19" s="1144"/>
      <c r="DG19" s="1144"/>
      <c r="DH19" s="1144"/>
      <c r="DI19" s="1144"/>
      <c r="DJ19" s="1144"/>
      <c r="DK19" s="1144"/>
      <c r="DL19" s="1144"/>
      <c r="DM19" s="1144"/>
      <c r="DN19" s="1144"/>
      <c r="DO19" s="1144"/>
      <c r="DP19" s="1144"/>
      <c r="DQ19" s="1144"/>
      <c r="DR19" s="1144"/>
      <c r="DS19" s="1144"/>
      <c r="DT19" s="1144"/>
      <c r="DU19" s="1144"/>
      <c r="DV19" s="1144"/>
      <c r="DW19" s="1144"/>
      <c r="DX19" s="1144"/>
      <c r="DY19" s="1144"/>
      <c r="DZ19" s="1144"/>
      <c r="EA19" s="1144"/>
      <c r="EB19" s="1144"/>
      <c r="EC19" s="1144"/>
      <c r="ED19" s="1144"/>
      <c r="EE19" s="1144"/>
      <c r="EF19" s="1144"/>
      <c r="EG19" s="1144"/>
      <c r="EH19" s="1144"/>
      <c r="EI19" s="1144"/>
      <c r="EJ19" s="1144"/>
      <c r="EK19" s="1144"/>
      <c r="EL19" s="1144"/>
      <c r="EM19" s="1144"/>
      <c r="EN19" s="1144"/>
      <c r="EO19" s="1144"/>
      <c r="EP19" s="1144"/>
      <c r="EQ19" s="1144"/>
      <c r="ER19" s="1144"/>
      <c r="ES19" s="1144"/>
      <c r="ET19" s="1144"/>
      <c r="EU19" s="1144"/>
      <c r="EV19" s="1144"/>
      <c r="EW19" s="1144"/>
      <c r="EX19" s="1144"/>
      <c r="EY19" s="1144"/>
      <c r="EZ19" s="1144"/>
      <c r="FA19" s="1144"/>
      <c r="FB19" s="1144"/>
      <c r="FC19" s="1144"/>
      <c r="FD19" s="1144"/>
      <c r="FE19" s="1144"/>
      <c r="FF19" s="1144"/>
      <c r="FG19" s="1144"/>
      <c r="FH19" s="1144"/>
      <c r="FI19" s="1144"/>
      <c r="FJ19" s="1144"/>
      <c r="FK19" s="1144"/>
      <c r="FL19" s="1144"/>
      <c r="FM19" s="1144"/>
      <c r="FN19" s="1144"/>
      <c r="FO19" s="1144"/>
      <c r="FP19" s="1144"/>
      <c r="FQ19" s="1144"/>
      <c r="FR19" s="1144"/>
      <c r="FS19" s="1144"/>
      <c r="FT19" s="1144"/>
      <c r="FU19" s="1144"/>
      <c r="FV19" s="1144"/>
      <c r="FW19" s="1144"/>
      <c r="FX19" s="1144"/>
      <c r="FY19" s="1144"/>
      <c r="FZ19" s="1144"/>
      <c r="GA19" s="1144"/>
      <c r="GB19" s="1144"/>
      <c r="GC19" s="1144"/>
      <c r="GD19" s="1144"/>
      <c r="GE19" s="1144"/>
      <c r="GF19" s="1144"/>
      <c r="GG19" s="1144"/>
      <c r="GH19" s="1144"/>
      <c r="GI19" s="1144"/>
      <c r="GJ19" s="1144"/>
      <c r="GK19" s="1144"/>
      <c r="GL19" s="1144"/>
      <c r="GM19" s="1144"/>
      <c r="GN19" s="1144"/>
      <c r="GO19" s="1144"/>
      <c r="GP19" s="1144"/>
      <c r="GQ19" s="1144"/>
      <c r="GR19" s="1144"/>
      <c r="GS19" s="1144"/>
      <c r="GT19" s="1144"/>
      <c r="GU19" s="1144"/>
      <c r="GV19" s="1144"/>
      <c r="GW19" s="1144"/>
      <c r="GX19" s="1144"/>
      <c r="GY19" s="1144"/>
      <c r="GZ19" s="1144"/>
      <c r="HA19" s="1144"/>
      <c r="HB19" s="1144"/>
      <c r="HC19" s="1144"/>
      <c r="HD19" s="1144"/>
      <c r="HE19" s="1144"/>
      <c r="HF19" s="1144"/>
      <c r="HG19" s="1144"/>
      <c r="HH19" s="1144"/>
      <c r="HI19" s="1144"/>
      <c r="HJ19" s="1144"/>
      <c r="HK19" s="1144"/>
      <c r="HL19" s="1144"/>
      <c r="HM19" s="1144"/>
      <c r="HN19" s="1144"/>
      <c r="HO19" s="1144"/>
      <c r="HP19" s="1144"/>
      <c r="HQ19" s="1144"/>
      <c r="HR19" s="1144"/>
      <c r="HS19" s="1144"/>
      <c r="HT19" s="1144"/>
      <c r="HU19" s="1144"/>
      <c r="HV19" s="1144"/>
      <c r="HW19" s="1144"/>
      <c r="HX19" s="1144"/>
      <c r="HY19" s="1144"/>
      <c r="HZ19" s="1144"/>
      <c r="IA19" s="1144"/>
      <c r="IB19" s="1144"/>
      <c r="IC19" s="1144"/>
      <c r="ID19" s="1144"/>
      <c r="IE19" s="1144"/>
      <c r="IF19" s="1144"/>
      <c r="IG19" s="1144"/>
      <c r="IH19" s="1144"/>
      <c r="II19" s="1144"/>
      <c r="IJ19" s="1144"/>
      <c r="IK19" s="1144"/>
      <c r="IL19" s="1144"/>
      <c r="IM19" s="1144"/>
      <c r="IN19" s="1144"/>
      <c r="IO19" s="1144"/>
      <c r="IP19" s="1144"/>
      <c r="IQ19" s="1144"/>
      <c r="IR19" s="1144"/>
      <c r="IS19" s="1144"/>
      <c r="IT19" s="1144"/>
      <c r="IU19" s="1144"/>
    </row>
    <row r="20" spans="1:255" s="1150" customFormat="1" ht="332.25" customHeight="1" thickBot="1">
      <c r="A20" s="2666"/>
      <c r="B20" s="2669"/>
      <c r="C20" s="2672"/>
      <c r="D20" s="1145" t="s">
        <v>2148</v>
      </c>
      <c r="E20" s="240">
        <f>IF(F20="na",0,2)</f>
        <v>2</v>
      </c>
      <c r="F20" s="2097"/>
      <c r="G20" s="2097"/>
      <c r="H20" s="853"/>
      <c r="I20" s="1151"/>
      <c r="J20" s="1144"/>
      <c r="K20" s="1144"/>
      <c r="L20" s="1144"/>
      <c r="M20" s="1144"/>
      <c r="N20" s="1144"/>
      <c r="O20" s="1144"/>
      <c r="P20" s="1144"/>
      <c r="Q20" s="1144"/>
      <c r="R20" s="1144"/>
      <c r="S20" s="1144"/>
      <c r="T20" s="1144"/>
      <c r="U20" s="1144"/>
      <c r="V20" s="1144"/>
      <c r="W20" s="1144"/>
      <c r="X20" s="1144"/>
      <c r="Y20" s="1144"/>
      <c r="Z20" s="1144"/>
      <c r="AA20" s="1144"/>
      <c r="AB20" s="1144"/>
      <c r="AC20" s="1144"/>
      <c r="AD20" s="1144"/>
      <c r="AE20" s="1144"/>
      <c r="AF20" s="1144"/>
      <c r="AG20" s="1144"/>
      <c r="AH20" s="1144"/>
      <c r="AI20" s="1144"/>
      <c r="AJ20" s="1144"/>
      <c r="AK20" s="1144"/>
      <c r="AL20" s="1144"/>
      <c r="AM20" s="1144"/>
      <c r="AN20" s="1144"/>
      <c r="AO20" s="1144"/>
      <c r="AP20" s="1144"/>
      <c r="AQ20" s="1144"/>
      <c r="AR20" s="1144"/>
      <c r="AS20" s="1144"/>
      <c r="AT20" s="1144"/>
      <c r="AU20" s="1144"/>
      <c r="AV20" s="1144"/>
      <c r="AW20" s="1144"/>
      <c r="AX20" s="1144"/>
      <c r="AY20" s="1144"/>
      <c r="AZ20" s="1144"/>
      <c r="BA20" s="1144"/>
      <c r="BB20" s="1144"/>
      <c r="BC20" s="1144"/>
      <c r="BD20" s="1144"/>
      <c r="BE20" s="1144"/>
      <c r="BF20" s="1144"/>
      <c r="BG20" s="1144"/>
      <c r="BH20" s="1144"/>
      <c r="BI20" s="1144"/>
      <c r="BJ20" s="1144"/>
      <c r="BK20" s="1144"/>
      <c r="BL20" s="1144"/>
      <c r="BM20" s="1144"/>
      <c r="BN20" s="1144"/>
      <c r="BO20" s="1144"/>
      <c r="BP20" s="1144"/>
      <c r="BQ20" s="1144"/>
      <c r="BR20" s="1144"/>
      <c r="BS20" s="1144"/>
      <c r="BT20" s="1144"/>
      <c r="BU20" s="1144"/>
      <c r="BV20" s="1144"/>
      <c r="BW20" s="1144"/>
      <c r="BX20" s="1144"/>
      <c r="BY20" s="1144"/>
      <c r="BZ20" s="1144"/>
      <c r="CA20" s="1144"/>
      <c r="CB20" s="1144"/>
      <c r="CC20" s="1144"/>
      <c r="CD20" s="1144"/>
      <c r="CE20" s="1144"/>
      <c r="CF20" s="1144"/>
      <c r="CG20" s="1144"/>
      <c r="CH20" s="1144"/>
      <c r="CI20" s="1144"/>
      <c r="CJ20" s="1144"/>
      <c r="CK20" s="1144"/>
      <c r="CL20" s="1144"/>
      <c r="CM20" s="1144"/>
      <c r="CN20" s="1144"/>
      <c r="CO20" s="1144"/>
      <c r="CP20" s="1144"/>
      <c r="CQ20" s="1144"/>
      <c r="CR20" s="1144"/>
      <c r="CS20" s="1144"/>
      <c r="CT20" s="1144"/>
      <c r="CU20" s="1144"/>
      <c r="CV20" s="1144"/>
      <c r="CW20" s="1144"/>
      <c r="CX20" s="1144"/>
      <c r="CY20" s="1144"/>
      <c r="CZ20" s="1144"/>
      <c r="DA20" s="1144"/>
      <c r="DB20" s="1144"/>
      <c r="DC20" s="1144"/>
      <c r="DD20" s="1144"/>
      <c r="DE20" s="1144"/>
      <c r="DF20" s="1144"/>
      <c r="DG20" s="1144"/>
      <c r="DH20" s="1144"/>
      <c r="DI20" s="1144"/>
      <c r="DJ20" s="1144"/>
      <c r="DK20" s="1144"/>
      <c r="DL20" s="1144"/>
      <c r="DM20" s="1144"/>
      <c r="DN20" s="1144"/>
      <c r="DO20" s="1144"/>
      <c r="DP20" s="1144"/>
      <c r="DQ20" s="1144"/>
      <c r="DR20" s="1144"/>
      <c r="DS20" s="1144"/>
      <c r="DT20" s="1144"/>
      <c r="DU20" s="1144"/>
      <c r="DV20" s="1144"/>
      <c r="DW20" s="1144"/>
      <c r="DX20" s="1144"/>
      <c r="DY20" s="1144"/>
      <c r="DZ20" s="1144"/>
      <c r="EA20" s="1144"/>
      <c r="EB20" s="1144"/>
      <c r="EC20" s="1144"/>
      <c r="ED20" s="1144"/>
      <c r="EE20" s="1144"/>
      <c r="EF20" s="1144"/>
      <c r="EG20" s="1144"/>
      <c r="EH20" s="1144"/>
      <c r="EI20" s="1144"/>
      <c r="EJ20" s="1144"/>
      <c r="EK20" s="1144"/>
      <c r="EL20" s="1144"/>
      <c r="EM20" s="1144"/>
      <c r="EN20" s="1144"/>
      <c r="EO20" s="1144"/>
      <c r="EP20" s="1144"/>
      <c r="EQ20" s="1144"/>
      <c r="ER20" s="1144"/>
      <c r="ES20" s="1144"/>
      <c r="ET20" s="1144"/>
      <c r="EU20" s="1144"/>
      <c r="EV20" s="1144"/>
      <c r="EW20" s="1144"/>
      <c r="EX20" s="1144"/>
      <c r="EY20" s="1144"/>
      <c r="EZ20" s="1144"/>
      <c r="FA20" s="1144"/>
      <c r="FB20" s="1144"/>
      <c r="FC20" s="1144"/>
      <c r="FD20" s="1144"/>
      <c r="FE20" s="1144"/>
      <c r="FF20" s="1144"/>
      <c r="FG20" s="1144"/>
      <c r="FH20" s="1144"/>
      <c r="FI20" s="1144"/>
      <c r="FJ20" s="1144"/>
      <c r="FK20" s="1144"/>
      <c r="FL20" s="1144"/>
      <c r="FM20" s="1144"/>
      <c r="FN20" s="1144"/>
      <c r="FO20" s="1144"/>
      <c r="FP20" s="1144"/>
      <c r="FQ20" s="1144"/>
      <c r="FR20" s="1144"/>
      <c r="FS20" s="1144"/>
      <c r="FT20" s="1144"/>
      <c r="FU20" s="1144"/>
      <c r="FV20" s="1144"/>
      <c r="FW20" s="1144"/>
      <c r="FX20" s="1144"/>
      <c r="FY20" s="1144"/>
      <c r="FZ20" s="1144"/>
      <c r="GA20" s="1144"/>
      <c r="GB20" s="1144"/>
      <c r="GC20" s="1144"/>
      <c r="GD20" s="1144"/>
      <c r="GE20" s="1144"/>
      <c r="GF20" s="1144"/>
      <c r="GG20" s="1144"/>
      <c r="GH20" s="1144"/>
      <c r="GI20" s="1144"/>
      <c r="GJ20" s="1144"/>
      <c r="GK20" s="1144"/>
      <c r="GL20" s="1144"/>
      <c r="GM20" s="1144"/>
      <c r="GN20" s="1144"/>
      <c r="GO20" s="1144"/>
      <c r="GP20" s="1144"/>
      <c r="GQ20" s="1144"/>
      <c r="GR20" s="1144"/>
      <c r="GS20" s="1144"/>
      <c r="GT20" s="1144"/>
      <c r="GU20" s="1144"/>
      <c r="GV20" s="1144"/>
      <c r="GW20" s="1144"/>
      <c r="GX20" s="1144"/>
      <c r="GY20" s="1144"/>
      <c r="GZ20" s="1144"/>
      <c r="HA20" s="1144"/>
      <c r="HB20" s="1144"/>
      <c r="HC20" s="1144"/>
      <c r="HD20" s="1144"/>
      <c r="HE20" s="1144"/>
      <c r="HF20" s="1144"/>
      <c r="HG20" s="1144"/>
      <c r="HH20" s="1144"/>
      <c r="HI20" s="1144"/>
      <c r="HJ20" s="1144"/>
      <c r="HK20" s="1144"/>
      <c r="HL20" s="1144"/>
      <c r="HM20" s="1144"/>
      <c r="HN20" s="1144"/>
      <c r="HO20" s="1144"/>
      <c r="HP20" s="1144"/>
      <c r="HQ20" s="1144"/>
      <c r="HR20" s="1144"/>
      <c r="HS20" s="1144"/>
      <c r="HT20" s="1144"/>
      <c r="HU20" s="1144"/>
      <c r="HV20" s="1144"/>
      <c r="HW20" s="1144"/>
      <c r="HX20" s="1144"/>
      <c r="HY20" s="1144"/>
      <c r="HZ20" s="1144"/>
      <c r="IA20" s="1144"/>
      <c r="IB20" s="1144"/>
      <c r="IC20" s="1144"/>
      <c r="ID20" s="1144"/>
      <c r="IE20" s="1144"/>
      <c r="IF20" s="1144"/>
      <c r="IG20" s="1144"/>
      <c r="IH20" s="1144"/>
      <c r="II20" s="1144"/>
      <c r="IJ20" s="1144"/>
      <c r="IK20" s="1144"/>
      <c r="IL20" s="1144"/>
      <c r="IM20" s="1144"/>
      <c r="IN20" s="1144"/>
      <c r="IO20" s="1144"/>
      <c r="IP20" s="1144"/>
      <c r="IQ20" s="1144"/>
      <c r="IR20" s="1144"/>
      <c r="IS20" s="1144"/>
      <c r="IT20" s="1144"/>
      <c r="IU20" s="1144"/>
    </row>
    <row r="21" spans="1:255" ht="18.75" customHeight="1" thickBot="1">
      <c r="A21" s="1197"/>
      <c r="B21" s="1198"/>
      <c r="C21" s="1198"/>
      <c r="D21" s="1199" t="s">
        <v>1035</v>
      </c>
      <c r="E21" s="1200">
        <f>SUM(E5:E20)</f>
        <v>17</v>
      </c>
      <c r="F21" s="1200">
        <f>SUM(F5:F20)</f>
        <v>0</v>
      </c>
      <c r="G21" s="1200">
        <f>SUM(G5:G20)</f>
        <v>0</v>
      </c>
      <c r="H21" s="1211"/>
      <c r="I21" s="320"/>
    </row>
    <row r="22" spans="1:255">
      <c r="A22" s="1150"/>
      <c r="H22" s="317"/>
    </row>
    <row r="23" spans="1:255">
      <c r="A23" s="1150"/>
      <c r="H23" s="317"/>
    </row>
    <row r="24" spans="1:255">
      <c r="A24" s="1150"/>
      <c r="H24" s="317"/>
    </row>
    <row r="25" spans="1:255">
      <c r="A25" s="595" t="str">
        <f>Calculation1!$B$93</f>
        <v>Project Teams are to refer to the Green Star SA Public Building PILOT Technical Manual for explicit credit criteria and documentation requirements.</v>
      </c>
      <c r="H25" s="317"/>
    </row>
    <row r="26" spans="1:255">
      <c r="A26" s="595" t="str">
        <f>Calculation1!$B$94</f>
        <v>The Green Star Technical Clarifications (TC) and Credit Interpretation Request (CIR) rulings provide an essential source of information to all</v>
      </c>
    </row>
    <row r="27" spans="1:255">
      <c r="A27" s="595" t="str">
        <f>Calculation1!$B$95</f>
        <v>projects undertaking Green Star assessment. They are available on the GBCSA website http://www.gbcsa.org.za . Technical Clarifications</v>
      </c>
    </row>
    <row r="28" spans="1:255">
      <c r="A28" s="595" t="str">
        <f>Calculation1!$B$96</f>
        <v xml:space="preserve">often represent the GBCSA answers to technical queries and complement Green Star SA Technical Manuals. They do not amend but clarify </v>
      </c>
    </row>
    <row r="29" spans="1:255">
      <c r="A29" s="595" t="str">
        <f>Calculation1!$B$97</f>
        <v xml:space="preserve">Credit Criteria or Compliance Requirements. They are an extension of the Technical Manual; it is the responsibility of the project teams to stay </v>
      </c>
    </row>
    <row r="30" spans="1:255">
      <c r="A30" s="595" t="str">
        <f>Calculation1!$B$98</f>
        <v xml:space="preserve">up-to-date with this section of the GBCSA website. The CIR rulings offer alternative compliance options whenever those have been deemed </v>
      </c>
    </row>
    <row r="31" spans="1:255">
      <c r="A31" s="595" t="str">
        <f>Calculation1!$B$99</f>
        <v>equivalent in meeting the Aim of Credit.</v>
      </c>
    </row>
    <row r="32" spans="1:255">
      <c r="A32" s="595"/>
    </row>
  </sheetData>
  <sheetProtection password="AD9B" sheet="1" objects="1" scenarios="1"/>
  <mergeCells count="11">
    <mergeCell ref="A18:A20"/>
    <mergeCell ref="B18:B20"/>
    <mergeCell ref="C18:C20"/>
    <mergeCell ref="H12:H13"/>
    <mergeCell ref="H9:H11"/>
    <mergeCell ref="A12:A13"/>
    <mergeCell ref="B12:B13"/>
    <mergeCell ref="C12:C13"/>
    <mergeCell ref="A9:A11"/>
    <mergeCell ref="B9:B11"/>
    <mergeCell ref="C9:C11"/>
  </mergeCells>
  <phoneticPr fontId="0"/>
  <printOptions horizontalCentered="1"/>
  <pageMargins left="0.59055118110236227" right="0.59055118110236227" top="0.47244094488188981" bottom="0.47244094488188981" header="0.23622047244094491" footer="0.35433070866141736"/>
  <pageSetup paperSize="8" scale="64" fitToHeight="5" orientation="portrait" blackAndWhite="1" horizontalDpi="300" verticalDpi="300" r:id="rId1"/>
  <headerFooter alignWithMargins="0">
    <oddHeader>&amp;LGreen Building Council of South Africa&amp;R&amp;T   &amp;D</oddHeader>
    <oddFooter>&amp;L&amp;F&amp;CPage &amp;P of &amp;N&amp;RCategory: &amp;A</oddFooter>
  </headerFooter>
  <rowBreaks count="1" manualBreakCount="1">
    <brk id="8" max="7" man="1"/>
  </rowBreaks>
  <ignoredErrors>
    <ignoredError sqref="I8 I12:I1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1990" r:id="rId4" name="Button 6">
              <controlPr defaultSize="0" print="0" autoFill="0" autoPict="0" macro="[0]!GoToCreditSummary">
                <anchor moveWithCells="1" sizeWithCells="1">
                  <from>
                    <xdr:col>4</xdr:col>
                    <xdr:colOff>571500</xdr:colOff>
                    <xdr:row>21</xdr:row>
                    <xdr:rowOff>180975</xdr:rowOff>
                  </from>
                  <to>
                    <xdr:col>6</xdr:col>
                    <xdr:colOff>952500</xdr:colOff>
                    <xdr:row>24</xdr:row>
                    <xdr:rowOff>85725</xdr:rowOff>
                  </to>
                </anchor>
              </controlPr>
            </control>
          </mc:Choice>
        </mc:AlternateContent>
        <mc:AlternateContent xmlns:mc="http://schemas.openxmlformats.org/markup-compatibility/2006">
          <mc:Choice Requires="x14">
            <control shapeId="41991" r:id="rId5" name="Button 7">
              <controlPr defaultSize="0" print="0" autoFill="0" autoPict="0" macro="[0]!GoToSewageCalc">
                <anchor moveWithCells="1" sizeWithCells="1">
                  <from>
                    <xdr:col>3</xdr:col>
                    <xdr:colOff>962025</xdr:colOff>
                    <xdr:row>11</xdr:row>
                    <xdr:rowOff>1962150</xdr:rowOff>
                  </from>
                  <to>
                    <xdr:col>3</xdr:col>
                    <xdr:colOff>3952875</xdr:colOff>
                    <xdr:row>11</xdr:row>
                    <xdr:rowOff>2371725</xdr:rowOff>
                  </to>
                </anchor>
              </controlPr>
            </control>
          </mc:Choice>
        </mc:AlternateContent>
        <mc:AlternateContent xmlns:mc="http://schemas.openxmlformats.org/markup-compatibility/2006">
          <mc:Choice Requires="x14">
            <control shapeId="41993" r:id="rId6" name="Button 9">
              <controlPr defaultSize="0" print="0" autoFill="0" autoPict="0" macro="[8]!GoToSewageCalc">
                <anchor moveWithCells="1" sizeWithCells="1">
                  <from>
                    <xdr:col>3</xdr:col>
                    <xdr:colOff>962025</xdr:colOff>
                    <xdr:row>11</xdr:row>
                    <xdr:rowOff>1962150</xdr:rowOff>
                  </from>
                  <to>
                    <xdr:col>3</xdr:col>
                    <xdr:colOff>3952875</xdr:colOff>
                    <xdr:row>11</xdr:row>
                    <xdr:rowOff>2371725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pageSetUpPr fitToPage="1"/>
  </sheetPr>
  <dimension ref="A1:AP90"/>
  <sheetViews>
    <sheetView zoomScale="80" zoomScaleNormal="100" zoomScaleSheetLayoutView="100" workbookViewId="0">
      <pane ySplit="3" topLeftCell="A4" activePane="bottomLeft" state="frozen"/>
      <selection pane="bottomLeft" activeCell="A130" sqref="A130"/>
    </sheetView>
  </sheetViews>
  <sheetFormatPr defaultColWidth="7.875" defaultRowHeight="12.75"/>
  <cols>
    <col min="1" max="1" width="1.875" style="376" customWidth="1"/>
    <col min="2" max="2" width="5.375" style="376" customWidth="1"/>
    <col min="3" max="3" width="13.375" style="376" customWidth="1"/>
    <col min="4" max="4" width="19.75" style="376" customWidth="1"/>
    <col min="5" max="5" width="24" style="400" customWidth="1"/>
    <col min="6" max="6" width="24" style="376" customWidth="1"/>
    <col min="7" max="7" width="7.875" style="376" customWidth="1"/>
    <col min="8" max="8" width="7" style="346" hidden="1" customWidth="1"/>
    <col min="9" max="9" width="16.75" style="376" hidden="1" customWidth="1"/>
    <col min="10" max="10" width="16.875" style="376" hidden="1" customWidth="1"/>
    <col min="11" max="11" width="18" style="376" hidden="1" customWidth="1"/>
    <col min="12" max="12" width="15.75" style="376" hidden="1" customWidth="1"/>
    <col min="13" max="13" width="6.875" style="376" hidden="1" customWidth="1"/>
    <col min="14" max="14" width="8.375" style="376" hidden="1" customWidth="1"/>
    <col min="15" max="16" width="9.375" style="376" hidden="1" customWidth="1"/>
    <col min="17" max="17" width="9" style="376" hidden="1" customWidth="1"/>
    <col min="18" max="18" width="7.875" style="376" hidden="1" customWidth="1"/>
    <col min="19" max="41" width="7.875" style="376" customWidth="1"/>
    <col min="42" max="16384" width="7.875" style="376"/>
  </cols>
  <sheetData>
    <row r="1" spans="1:42" s="361" customFormat="1" ht="27" customHeight="1">
      <c r="B1" s="2716" t="str">
        <f>'Building Input'!B1</f>
        <v>Green Star SA - Public &amp; Education Building v1</v>
      </c>
      <c r="C1" s="2717"/>
      <c r="D1" s="2717"/>
      <c r="E1" s="2717"/>
      <c r="F1" s="2717"/>
      <c r="G1" s="363"/>
      <c r="H1" s="343"/>
      <c r="I1" s="363"/>
      <c r="J1" s="363"/>
      <c r="K1" s="363"/>
      <c r="L1" s="363"/>
      <c r="M1" s="363"/>
      <c r="N1" s="363"/>
      <c r="O1" s="363"/>
      <c r="P1" s="363"/>
      <c r="Q1" s="363"/>
      <c r="R1" s="363"/>
      <c r="S1" s="363"/>
      <c r="T1" s="363"/>
      <c r="U1" s="363"/>
      <c r="V1" s="363"/>
      <c r="W1" s="363"/>
      <c r="X1" s="363"/>
      <c r="Y1" s="363"/>
      <c r="Z1" s="363"/>
      <c r="AA1" s="363"/>
      <c r="AB1" s="363"/>
      <c r="AC1" s="363"/>
      <c r="AD1" s="364"/>
      <c r="AE1" s="364"/>
      <c r="AF1" s="364"/>
      <c r="AG1" s="364"/>
      <c r="AH1" s="364"/>
      <c r="AI1" s="364"/>
      <c r="AJ1" s="364"/>
      <c r="AK1" s="364"/>
      <c r="AL1" s="364"/>
      <c r="AM1" s="364"/>
      <c r="AN1" s="364"/>
      <c r="AO1" s="364"/>
      <c r="AP1" s="364"/>
    </row>
    <row r="2" spans="1:42" s="361" customFormat="1" ht="27" customHeight="1">
      <c r="B2" s="313" t="s">
        <v>505</v>
      </c>
      <c r="C2" s="327"/>
      <c r="D2" s="555"/>
      <c r="F2" s="1202" t="s">
        <v>980</v>
      </c>
      <c r="G2" s="250" t="str">
        <f>E39</f>
        <v>0</v>
      </c>
      <c r="H2" s="343"/>
      <c r="I2" s="363"/>
      <c r="J2" s="363"/>
      <c r="K2" s="363"/>
      <c r="L2" s="363"/>
      <c r="M2" s="363"/>
      <c r="N2" s="363"/>
      <c r="O2" s="363"/>
      <c r="P2" s="363"/>
      <c r="Q2" s="363"/>
      <c r="R2" s="363"/>
      <c r="S2" s="363"/>
      <c r="T2" s="363"/>
      <c r="U2" s="363"/>
      <c r="V2" s="363"/>
      <c r="W2" s="363"/>
      <c r="X2" s="363"/>
      <c r="Y2" s="363"/>
      <c r="Z2" s="363"/>
      <c r="AA2" s="363"/>
      <c r="AB2" s="363"/>
      <c r="AC2" s="363"/>
      <c r="AD2" s="364"/>
      <c r="AE2" s="364"/>
      <c r="AF2" s="364"/>
      <c r="AG2" s="364"/>
      <c r="AH2" s="364"/>
      <c r="AI2" s="364"/>
      <c r="AJ2" s="364"/>
      <c r="AK2" s="364"/>
      <c r="AL2" s="364"/>
      <c r="AM2" s="364"/>
      <c r="AN2" s="364"/>
      <c r="AO2" s="364"/>
      <c r="AP2" s="364"/>
    </row>
    <row r="3" spans="1:42" s="361" customFormat="1" ht="6" customHeight="1">
      <c r="B3" s="2718"/>
      <c r="C3" s="2718"/>
      <c r="D3" s="2718"/>
      <c r="E3" s="2718"/>
      <c r="F3" s="2718"/>
      <c r="G3" s="363"/>
      <c r="H3" s="343"/>
      <c r="I3" s="363"/>
      <c r="J3" s="363"/>
      <c r="K3" s="363"/>
      <c r="L3" s="363"/>
      <c r="M3" s="363"/>
      <c r="N3" s="363"/>
      <c r="O3" s="363"/>
      <c r="P3" s="363"/>
      <c r="Q3" s="363"/>
      <c r="R3" s="363"/>
      <c r="S3" s="363"/>
      <c r="T3" s="363"/>
      <c r="U3" s="363"/>
      <c r="V3" s="363"/>
      <c r="W3" s="363"/>
      <c r="X3" s="363"/>
      <c r="Y3" s="363"/>
      <c r="Z3" s="363"/>
      <c r="AA3" s="363"/>
      <c r="AB3" s="363"/>
      <c r="AC3" s="363"/>
      <c r="AD3" s="364"/>
      <c r="AE3" s="364"/>
      <c r="AF3" s="364"/>
      <c r="AG3" s="364"/>
      <c r="AH3" s="364"/>
      <c r="AI3" s="364"/>
      <c r="AJ3" s="364"/>
      <c r="AK3" s="364"/>
      <c r="AL3" s="364"/>
      <c r="AM3" s="364"/>
      <c r="AN3" s="364"/>
      <c r="AO3" s="364"/>
    </row>
    <row r="4" spans="1:42" s="361" customFormat="1" ht="21" hidden="1">
      <c r="B4" s="362"/>
      <c r="C4" s="2720"/>
      <c r="D4" s="2720"/>
      <c r="E4" s="365"/>
      <c r="F4" s="362"/>
      <c r="G4" s="363"/>
      <c r="H4" s="343"/>
      <c r="I4" s="363"/>
      <c r="J4" s="363"/>
      <c r="K4" s="363"/>
      <c r="L4" s="363"/>
      <c r="M4" s="363"/>
      <c r="N4" s="363"/>
      <c r="O4" s="363"/>
      <c r="P4" s="363"/>
      <c r="Q4" s="363"/>
      <c r="R4" s="363"/>
      <c r="S4" s="363"/>
      <c r="T4" s="363"/>
      <c r="U4" s="363"/>
      <c r="V4" s="363"/>
      <c r="W4" s="363"/>
      <c r="X4" s="363"/>
      <c r="Y4" s="363"/>
      <c r="Z4" s="363"/>
      <c r="AA4" s="363"/>
      <c r="AB4" s="363"/>
      <c r="AC4" s="363"/>
      <c r="AD4" s="364"/>
      <c r="AE4" s="364"/>
      <c r="AF4" s="364"/>
      <c r="AG4" s="364"/>
      <c r="AH4" s="364"/>
      <c r="AI4" s="364"/>
      <c r="AJ4" s="364"/>
      <c r="AK4" s="364"/>
      <c r="AL4" s="364"/>
      <c r="AM4" s="364"/>
      <c r="AN4" s="364"/>
      <c r="AO4" s="364"/>
      <c r="AP4" s="364"/>
    </row>
    <row r="5" spans="1:42" s="361" customFormat="1" ht="21" hidden="1">
      <c r="A5" s="364"/>
      <c r="B5" s="362"/>
      <c r="C5" s="362"/>
      <c r="D5" s="362"/>
      <c r="E5" s="362"/>
      <c r="F5" s="362"/>
      <c r="G5" s="363"/>
      <c r="H5" s="343"/>
      <c r="I5" s="363"/>
      <c r="J5" s="363"/>
      <c r="K5" s="363"/>
      <c r="L5" s="363"/>
      <c r="M5" s="363"/>
      <c r="N5" s="363"/>
      <c r="O5" s="363"/>
      <c r="P5" s="363"/>
      <c r="Q5" s="363"/>
      <c r="R5" s="363"/>
      <c r="S5" s="363"/>
      <c r="T5" s="363"/>
      <c r="U5" s="363"/>
      <c r="V5" s="363"/>
      <c r="W5" s="363"/>
      <c r="X5" s="363"/>
      <c r="Y5" s="363"/>
      <c r="Z5" s="363"/>
      <c r="AA5" s="363"/>
      <c r="AB5" s="363"/>
      <c r="AC5" s="363"/>
      <c r="AD5" s="364"/>
      <c r="AE5" s="364"/>
      <c r="AF5" s="364"/>
      <c r="AG5" s="364"/>
      <c r="AH5" s="364"/>
      <c r="AI5" s="364"/>
      <c r="AJ5" s="364"/>
      <c r="AK5" s="364"/>
      <c r="AL5" s="364"/>
      <c r="AM5" s="364"/>
      <c r="AN5" s="364"/>
      <c r="AO5" s="364"/>
      <c r="AP5" s="364"/>
    </row>
    <row r="6" spans="1:42" s="372" customFormat="1" ht="13.5" hidden="1">
      <c r="A6" s="366"/>
      <c r="B6" s="367"/>
      <c r="C6" s="2721"/>
      <c r="D6" s="2721"/>
      <c r="E6" s="368"/>
      <c r="F6" s="369"/>
      <c r="G6" s="370"/>
      <c r="H6" s="371"/>
      <c r="I6" s="370"/>
      <c r="J6" s="370"/>
      <c r="K6" s="370"/>
      <c r="L6" s="370"/>
      <c r="M6" s="370"/>
      <c r="N6" s="370"/>
      <c r="O6" s="370"/>
      <c r="P6" s="370"/>
      <c r="Q6" s="370"/>
      <c r="R6" s="370"/>
      <c r="S6" s="370"/>
      <c r="T6" s="370"/>
      <c r="U6" s="370"/>
      <c r="V6" s="370"/>
      <c r="W6" s="370"/>
      <c r="X6" s="370"/>
      <c r="Y6" s="370"/>
      <c r="Z6" s="370"/>
      <c r="AA6" s="370"/>
      <c r="AB6" s="370"/>
      <c r="AC6" s="370"/>
      <c r="AD6" s="366"/>
      <c r="AE6" s="366"/>
      <c r="AF6" s="366"/>
      <c r="AG6" s="366"/>
      <c r="AH6" s="366"/>
      <c r="AI6" s="366"/>
      <c r="AJ6" s="366"/>
      <c r="AK6" s="366"/>
      <c r="AL6" s="366"/>
      <c r="AM6" s="366"/>
      <c r="AN6" s="366"/>
      <c r="AO6" s="366"/>
      <c r="AP6" s="366"/>
    </row>
    <row r="7" spans="1:42" s="361" customFormat="1" ht="13.5" hidden="1">
      <c r="A7" s="364"/>
      <c r="B7" s="367"/>
      <c r="C7" s="373"/>
      <c r="D7" s="373"/>
      <c r="E7" s="374"/>
      <c r="F7" s="375"/>
      <c r="G7" s="376"/>
      <c r="H7" s="343"/>
      <c r="I7" s="363"/>
      <c r="J7" s="363"/>
      <c r="K7" s="363"/>
      <c r="L7" s="363"/>
      <c r="M7" s="363"/>
      <c r="N7" s="363"/>
      <c r="O7" s="363"/>
      <c r="P7" s="376"/>
      <c r="Q7" s="376"/>
      <c r="R7" s="376"/>
      <c r="S7" s="376"/>
      <c r="T7" s="376"/>
      <c r="U7" s="376"/>
      <c r="V7" s="376"/>
      <c r="W7" s="376"/>
      <c r="X7" s="376"/>
      <c r="Y7" s="376"/>
      <c r="Z7" s="376"/>
      <c r="AA7" s="376"/>
      <c r="AB7" s="376"/>
      <c r="AC7" s="376"/>
      <c r="AP7" s="364"/>
    </row>
    <row r="8" spans="1:42" ht="9.75" hidden="1" customHeight="1">
      <c r="B8" s="377"/>
      <c r="C8" s="343"/>
      <c r="D8" s="345"/>
      <c r="E8" s="345"/>
      <c r="F8" s="345"/>
      <c r="H8" s="343"/>
      <c r="I8" s="2706"/>
      <c r="J8" s="2706"/>
      <c r="K8" s="342"/>
      <c r="L8" s="342"/>
      <c r="M8" s="342"/>
      <c r="N8" s="342"/>
      <c r="O8" s="342"/>
    </row>
    <row r="9" spans="1:42" s="361" customFormat="1" ht="15.75" customHeight="1">
      <c r="B9" s="364"/>
      <c r="F9" s="363"/>
      <c r="G9" s="376"/>
      <c r="H9" s="378"/>
      <c r="Q9" s="376"/>
      <c r="R9" s="376"/>
      <c r="S9" s="376"/>
      <c r="T9" s="376"/>
      <c r="U9" s="376"/>
      <c r="V9" s="376"/>
      <c r="W9" s="376"/>
      <c r="X9" s="376"/>
      <c r="Y9" s="376"/>
      <c r="Z9" s="376"/>
      <c r="AA9" s="376"/>
      <c r="AB9" s="376"/>
      <c r="AC9" s="376"/>
    </row>
    <row r="10" spans="1:42" s="337" customFormat="1" ht="15.75" customHeight="1">
      <c r="A10" s="332"/>
      <c r="B10" s="560" t="s">
        <v>507</v>
      </c>
      <c r="C10" s="333"/>
      <c r="D10" s="333"/>
      <c r="E10" s="334"/>
      <c r="F10" s="334"/>
      <c r="G10" s="334"/>
      <c r="H10" s="334"/>
      <c r="I10" s="335"/>
      <c r="J10" s="335"/>
      <c r="K10" s="427"/>
      <c r="L10" s="426"/>
      <c r="M10" s="427"/>
      <c r="N10" s="597"/>
      <c r="O10" s="426"/>
      <c r="P10" s="426"/>
      <c r="Q10" s="426"/>
      <c r="R10" s="426"/>
      <c r="S10" s="426"/>
      <c r="T10" s="426"/>
      <c r="U10" s="427"/>
      <c r="V10" s="427"/>
      <c r="W10" s="427"/>
      <c r="X10" s="427"/>
      <c r="Y10" s="427"/>
      <c r="Z10" s="427"/>
      <c r="AA10" s="427"/>
      <c r="AB10" s="427"/>
      <c r="AC10" s="427"/>
      <c r="AD10" s="427"/>
      <c r="AE10" s="427"/>
      <c r="AF10" s="427"/>
      <c r="AG10" s="427"/>
      <c r="AH10" s="427"/>
      <c r="AI10" s="427"/>
      <c r="AJ10" s="427"/>
      <c r="AK10" s="427"/>
    </row>
    <row r="11" spans="1:42" s="336" customFormat="1" ht="16.5" customHeight="1">
      <c r="A11" s="338"/>
      <c r="B11" s="541" t="s">
        <v>277</v>
      </c>
      <c r="C11" s="339"/>
      <c r="D11" s="340"/>
      <c r="F11" s="2663"/>
      <c r="G11" s="2663"/>
      <c r="H11" s="2663"/>
      <c r="I11" s="605">
        <f>'Building Input'!C80</f>
        <v>0</v>
      </c>
      <c r="J11" s="348"/>
      <c r="K11" s="640">
        <v>1</v>
      </c>
      <c r="L11" s="426" t="s">
        <v>589</v>
      </c>
      <c r="M11" s="426" t="e">
        <f>VLOOKUP($K11,$K184:$M187,3)</f>
        <v>#N/A</v>
      </c>
      <c r="N11" s="426" t="s">
        <v>590</v>
      </c>
      <c r="O11" s="426"/>
      <c r="P11" s="426"/>
      <c r="Q11" s="426"/>
      <c r="R11" s="426"/>
      <c r="S11" s="426"/>
      <c r="T11" s="426"/>
      <c r="U11" s="426"/>
      <c r="V11" s="426"/>
      <c r="W11" s="426"/>
      <c r="X11" s="426"/>
      <c r="Y11" s="426"/>
      <c r="Z11" s="426"/>
      <c r="AA11" s="426"/>
      <c r="AB11" s="426"/>
      <c r="AC11" s="426"/>
      <c r="AD11" s="426"/>
      <c r="AE11" s="426"/>
      <c r="AF11" s="426"/>
      <c r="AG11" s="426"/>
      <c r="AH11" s="426"/>
      <c r="AI11" s="426"/>
      <c r="AJ11" s="426"/>
      <c r="AK11" s="426"/>
    </row>
    <row r="12" spans="1:42" s="336" customFormat="1" ht="16.5" customHeight="1">
      <c r="A12" s="338"/>
      <c r="B12" s="541" t="s">
        <v>278</v>
      </c>
      <c r="C12" s="339"/>
      <c r="D12" s="340"/>
      <c r="F12" s="604"/>
      <c r="G12" s="604"/>
      <c r="H12" s="604"/>
      <c r="I12" s="605">
        <f>I11/60</f>
        <v>0</v>
      </c>
      <c r="J12" s="348"/>
      <c r="K12" s="426"/>
      <c r="L12" s="426"/>
      <c r="M12" s="426"/>
      <c r="N12" s="426"/>
      <c r="O12" s="426"/>
      <c r="P12" s="426"/>
      <c r="Q12" s="426"/>
      <c r="R12" s="426"/>
      <c r="S12" s="426"/>
      <c r="T12" s="426"/>
      <c r="U12" s="426"/>
      <c r="V12" s="426"/>
      <c r="W12" s="426"/>
      <c r="X12" s="426"/>
      <c r="Y12" s="426"/>
      <c r="Z12" s="426"/>
      <c r="AA12" s="426"/>
      <c r="AB12" s="426"/>
      <c r="AC12" s="426"/>
      <c r="AD12" s="426"/>
      <c r="AE12" s="426"/>
      <c r="AF12" s="426"/>
      <c r="AG12" s="426"/>
      <c r="AH12" s="426"/>
      <c r="AI12" s="426"/>
      <c r="AJ12" s="426"/>
      <c r="AK12" s="426"/>
    </row>
    <row r="13" spans="1:42" s="361" customFormat="1" ht="15.75" customHeight="1">
      <c r="B13" s="364"/>
      <c r="F13" s="363"/>
      <c r="G13" s="376"/>
      <c r="H13" s="378"/>
      <c r="Q13" s="376"/>
      <c r="R13" s="376"/>
      <c r="S13" s="376"/>
      <c r="T13" s="376"/>
      <c r="U13" s="376"/>
      <c r="V13" s="376"/>
      <c r="W13" s="376"/>
      <c r="X13" s="376"/>
      <c r="Y13" s="376"/>
      <c r="Z13" s="376"/>
      <c r="AA13" s="376"/>
      <c r="AB13" s="376"/>
      <c r="AC13" s="376"/>
    </row>
    <row r="14" spans="1:42" ht="15.75">
      <c r="B14" s="363"/>
      <c r="C14" s="2719" t="s">
        <v>1989</v>
      </c>
      <c r="D14" s="2719"/>
      <c r="E14" s="2719"/>
      <c r="F14" s="378"/>
      <c r="H14" s="343"/>
    </row>
    <row r="15" spans="1:42" ht="13.5" thickBot="1">
      <c r="B15" s="363"/>
      <c r="C15" s="364" t="s">
        <v>553</v>
      </c>
      <c r="D15" s="364"/>
      <c r="E15" s="380"/>
      <c r="F15" s="378"/>
      <c r="H15" s="343"/>
    </row>
    <row r="16" spans="1:42" ht="73.5" customHeight="1" thickBot="1">
      <c r="B16" s="363"/>
      <c r="C16" s="2709" t="s">
        <v>1997</v>
      </c>
      <c r="D16" s="2710"/>
      <c r="E16" s="2711"/>
      <c r="F16" s="378"/>
      <c r="H16" s="343"/>
    </row>
    <row r="17" spans="2:15" ht="62.25" customHeight="1" thickBot="1">
      <c r="B17" s="363"/>
      <c r="C17" s="1203"/>
      <c r="D17" s="1204"/>
      <c r="E17" s="1205" t="s">
        <v>121</v>
      </c>
      <c r="F17" s="1205" t="s">
        <v>337</v>
      </c>
      <c r="H17" s="343"/>
    </row>
    <row r="18" spans="2:15" ht="13.5" thickBot="1">
      <c r="B18" s="363"/>
      <c r="C18" s="2709"/>
      <c r="D18" s="2710"/>
      <c r="E18" s="1206" t="s">
        <v>1967</v>
      </c>
      <c r="F18" s="1206" t="s">
        <v>1967</v>
      </c>
      <c r="H18" s="343"/>
    </row>
    <row r="19" spans="2:15">
      <c r="B19" s="363"/>
      <c r="C19" s="2684" t="str">
        <f>'Potable Water Calculator'!O466</f>
        <v>Toilets</v>
      </c>
      <c r="D19" s="2685"/>
      <c r="E19" s="1097">
        <f>'Potable Water Calculator'!C105</f>
        <v>0</v>
      </c>
      <c r="F19" s="1097">
        <f>'Potable Water Calculator'!Q466</f>
        <v>0</v>
      </c>
      <c r="H19" s="343"/>
    </row>
    <row r="20" spans="2:15" ht="13.5" customHeight="1">
      <c r="B20" s="363"/>
      <c r="C20" s="2684" t="str">
        <f>'Potable Water Calculator'!O467</f>
        <v>Urinals</v>
      </c>
      <c r="D20" s="2685"/>
      <c r="E20" s="1097">
        <f>'Potable Water Calculator'!C106</f>
        <v>0</v>
      </c>
      <c r="F20" s="1097">
        <f>'Potable Water Calculator'!Q467</f>
        <v>0</v>
      </c>
      <c r="H20" s="343"/>
      <c r="I20" s="363"/>
      <c r="J20" s="363"/>
      <c r="K20" s="363"/>
      <c r="L20" s="363"/>
      <c r="M20" s="363"/>
      <c r="N20" s="363"/>
      <c r="O20" s="363"/>
    </row>
    <row r="21" spans="2:15" ht="13.5" customHeight="1">
      <c r="B21" s="363"/>
      <c r="C21" s="2684" t="str">
        <f>'Potable Water Calculator'!O468</f>
        <v>WHB</v>
      </c>
      <c r="D21" s="2685"/>
      <c r="E21" s="1097">
        <f>'Potable Water Calculator'!C107</f>
        <v>0</v>
      </c>
      <c r="F21" s="1097">
        <f>'Potable Water Calculator'!Q468</f>
        <v>0</v>
      </c>
      <c r="H21" s="343"/>
      <c r="I21" s="363"/>
      <c r="J21" s="363"/>
      <c r="K21" s="363"/>
      <c r="L21" s="363"/>
      <c r="M21" s="363"/>
      <c r="N21" s="363"/>
      <c r="O21" s="363"/>
    </row>
    <row r="22" spans="2:15" ht="13.5" customHeight="1">
      <c r="B22" s="363"/>
      <c r="C22" s="2684" t="str">
        <f>'Potable Water Calculator'!O469</f>
        <v>Showers</v>
      </c>
      <c r="D22" s="2685"/>
      <c r="E22" s="1097">
        <f>'Potable Water Calculator'!C108</f>
        <v>0</v>
      </c>
      <c r="F22" s="1097">
        <f>'Potable Water Calculator'!Q469</f>
        <v>0</v>
      </c>
      <c r="H22" s="343"/>
      <c r="I22" s="363"/>
      <c r="J22" s="363"/>
      <c r="K22" s="363"/>
      <c r="L22" s="363"/>
      <c r="M22" s="363"/>
      <c r="N22" s="363"/>
      <c r="O22" s="363"/>
    </row>
    <row r="23" spans="2:15" ht="13.5" customHeight="1">
      <c r="B23" s="363"/>
      <c r="C23" s="2684" t="str">
        <f>'Potable Water Calculator'!O470</f>
        <v>Heat Rejection Bleed</v>
      </c>
      <c r="D23" s="2685"/>
      <c r="E23" s="1097">
        <f>'Potable Water Calculator'!S156</f>
        <v>0</v>
      </c>
      <c r="F23" s="1097">
        <f>'Potable Water Calculator'!Q470</f>
        <v>0</v>
      </c>
      <c r="H23" s="343"/>
      <c r="I23" s="363"/>
      <c r="J23" s="363"/>
      <c r="K23" s="363"/>
      <c r="L23" s="363"/>
      <c r="M23" s="363"/>
      <c r="N23" s="363"/>
      <c r="O23" s="363"/>
    </row>
    <row r="24" spans="2:15" ht="13.5" customHeight="1" thickBot="1">
      <c r="B24" s="363"/>
      <c r="C24" s="2684" t="str">
        <f>'Potable Water Calculator'!O471</f>
        <v>Swimming Pool Backwash</v>
      </c>
      <c r="D24" s="2685"/>
      <c r="E24" s="1097">
        <f>'Potable Water Calculator'!D243</f>
        <v>0</v>
      </c>
      <c r="F24" s="1097">
        <f>'Potable Water Calculator'!Q471</f>
        <v>0</v>
      </c>
      <c r="H24" s="343"/>
      <c r="I24" s="363"/>
      <c r="J24" s="363"/>
      <c r="K24" s="363"/>
      <c r="L24" s="363"/>
      <c r="M24" s="363"/>
      <c r="N24" s="363"/>
      <c r="O24" s="363"/>
    </row>
    <row r="25" spans="2:15" ht="26.25" customHeight="1" thickBot="1">
      <c r="B25" s="363"/>
      <c r="C25" s="2712" t="s">
        <v>1968</v>
      </c>
      <c r="D25" s="2713"/>
      <c r="E25" s="1098">
        <f>SUM(E19:E24)</f>
        <v>0</v>
      </c>
      <c r="F25" s="1098">
        <f>SUM(F19:F24)</f>
        <v>0</v>
      </c>
      <c r="H25" s="343"/>
      <c r="I25" s="363"/>
      <c r="J25" s="363"/>
      <c r="K25" s="363"/>
      <c r="L25" s="363"/>
      <c r="M25" s="363"/>
      <c r="N25" s="363"/>
      <c r="O25" s="363"/>
    </row>
    <row r="26" spans="2:15" s="363" customFormat="1" ht="8.25" customHeight="1">
      <c r="C26" s="364"/>
      <c r="E26" s="380"/>
      <c r="H26" s="343"/>
    </row>
    <row r="27" spans="2:15" ht="4.5" customHeight="1">
      <c r="B27" s="363"/>
      <c r="C27" s="363"/>
      <c r="D27" s="363"/>
      <c r="E27" s="379"/>
      <c r="F27" s="363"/>
      <c r="H27" s="343"/>
      <c r="I27" s="363"/>
      <c r="J27" s="363"/>
      <c r="K27" s="363"/>
      <c r="L27" s="363"/>
      <c r="M27" s="363"/>
      <c r="N27" s="363"/>
      <c r="O27" s="363"/>
    </row>
    <row r="28" spans="2:15" ht="21.75" customHeight="1" thickBot="1">
      <c r="B28" s="363"/>
      <c r="C28" s="1104" t="s">
        <v>1990</v>
      </c>
      <c r="D28" s="363"/>
      <c r="E28" s="379"/>
      <c r="F28" s="341"/>
      <c r="H28" s="343"/>
      <c r="I28" s="363"/>
      <c r="J28" s="363"/>
      <c r="K28" s="363"/>
      <c r="L28" s="363"/>
      <c r="M28" s="363"/>
      <c r="N28" s="363"/>
      <c r="O28" s="363"/>
    </row>
    <row r="29" spans="2:15" ht="40.5" customHeight="1" thickBot="1">
      <c r="B29" s="363"/>
      <c r="C29" s="2714"/>
      <c r="D29" s="2715"/>
      <c r="E29" s="1206" t="s">
        <v>1993</v>
      </c>
      <c r="F29" s="363"/>
      <c r="H29" s="343"/>
      <c r="I29" s="363"/>
      <c r="J29" s="363"/>
      <c r="K29" s="363"/>
      <c r="L29" s="363"/>
      <c r="M29" s="363"/>
      <c r="N29" s="363"/>
      <c r="O29" s="363"/>
    </row>
    <row r="30" spans="2:15">
      <c r="B30" s="363"/>
      <c r="C30" s="2684" t="str">
        <f>C19</f>
        <v>Toilets</v>
      </c>
      <c r="D30" s="2685"/>
      <c r="E30" s="1097">
        <f>'Potable Water Calculator'!D375*'Potable Water Calculator'!E375</f>
        <v>0</v>
      </c>
      <c r="F30" s="363"/>
      <c r="H30" s="343"/>
    </row>
    <row r="31" spans="2:15" ht="13.5" customHeight="1">
      <c r="B31" s="363"/>
      <c r="C31" s="2684" t="str">
        <f>C20</f>
        <v>Urinals</v>
      </c>
      <c r="D31" s="2685"/>
      <c r="E31" s="1097">
        <f>'Potable Water Calculator'!D376*'Potable Water Calculator'!E376</f>
        <v>0</v>
      </c>
      <c r="F31" s="363"/>
      <c r="H31" s="343"/>
      <c r="I31" s="363"/>
      <c r="J31" s="363"/>
      <c r="K31" s="363"/>
      <c r="L31" s="363"/>
      <c r="M31" s="363"/>
      <c r="N31" s="363"/>
      <c r="O31" s="363"/>
    </row>
    <row r="32" spans="2:15" ht="13.5" customHeight="1">
      <c r="B32" s="363"/>
      <c r="C32" s="2684" t="str">
        <f>'Potable Water Calculator'!O468</f>
        <v>WHB</v>
      </c>
      <c r="D32" s="2685"/>
      <c r="E32" s="1097">
        <f>'Potable Water Calculator'!D377*'Potable Water Calculator'!E377</f>
        <v>0</v>
      </c>
      <c r="F32" s="363"/>
      <c r="H32" s="343"/>
      <c r="I32" s="363"/>
      <c r="J32" s="363"/>
      <c r="K32" s="363"/>
      <c r="L32" s="363"/>
      <c r="M32" s="363"/>
      <c r="N32" s="363"/>
      <c r="O32" s="363"/>
    </row>
    <row r="33" spans="2:17" ht="13.5" customHeight="1">
      <c r="B33" s="363"/>
      <c r="C33" s="2684" t="str">
        <f>'Potable Water Calculator'!O469</f>
        <v>Showers</v>
      </c>
      <c r="D33" s="2685"/>
      <c r="E33" s="1097">
        <f>'Potable Water Calculator'!D378*'Potable Water Calculator'!E378</f>
        <v>0</v>
      </c>
      <c r="F33" s="363"/>
      <c r="H33" s="343"/>
      <c r="I33" s="363"/>
      <c r="J33" s="363"/>
      <c r="K33" s="363"/>
      <c r="L33" s="363"/>
      <c r="M33" s="363"/>
      <c r="N33" s="363"/>
      <c r="O33" s="363"/>
    </row>
    <row r="34" spans="2:17" ht="13.5" customHeight="1">
      <c r="B34" s="363"/>
      <c r="C34" s="2684" t="str">
        <f>'Potable Water Calculator'!O470</f>
        <v>Heat Rejection Bleed</v>
      </c>
      <c r="D34" s="2685"/>
      <c r="E34" s="1097">
        <f>'Potable Water Calculator'!D379*'Potable Water Calculator'!E379</f>
        <v>0</v>
      </c>
      <c r="F34" s="363"/>
      <c r="H34" s="343"/>
      <c r="I34" s="363"/>
      <c r="J34" s="363"/>
      <c r="K34" s="363"/>
      <c r="L34" s="363"/>
      <c r="M34" s="363"/>
      <c r="N34" s="363"/>
      <c r="O34" s="363"/>
    </row>
    <row r="35" spans="2:17" ht="13.5" customHeight="1" thickBot="1">
      <c r="B35" s="363"/>
      <c r="C35" s="2684" t="str">
        <f>'Potable Water Calculator'!O471</f>
        <v>Swimming Pool Backwash</v>
      </c>
      <c r="D35" s="2685"/>
      <c r="E35" s="1097">
        <f>'Potable Water Calculator'!D380*'Potable Water Calculator'!E380</f>
        <v>0</v>
      </c>
      <c r="F35" s="363"/>
      <c r="H35" s="343"/>
      <c r="I35" s="363"/>
      <c r="J35" s="363"/>
      <c r="K35" s="363"/>
      <c r="L35" s="363"/>
      <c r="M35" s="363"/>
      <c r="N35" s="363"/>
      <c r="O35" s="363"/>
    </row>
    <row r="36" spans="2:17" ht="26.25" customHeight="1" thickBot="1">
      <c r="B36" s="363"/>
      <c r="C36" s="2709" t="s">
        <v>1991</v>
      </c>
      <c r="D36" s="2710"/>
      <c r="E36" s="1107">
        <f>SUM(E30:E35)</f>
        <v>0</v>
      </c>
      <c r="F36" s="363"/>
      <c r="H36" s="343"/>
      <c r="I36" s="363" t="s">
        <v>285</v>
      </c>
      <c r="J36" s="1105">
        <f>'[9]Potable Water Calculator_old'!L53</f>
        <v>0</v>
      </c>
      <c r="K36" s="363" t="s">
        <v>1992</v>
      </c>
      <c r="L36" s="378"/>
      <c r="M36" s="378"/>
      <c r="N36" s="1106"/>
      <c r="O36" s="363"/>
    </row>
    <row r="37" spans="2:17" ht="26.25" customHeight="1">
      <c r="B37" s="363"/>
      <c r="C37" s="363"/>
      <c r="D37" s="363"/>
      <c r="E37" s="363"/>
      <c r="F37" s="363"/>
      <c r="H37" s="343"/>
      <c r="I37" s="363"/>
      <c r="J37" s="1105"/>
      <c r="K37" s="363"/>
      <c r="L37" s="378"/>
      <c r="M37" s="378"/>
      <c r="N37" s="1106"/>
      <c r="O37" s="363"/>
    </row>
    <row r="38" spans="2:17" ht="33" customHeight="1" thickBot="1">
      <c r="B38" s="363"/>
      <c r="C38" s="2707" t="s">
        <v>1969</v>
      </c>
      <c r="D38" s="2708"/>
      <c r="E38" s="1099" t="str">
        <f>IF(F25=0,"0", (1-(E25-E36)/F25))</f>
        <v>0</v>
      </c>
      <c r="F38" s="363"/>
      <c r="H38" s="343"/>
      <c r="I38" s="363"/>
      <c r="J38" s="363"/>
      <c r="K38" s="381"/>
      <c r="L38" s="363"/>
      <c r="M38" s="363"/>
      <c r="N38" s="363"/>
      <c r="O38" s="363"/>
    </row>
    <row r="39" spans="2:17" ht="27.75" customHeight="1" thickBot="1">
      <c r="B39" s="363"/>
      <c r="C39" s="2688" t="s">
        <v>258</v>
      </c>
      <c r="D39" s="2689"/>
      <c r="E39" s="643" t="str">
        <f>IF(E25=0, "0", (VLOOKUP(E38,C43:D47,2,TRUE)))</f>
        <v>0</v>
      </c>
      <c r="F39" s="363"/>
      <c r="H39" s="343"/>
      <c r="I39" s="363"/>
      <c r="J39" s="363"/>
      <c r="K39" s="381"/>
      <c r="L39" s="363"/>
      <c r="M39" s="363"/>
      <c r="N39" s="363"/>
      <c r="O39" s="363"/>
    </row>
    <row r="40" spans="2:17" ht="13.5" thickBot="1">
      <c r="B40" s="363"/>
      <c r="C40" s="363"/>
      <c r="D40" s="363"/>
      <c r="E40" s="379"/>
      <c r="F40" s="363"/>
      <c r="H40" s="343"/>
      <c r="I40" s="363"/>
      <c r="J40" s="363"/>
      <c r="K40" s="363"/>
      <c r="L40" s="363"/>
      <c r="M40" s="363"/>
      <c r="N40" s="363"/>
      <c r="O40" s="363"/>
      <c r="P40" s="363"/>
      <c r="Q40" s="363"/>
    </row>
    <row r="41" spans="2:17" ht="14.25" customHeight="1">
      <c r="B41" s="363"/>
      <c r="C41" s="2700" t="s">
        <v>1156</v>
      </c>
      <c r="D41" s="2702" t="s">
        <v>658</v>
      </c>
      <c r="E41" s="2704"/>
      <c r="F41" s="363"/>
      <c r="H41" s="343"/>
      <c r="I41" s="382" t="s">
        <v>1156</v>
      </c>
      <c r="J41" s="2697" t="s">
        <v>1157</v>
      </c>
      <c r="K41" s="2698"/>
      <c r="L41" s="2699"/>
      <c r="M41" s="383" t="s">
        <v>658</v>
      </c>
      <c r="N41" s="384" t="s">
        <v>382</v>
      </c>
      <c r="O41" s="385" t="s">
        <v>911</v>
      </c>
      <c r="P41" s="342"/>
      <c r="Q41" s="363"/>
    </row>
    <row r="42" spans="2:17" ht="14.25" customHeight="1" thickBot="1">
      <c r="B42" s="363"/>
      <c r="C42" s="2701"/>
      <c r="D42" s="2703"/>
      <c r="E42" s="2705"/>
      <c r="F42" s="363"/>
      <c r="H42" s="343"/>
      <c r="I42" s="2695"/>
      <c r="J42" s="386" t="s">
        <v>370</v>
      </c>
      <c r="K42" s="387" t="s">
        <v>909</v>
      </c>
      <c r="L42" s="388"/>
      <c r="M42" s="389"/>
      <c r="N42" s="387" t="s">
        <v>370</v>
      </c>
      <c r="O42" s="388" t="s">
        <v>910</v>
      </c>
      <c r="P42" s="345"/>
      <c r="Q42" s="363"/>
    </row>
    <row r="43" spans="2:17" ht="14.25" customHeight="1">
      <c r="B43" s="363"/>
      <c r="C43" s="1101">
        <v>0</v>
      </c>
      <c r="D43" s="1102">
        <v>0</v>
      </c>
      <c r="E43" s="1103"/>
      <c r="F43" s="1100"/>
      <c r="H43" s="343"/>
      <c r="I43" s="2696"/>
      <c r="J43" s="386">
        <v>0</v>
      </c>
      <c r="K43" s="387">
        <v>1</v>
      </c>
      <c r="L43" s="388"/>
      <c r="M43" s="389"/>
      <c r="N43" s="387"/>
      <c r="O43" s="388"/>
      <c r="P43" s="345"/>
      <c r="Q43" s="363"/>
    </row>
    <row r="44" spans="2:17" ht="14.25" customHeight="1">
      <c r="B44" s="363"/>
      <c r="C44" s="251">
        <v>0.3</v>
      </c>
      <c r="D44" s="252">
        <v>1</v>
      </c>
      <c r="E44" s="835"/>
      <c r="F44" s="1100"/>
      <c r="H44" s="343"/>
      <c r="I44" s="390">
        <v>0.9</v>
      </c>
      <c r="J44" s="386">
        <f>(1-I44)*$J$49</f>
        <v>9.9999999999999978E-2</v>
      </c>
      <c r="K44" s="386">
        <f>(1-I44)*$K$49</f>
        <v>0.13999999999999996</v>
      </c>
      <c r="L44" s="388"/>
      <c r="M44" s="389">
        <v>4</v>
      </c>
      <c r="N44" s="391">
        <f t="shared" ref="N44:O48" si="0">IF($E$38&lt;=J44,1,0)</f>
        <v>0</v>
      </c>
      <c r="O44" s="392">
        <f t="shared" si="0"/>
        <v>0</v>
      </c>
      <c r="P44" s="344"/>
      <c r="Q44" s="363">
        <f>K44-J44</f>
        <v>3.999999999999998E-2</v>
      </c>
    </row>
    <row r="45" spans="2:17" ht="14.25" customHeight="1">
      <c r="B45" s="363"/>
      <c r="C45" s="251">
        <v>0.5</v>
      </c>
      <c r="D45" s="252">
        <v>2</v>
      </c>
      <c r="E45" s="835"/>
      <c r="F45" s="1100"/>
      <c r="H45" s="343"/>
      <c r="I45" s="390">
        <v>0.7</v>
      </c>
      <c r="J45" s="386">
        <f>(1-I45)*$J$49</f>
        <v>0.30000000000000004</v>
      </c>
      <c r="K45" s="386">
        <f>(1-I45)*$K$49</f>
        <v>0.42000000000000004</v>
      </c>
      <c r="L45" s="388"/>
      <c r="M45" s="389">
        <v>3</v>
      </c>
      <c r="N45" s="391">
        <f t="shared" si="0"/>
        <v>0</v>
      </c>
      <c r="O45" s="392">
        <f t="shared" si="0"/>
        <v>0</v>
      </c>
      <c r="P45" s="344"/>
      <c r="Q45" s="363">
        <f>K45-J45</f>
        <v>0.12</v>
      </c>
    </row>
    <row r="46" spans="2:17" ht="14.25" customHeight="1">
      <c r="B46" s="363"/>
      <c r="C46" s="251">
        <v>0.7</v>
      </c>
      <c r="D46" s="252">
        <v>3</v>
      </c>
      <c r="E46" s="835"/>
      <c r="F46" s="1100"/>
      <c r="H46" s="393"/>
      <c r="I46" s="390">
        <v>0.5</v>
      </c>
      <c r="J46" s="386">
        <f>(1-I46)*$J$49</f>
        <v>0.5</v>
      </c>
      <c r="K46" s="386">
        <f>(1-I46)*$K$49</f>
        <v>0.7</v>
      </c>
      <c r="L46" s="388"/>
      <c r="M46" s="389">
        <v>2</v>
      </c>
      <c r="N46" s="391">
        <f t="shared" si="0"/>
        <v>0</v>
      </c>
      <c r="O46" s="392">
        <f t="shared" si="0"/>
        <v>0</v>
      </c>
      <c r="P46" s="344"/>
      <c r="Q46" s="363">
        <f>K46-J46</f>
        <v>0.19999999999999996</v>
      </c>
    </row>
    <row r="47" spans="2:17" ht="14.25" customHeight="1" thickBot="1">
      <c r="B47" s="363"/>
      <c r="C47" s="253">
        <v>0.9</v>
      </c>
      <c r="D47" s="254">
        <v>4</v>
      </c>
      <c r="E47" s="836"/>
      <c r="F47" s="1100"/>
      <c r="H47" s="393"/>
      <c r="I47" s="390"/>
      <c r="J47" s="386"/>
      <c r="K47" s="386"/>
      <c r="L47" s="388"/>
      <c r="M47" s="389"/>
      <c r="N47" s="391"/>
      <c r="O47" s="392"/>
      <c r="P47" s="344"/>
      <c r="Q47" s="363"/>
    </row>
    <row r="48" spans="2:17" ht="14.25" customHeight="1">
      <c r="B48" s="363"/>
      <c r="C48" s="363"/>
      <c r="D48" s="363"/>
      <c r="E48" s="380"/>
      <c r="F48" s="363"/>
      <c r="H48" s="343"/>
      <c r="I48" s="390">
        <v>0.3</v>
      </c>
      <c r="J48" s="386">
        <f>(1-I48)*$J$49</f>
        <v>0.7</v>
      </c>
      <c r="K48" s="386">
        <f>(1-I48)*$K$49</f>
        <v>0.97999999999999987</v>
      </c>
      <c r="L48" s="388"/>
      <c r="M48" s="389">
        <v>1</v>
      </c>
      <c r="N48" s="391">
        <f t="shared" si="0"/>
        <v>0</v>
      </c>
      <c r="O48" s="392">
        <f t="shared" si="0"/>
        <v>0</v>
      </c>
      <c r="P48" s="344"/>
      <c r="Q48" s="363">
        <f>K48-J48</f>
        <v>0.27999999999999992</v>
      </c>
    </row>
    <row r="49" spans="2:17" ht="14.25" customHeight="1" thickBot="1">
      <c r="B49" s="363"/>
      <c r="C49" s="363"/>
      <c r="D49" s="363"/>
      <c r="E49" s="363"/>
      <c r="F49" s="363"/>
      <c r="H49" s="393"/>
      <c r="I49" s="394" t="s">
        <v>848</v>
      </c>
      <c r="J49" s="395">
        <f>15/15</f>
        <v>1</v>
      </c>
      <c r="K49" s="396">
        <v>1.4</v>
      </c>
      <c r="L49" s="397"/>
      <c r="M49" s="398">
        <v>0</v>
      </c>
      <c r="N49" s="396">
        <v>0</v>
      </c>
      <c r="O49" s="397">
        <v>0</v>
      </c>
      <c r="P49" s="345"/>
      <c r="Q49" s="363"/>
    </row>
    <row r="50" spans="2:17" ht="31.5" customHeight="1" thickBot="1">
      <c r="B50" s="363"/>
      <c r="C50" s="363"/>
      <c r="D50" s="363"/>
      <c r="E50" s="380"/>
      <c r="F50" s="363"/>
      <c r="H50" s="343"/>
      <c r="I50" s="343"/>
      <c r="J50" s="343"/>
      <c r="K50" s="343"/>
      <c r="L50" s="343"/>
      <c r="M50" s="343"/>
      <c r="N50" s="347">
        <f>SUM(N44:N49)</f>
        <v>0</v>
      </c>
      <c r="O50" s="399">
        <f>SUM(O44:O49)</f>
        <v>0</v>
      </c>
      <c r="P50" s="342"/>
      <c r="Q50" s="363"/>
    </row>
    <row r="51" spans="2:17" ht="24" customHeight="1">
      <c r="B51" s="363"/>
      <c r="C51" s="363"/>
      <c r="D51" s="363"/>
      <c r="E51" s="380"/>
      <c r="F51" s="363"/>
      <c r="H51" s="393"/>
      <c r="I51" s="363"/>
      <c r="J51" s="363"/>
      <c r="K51" s="363"/>
      <c r="L51" s="363"/>
      <c r="M51" s="363"/>
      <c r="N51" s="363"/>
      <c r="O51" s="363"/>
    </row>
    <row r="52" spans="2:17" ht="18.75" customHeight="1">
      <c r="H52" s="393"/>
      <c r="I52" s="401" t="s">
        <v>285</v>
      </c>
      <c r="J52" s="2686" t="s">
        <v>516</v>
      </c>
      <c r="K52" s="2686"/>
      <c r="L52" s="401" t="s">
        <v>258</v>
      </c>
      <c r="M52" s="363"/>
      <c r="N52" s="363"/>
    </row>
    <row r="53" spans="2:17" ht="18.75" customHeight="1">
      <c r="H53" s="343"/>
      <c r="I53" s="402">
        <v>0</v>
      </c>
      <c r="J53" s="2690" t="s">
        <v>370</v>
      </c>
      <c r="K53" s="2691"/>
      <c r="L53" s="403">
        <f>N50</f>
        <v>0</v>
      </c>
      <c r="M53" s="363"/>
      <c r="N53" s="363"/>
    </row>
    <row r="54" spans="2:17" ht="18.75" customHeight="1">
      <c r="H54" s="343"/>
      <c r="I54" s="402">
        <v>1</v>
      </c>
      <c r="J54" s="2692" t="s">
        <v>909</v>
      </c>
      <c r="K54" s="2693"/>
      <c r="L54" s="403">
        <f>O50</f>
        <v>0</v>
      </c>
      <c r="M54" s="363"/>
      <c r="N54" s="363"/>
    </row>
    <row r="55" spans="2:17" ht="18.75" customHeight="1">
      <c r="G55" s="363"/>
      <c r="H55" s="343"/>
      <c r="I55" s="404"/>
      <c r="J55" s="2694"/>
      <c r="K55" s="2694"/>
      <c r="L55" s="405"/>
      <c r="M55" s="363"/>
      <c r="N55" s="363"/>
    </row>
    <row r="56" spans="2:17" ht="18.75" customHeight="1">
      <c r="G56" s="363"/>
      <c r="H56" s="343"/>
      <c r="I56" s="363"/>
      <c r="J56" s="363"/>
      <c r="K56" s="363"/>
      <c r="L56" s="363"/>
      <c r="M56" s="363"/>
      <c r="N56" s="363"/>
    </row>
    <row r="57" spans="2:17" ht="18.75" customHeight="1">
      <c r="H57" s="343"/>
      <c r="I57" s="406"/>
      <c r="J57" s="406"/>
      <c r="K57" s="406"/>
      <c r="L57" s="363"/>
      <c r="M57" s="363"/>
      <c r="N57" s="363"/>
    </row>
    <row r="58" spans="2:17" ht="18.75" customHeight="1">
      <c r="H58" s="343"/>
      <c r="I58" s="406"/>
      <c r="J58" s="406"/>
      <c r="K58" s="406"/>
      <c r="L58" s="363"/>
      <c r="M58" s="363"/>
      <c r="N58" s="363"/>
      <c r="O58" s="363"/>
    </row>
    <row r="59" spans="2:17" ht="18.75" customHeight="1">
      <c r="H59" s="343"/>
      <c r="I59" s="406"/>
      <c r="J59" s="406"/>
      <c r="K59" s="406"/>
      <c r="L59" s="363"/>
      <c r="M59" s="363"/>
      <c r="N59" s="363"/>
      <c r="O59" s="363"/>
    </row>
    <row r="60" spans="2:17" ht="18.75" customHeight="1">
      <c r="H60" s="343"/>
      <c r="I60" s="406"/>
      <c r="J60" s="406"/>
      <c r="K60" s="406"/>
      <c r="L60" s="363"/>
      <c r="M60" s="363"/>
      <c r="N60" s="363"/>
      <c r="O60" s="363"/>
    </row>
    <row r="61" spans="2:17">
      <c r="H61" s="343"/>
      <c r="I61" s="406"/>
      <c r="J61" s="406"/>
      <c r="K61" s="407"/>
      <c r="L61" s="363"/>
      <c r="M61" s="363"/>
      <c r="N61" s="363"/>
      <c r="O61" s="363"/>
    </row>
    <row r="62" spans="2:17">
      <c r="H62" s="343"/>
      <c r="I62" s="406"/>
      <c r="J62" s="406"/>
      <c r="K62" s="407"/>
      <c r="L62" s="363"/>
      <c r="M62" s="363"/>
      <c r="N62" s="363"/>
      <c r="O62" s="363"/>
    </row>
    <row r="63" spans="2:17">
      <c r="H63" s="343"/>
      <c r="I63" s="363"/>
      <c r="J63" s="363"/>
      <c r="K63" s="363"/>
      <c r="L63" s="363"/>
      <c r="M63" s="363"/>
      <c r="N63" s="363"/>
      <c r="O63" s="363"/>
    </row>
    <row r="64" spans="2:17">
      <c r="H64" s="343"/>
      <c r="I64" s="363"/>
      <c r="J64" s="363"/>
      <c r="K64" s="363"/>
      <c r="L64" s="363"/>
      <c r="M64" s="363"/>
      <c r="N64" s="363"/>
      <c r="O64" s="363"/>
    </row>
    <row r="65" spans="7:15">
      <c r="H65" s="343"/>
      <c r="I65" s="363"/>
      <c r="J65" s="363"/>
      <c r="K65" s="363"/>
      <c r="L65" s="363"/>
      <c r="M65" s="363"/>
      <c r="N65" s="363"/>
      <c r="O65" s="363"/>
    </row>
    <row r="66" spans="7:15">
      <c r="H66" s="343"/>
      <c r="I66" s="363"/>
      <c r="J66" s="363"/>
      <c r="K66" s="363"/>
      <c r="L66" s="363"/>
      <c r="M66" s="363"/>
      <c r="N66" s="363"/>
      <c r="O66" s="363"/>
    </row>
    <row r="67" spans="7:15">
      <c r="H67" s="343"/>
      <c r="I67" s="363"/>
      <c r="J67" s="363"/>
      <c r="K67" s="363"/>
      <c r="L67" s="363"/>
      <c r="M67" s="363"/>
      <c r="N67" s="363"/>
      <c r="O67" s="363"/>
    </row>
    <row r="68" spans="7:15">
      <c r="H68" s="343"/>
      <c r="I68" s="363"/>
      <c r="J68" s="363"/>
      <c r="K68" s="363"/>
      <c r="L68" s="363"/>
      <c r="M68" s="363"/>
      <c r="N68" s="363"/>
      <c r="O68" s="363"/>
    </row>
    <row r="69" spans="7:15">
      <c r="G69" s="363"/>
      <c r="H69" s="343"/>
      <c r="I69" s="408"/>
      <c r="J69" s="408"/>
      <c r="K69" s="363"/>
      <c r="L69" s="363"/>
      <c r="M69" s="363"/>
      <c r="N69" s="363"/>
      <c r="O69" s="363"/>
    </row>
    <row r="70" spans="7:15" ht="13.5" customHeight="1">
      <c r="G70" s="363"/>
      <c r="H70" s="408"/>
      <c r="I70" s="409"/>
      <c r="J70" s="339"/>
      <c r="K70" s="363"/>
      <c r="L70" s="363"/>
      <c r="M70" s="363"/>
      <c r="N70" s="363"/>
      <c r="O70" s="363"/>
    </row>
    <row r="71" spans="7:15" ht="21" customHeight="1">
      <c r="G71" s="363"/>
      <c r="H71" s="408"/>
      <c r="I71" s="408"/>
      <c r="J71" s="408"/>
      <c r="K71" s="363"/>
      <c r="L71" s="363"/>
      <c r="M71" s="363"/>
      <c r="N71" s="363"/>
      <c r="O71" s="363"/>
    </row>
    <row r="72" spans="7:15" ht="129" customHeight="1">
      <c r="G72" s="363"/>
      <c r="H72" s="408"/>
      <c r="I72" s="339"/>
      <c r="J72" s="363"/>
      <c r="K72" s="363"/>
      <c r="L72" s="363"/>
      <c r="M72" s="363"/>
      <c r="N72" s="363"/>
    </row>
    <row r="73" spans="7:15">
      <c r="G73" s="363"/>
      <c r="H73" s="408"/>
      <c r="I73" s="339"/>
      <c r="J73" s="363"/>
      <c r="K73" s="363"/>
      <c r="L73" s="363"/>
    </row>
    <row r="74" spans="7:15">
      <c r="G74" s="363"/>
      <c r="H74" s="408"/>
      <c r="I74" s="2687"/>
      <c r="J74" s="2687"/>
      <c r="K74" s="339"/>
      <c r="L74" s="363"/>
    </row>
    <row r="75" spans="7:15" ht="12.75" customHeight="1">
      <c r="G75" s="363"/>
      <c r="H75" s="408"/>
      <c r="I75" s="2682"/>
      <c r="J75" s="2682"/>
      <c r="K75" s="410"/>
      <c r="L75" s="363"/>
    </row>
    <row r="76" spans="7:15" ht="13.5" customHeight="1">
      <c r="G76" s="363"/>
      <c r="H76" s="408"/>
      <c r="I76" s="2683"/>
      <c r="J76" s="2683"/>
      <c r="K76" s="410"/>
      <c r="L76" s="363"/>
    </row>
    <row r="77" spans="7:15" ht="21" customHeight="1">
      <c r="G77" s="363"/>
      <c r="H77" s="343"/>
      <c r="I77" s="363"/>
      <c r="J77" s="363"/>
      <c r="K77" s="363"/>
      <c r="L77" s="363"/>
    </row>
    <row r="78" spans="7:15" ht="21" customHeight="1">
      <c r="G78" s="363"/>
      <c r="H78" s="343"/>
      <c r="I78" s="363"/>
      <c r="J78" s="363"/>
      <c r="K78" s="363"/>
      <c r="L78" s="363"/>
    </row>
    <row r="79" spans="7:15">
      <c r="G79" s="363"/>
      <c r="H79" s="343"/>
      <c r="I79" s="363"/>
      <c r="J79" s="363"/>
      <c r="K79" s="363"/>
      <c r="L79" s="363"/>
    </row>
    <row r="80" spans="7:15">
      <c r="H80" s="343"/>
      <c r="I80" s="363"/>
      <c r="J80" s="363"/>
      <c r="K80" s="363"/>
      <c r="L80" s="363"/>
      <c r="M80" s="363"/>
      <c r="N80" s="363"/>
    </row>
    <row r="81" spans="8:15">
      <c r="H81" s="343"/>
      <c r="I81" s="363"/>
      <c r="J81" s="363"/>
      <c r="K81" s="363"/>
      <c r="L81" s="363"/>
      <c r="M81" s="363"/>
      <c r="N81" s="363"/>
    </row>
    <row r="82" spans="8:15">
      <c r="H82" s="343"/>
      <c r="I82" s="363"/>
      <c r="J82" s="363"/>
      <c r="K82" s="363"/>
      <c r="L82" s="363"/>
      <c r="M82" s="363"/>
      <c r="N82" s="363"/>
      <c r="O82" s="363"/>
    </row>
    <row r="83" spans="8:15">
      <c r="H83" s="343"/>
      <c r="I83" s="363"/>
      <c r="J83" s="363"/>
      <c r="K83" s="363"/>
      <c r="L83" s="363"/>
      <c r="M83" s="363"/>
      <c r="N83" s="363"/>
      <c r="O83" s="363"/>
    </row>
    <row r="84" spans="8:15">
      <c r="H84" s="343"/>
      <c r="I84" s="363"/>
      <c r="J84" s="363"/>
      <c r="K84" s="363"/>
      <c r="L84" s="363"/>
      <c r="M84" s="363"/>
      <c r="N84" s="363"/>
      <c r="O84" s="363"/>
    </row>
    <row r="85" spans="8:15">
      <c r="H85" s="343"/>
      <c r="I85" s="363"/>
      <c r="J85" s="363"/>
      <c r="K85" s="363"/>
      <c r="L85" s="363"/>
      <c r="M85" s="363"/>
      <c r="N85" s="363"/>
      <c r="O85" s="363"/>
    </row>
    <row r="86" spans="8:15">
      <c r="H86" s="343"/>
      <c r="I86" s="363"/>
      <c r="J86" s="363"/>
      <c r="K86" s="363"/>
      <c r="L86" s="363"/>
      <c r="M86" s="363"/>
      <c r="N86" s="363"/>
      <c r="O86" s="363"/>
    </row>
    <row r="87" spans="8:15">
      <c r="H87" s="343"/>
      <c r="I87" s="363"/>
      <c r="J87" s="363"/>
      <c r="K87" s="363"/>
      <c r="L87" s="363"/>
      <c r="M87" s="363"/>
      <c r="N87" s="363"/>
      <c r="O87" s="363"/>
    </row>
    <row r="88" spans="8:15">
      <c r="H88" s="343"/>
      <c r="M88" s="363"/>
      <c r="N88" s="363"/>
      <c r="O88" s="363"/>
    </row>
    <row r="89" spans="8:15">
      <c r="M89" s="363"/>
      <c r="N89" s="363"/>
      <c r="O89" s="363"/>
    </row>
    <row r="90" spans="8:15">
      <c r="N90" s="363"/>
      <c r="O90" s="363"/>
    </row>
  </sheetData>
  <sheetProtection password="AD9B" sheet="1" objects="1" scenarios="1"/>
  <mergeCells count="38">
    <mergeCell ref="B1:F1"/>
    <mergeCell ref="B3:F3"/>
    <mergeCell ref="C14:E14"/>
    <mergeCell ref="C4:D4"/>
    <mergeCell ref="C6:D6"/>
    <mergeCell ref="F11:H11"/>
    <mergeCell ref="I8:J8"/>
    <mergeCell ref="C38:D38"/>
    <mergeCell ref="C16:E16"/>
    <mergeCell ref="C18:D18"/>
    <mergeCell ref="C19:D19"/>
    <mergeCell ref="C20:D20"/>
    <mergeCell ref="C25:D25"/>
    <mergeCell ref="C23:D23"/>
    <mergeCell ref="C24:D24"/>
    <mergeCell ref="C29:D29"/>
    <mergeCell ref="C36:D36"/>
    <mergeCell ref="C30:D30"/>
    <mergeCell ref="C31:D31"/>
    <mergeCell ref="C32:D32"/>
    <mergeCell ref="C34:D34"/>
    <mergeCell ref="C35:D35"/>
    <mergeCell ref="I75:J75"/>
    <mergeCell ref="I76:J76"/>
    <mergeCell ref="C21:D21"/>
    <mergeCell ref="C22:D22"/>
    <mergeCell ref="J52:K52"/>
    <mergeCell ref="I74:J74"/>
    <mergeCell ref="C39:D39"/>
    <mergeCell ref="J53:K53"/>
    <mergeCell ref="J54:K54"/>
    <mergeCell ref="J55:K55"/>
    <mergeCell ref="I42:I43"/>
    <mergeCell ref="J41:L41"/>
    <mergeCell ref="C41:C42"/>
    <mergeCell ref="D41:D42"/>
    <mergeCell ref="E41:E42"/>
    <mergeCell ref="C33:D33"/>
  </mergeCells>
  <phoneticPr fontId="12" type="noConversion"/>
  <printOptions horizontalCentered="1"/>
  <pageMargins left="0.59055118110236227" right="0.59055118110236227" top="0.47244094488188981" bottom="0.47244094488188981" header="0.23622047244094491" footer="0.35433070866141736"/>
  <pageSetup paperSize="9" scale="86" orientation="portrait" blackAndWhite="1" r:id="rId1"/>
  <headerFooter alignWithMargins="0">
    <oddHeader>&amp;LGreen Building Council of South Africa&amp;R&amp;T   &amp;D</oddHeader>
    <oddFooter>&amp;L&amp;F&amp;CPage &amp;P of &amp;N&amp;RCategory: Emissions (&amp;A)</oddFooter>
  </headerFooter>
  <rowBreaks count="1" manualBreakCount="1">
    <brk id="51" min="1" max="15" man="1"/>
  </rowBreaks>
  <colBreaks count="1" manualBreakCount="1">
    <brk id="6" max="45" man="1"/>
  </colBreaks>
  <drawing r:id="rId2"/>
  <legacyDrawing r:id="rId3"/>
  <mc:AlternateContent xmlns:mc="http://schemas.openxmlformats.org/markup-compatibility/2006">
    <mc:Choice Requires="x14">
      <controls>
        <mc:AlternateContent xmlns:mc="http://schemas.openxmlformats.org/markup-compatibility/2006">
          <mc:Choice Requires="x14">
            <control shapeId="340999" r:id="rId4" name="Button 7">
              <controlPr defaultSize="0" print="0" autoFill="0" autoPict="0" macro="[0]!GoToEmissions">
                <anchor moveWithCells="1" sizeWithCells="1">
                  <from>
                    <xdr:col>2</xdr:col>
                    <xdr:colOff>342900</xdr:colOff>
                    <xdr:row>47</xdr:row>
                    <xdr:rowOff>152400</xdr:rowOff>
                  </from>
                  <to>
                    <xdr:col>5</xdr:col>
                    <xdr:colOff>28575</xdr:colOff>
                    <xdr:row>49</xdr:row>
                    <xdr:rowOff>142875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AK19"/>
  <sheetViews>
    <sheetView zoomScale="80" zoomScaleNormal="85" zoomScaleSheetLayoutView="85" workbookViewId="0">
      <pane xSplit="2" ySplit="4" topLeftCell="C5" activePane="bottomRight" state="frozen"/>
      <selection pane="topRight"/>
      <selection pane="bottomLeft"/>
      <selection pane="bottomRight" activeCell="A66" sqref="A66"/>
    </sheetView>
  </sheetViews>
  <sheetFormatPr defaultColWidth="7.875" defaultRowHeight="12.75"/>
  <cols>
    <col min="1" max="1" width="7.25" style="350" customWidth="1"/>
    <col min="2" max="2" width="15.125" style="350" customWidth="1"/>
    <col min="3" max="3" width="25.625" style="350" customWidth="1"/>
    <col min="4" max="4" width="64.875" style="350" customWidth="1"/>
    <col min="5" max="7" width="12.625" style="353" customWidth="1"/>
    <col min="8" max="8" width="31" style="350" customWidth="1"/>
    <col min="9" max="9" width="10.875" style="411" hidden="1" customWidth="1"/>
    <col min="10" max="11" width="8.875" style="350" customWidth="1"/>
    <col min="12" max="29" width="7.875" style="350"/>
    <col min="30" max="31" width="7.875" style="653"/>
    <col min="32" max="36" width="7.875" style="654"/>
    <col min="37" max="37" width="7.875" style="655"/>
    <col min="38" max="16384" width="7.875" style="350"/>
  </cols>
  <sheetData>
    <row r="1" spans="1:37" s="474" customFormat="1" ht="24" customHeight="1" thickBot="1">
      <c r="A1" s="600" t="str">
        <f>'Building Input'!B1</f>
        <v>Green Star SA - Public &amp; Education Building v1</v>
      </c>
      <c r="D1" s="1150"/>
      <c r="E1" s="275"/>
      <c r="F1" s="444" t="s">
        <v>134</v>
      </c>
      <c r="G1" s="445" t="s">
        <v>388</v>
      </c>
      <c r="H1" s="443" t="s">
        <v>279</v>
      </c>
      <c r="I1" s="452"/>
      <c r="AD1" s="644"/>
      <c r="AE1" s="644"/>
      <c r="AF1" s="645"/>
      <c r="AG1" s="645"/>
      <c r="AH1" s="645"/>
      <c r="AI1" s="645"/>
      <c r="AJ1" s="645"/>
      <c r="AK1" s="646"/>
    </row>
    <row r="2" spans="1:37" s="596" customFormat="1" ht="30" customHeight="1" thickBot="1">
      <c r="A2" s="272" t="s">
        <v>313</v>
      </c>
      <c r="D2" s="442" t="s">
        <v>135</v>
      </c>
      <c r="E2" s="1190">
        <f>E8</f>
        <v>5</v>
      </c>
      <c r="F2" s="1191">
        <f>F8</f>
        <v>0</v>
      </c>
      <c r="G2" s="1190">
        <f>G8</f>
        <v>0</v>
      </c>
      <c r="H2" s="1192">
        <f>'Credit Summary'!K97</f>
        <v>0</v>
      </c>
      <c r="I2" s="452"/>
      <c r="AD2" s="647"/>
      <c r="AE2" s="647"/>
      <c r="AF2" s="648"/>
      <c r="AG2" s="648"/>
      <c r="AH2" s="648"/>
      <c r="AI2" s="648"/>
      <c r="AJ2" s="648"/>
      <c r="AK2" s="649"/>
    </row>
    <row r="3" spans="1:37" s="601" customFormat="1" ht="19.5" customHeight="1" thickBot="1">
      <c r="A3" s="458" t="s">
        <v>1037</v>
      </c>
      <c r="B3" s="459"/>
      <c r="C3" s="458" t="str">
        <f>IF('Building Input'!$C$5=0,"",'Building Input'!$C$5)</f>
        <v/>
      </c>
      <c r="D3" s="460"/>
      <c r="E3" s="275"/>
      <c r="F3" s="598"/>
      <c r="G3" s="275"/>
      <c r="H3" s="460"/>
      <c r="I3" s="467"/>
      <c r="AD3" s="650"/>
      <c r="AE3" s="650"/>
      <c r="AF3" s="651"/>
      <c r="AG3" s="651"/>
      <c r="AH3" s="651"/>
      <c r="AI3" s="651"/>
      <c r="AJ3" s="651"/>
      <c r="AK3" s="652"/>
    </row>
    <row r="4" spans="1:37" ht="33" customHeight="1" thickBot="1">
      <c r="A4" s="1193" t="s">
        <v>1039</v>
      </c>
      <c r="B4" s="1194" t="s">
        <v>1040</v>
      </c>
      <c r="C4" s="1194" t="s">
        <v>1041</v>
      </c>
      <c r="D4" s="1194" t="s">
        <v>1168</v>
      </c>
      <c r="E4" s="1195" t="s">
        <v>1169</v>
      </c>
      <c r="F4" s="1195" t="s">
        <v>451</v>
      </c>
      <c r="G4" s="1195" t="s">
        <v>452</v>
      </c>
      <c r="H4" s="1196" t="s">
        <v>453</v>
      </c>
    </row>
    <row r="5" spans="1:37" ht="234" customHeight="1">
      <c r="A5" s="229" t="s">
        <v>321</v>
      </c>
      <c r="B5" s="412" t="s">
        <v>322</v>
      </c>
      <c r="C5" s="232" t="s">
        <v>837</v>
      </c>
      <c r="D5" s="241" t="s">
        <v>1456</v>
      </c>
      <c r="E5" s="2722">
        <v>5</v>
      </c>
      <c r="F5" s="2168"/>
      <c r="G5" s="2168"/>
      <c r="H5" s="2169"/>
      <c r="I5" s="1151" t="str">
        <f>IF(OR(ISTEXT(F5)=TRUE,ISTEXT(G5)=TRUE),Calculation1!$B$87,IF(F5+G5&gt;E5,Calculation1!$B$84,""))</f>
        <v/>
      </c>
      <c r="J5" s="351"/>
      <c r="K5" s="352"/>
      <c r="L5" s="602"/>
    </row>
    <row r="6" spans="1:37" ht="168" customHeight="1">
      <c r="A6" s="230" t="s">
        <v>502</v>
      </c>
      <c r="B6" s="413" t="s">
        <v>492</v>
      </c>
      <c r="C6" s="233" t="s">
        <v>913</v>
      </c>
      <c r="D6" s="242" t="s">
        <v>1457</v>
      </c>
      <c r="E6" s="2723"/>
      <c r="F6" s="540"/>
      <c r="G6" s="540"/>
      <c r="H6" s="2170"/>
      <c r="I6" s="1151" t="str">
        <f>IF(OR(ISTEXT(F6)=TRUE,ISTEXT(G6)=TRUE),Calculation1!$B$87,IF(F6+G6&gt;E5,Calculation1!$B$84,""))</f>
        <v/>
      </c>
      <c r="J6" s="351"/>
      <c r="K6" s="352"/>
      <c r="L6" s="602"/>
    </row>
    <row r="7" spans="1:37" ht="133.5" customHeight="1" thickBot="1">
      <c r="A7" s="231" t="s">
        <v>503</v>
      </c>
      <c r="B7" s="414" t="s">
        <v>504</v>
      </c>
      <c r="C7" s="234" t="s">
        <v>424</v>
      </c>
      <c r="D7" s="243" t="s">
        <v>1458</v>
      </c>
      <c r="E7" s="2724"/>
      <c r="F7" s="2171"/>
      <c r="G7" s="2171"/>
      <c r="H7" s="2172"/>
      <c r="I7" s="1151" t="str">
        <f>IF(OR(ISTEXT(F7)=TRUE,ISTEXT(G7)=TRUE),Calculation1!$B$87,IF(F7+G7&gt;E5,Calculation1!$B$84,""))</f>
        <v/>
      </c>
    </row>
    <row r="8" spans="1:37" ht="18.75" customHeight="1" thickBot="1">
      <c r="A8" s="1197"/>
      <c r="B8" s="1198"/>
      <c r="C8" s="1198"/>
      <c r="D8" s="1199" t="s">
        <v>1035</v>
      </c>
      <c r="E8" s="1200">
        <f>SUM(E5:E7)</f>
        <v>5</v>
      </c>
      <c r="F8" s="1200">
        <f>SUM(F5:F7)</f>
        <v>0</v>
      </c>
      <c r="G8" s="1200">
        <f>SUM(G5:G7)</f>
        <v>0</v>
      </c>
      <c r="H8" s="1201"/>
    </row>
    <row r="9" spans="1:37">
      <c r="A9" s="1150"/>
      <c r="H9" s="1150"/>
    </row>
    <row r="10" spans="1:37" ht="15.75" customHeight="1">
      <c r="A10" s="1150"/>
      <c r="H10" s="1150"/>
    </row>
    <row r="11" spans="1:37">
      <c r="A11" s="1150"/>
      <c r="H11" s="1150"/>
    </row>
    <row r="12" spans="1:37">
      <c r="A12" s="595" t="str">
        <f>Calculation1!$B$93</f>
        <v>Project Teams are to refer to the Green Star SA Public Building PILOT Technical Manual for explicit credit criteria and documentation requirements.</v>
      </c>
      <c r="H12" s="1150"/>
    </row>
    <row r="13" spans="1:37">
      <c r="A13" s="595" t="str">
        <f>Calculation1!$B$94</f>
        <v>The Green Star Technical Clarifications (TC) and Credit Interpretation Request (CIR) rulings provide an essential source of information to all</v>
      </c>
    </row>
    <row r="14" spans="1:37">
      <c r="A14" s="595" t="str">
        <f>Calculation1!$B$95</f>
        <v>projects undertaking Green Star assessment. They are available on the GBCSA website http://www.gbcsa.org.za . Technical Clarifications</v>
      </c>
    </row>
    <row r="15" spans="1:37">
      <c r="A15" s="595" t="str">
        <f>Calculation1!$B$96</f>
        <v xml:space="preserve">often represent the GBCSA answers to technical queries and complement Green Star SA Technical Manuals. They do not amend but clarify </v>
      </c>
    </row>
    <row r="16" spans="1:37">
      <c r="A16" s="595" t="str">
        <f>Calculation1!$B$97</f>
        <v xml:space="preserve">Credit Criteria or Compliance Requirements. They are an extension of the Technical Manual; it is the responsibility of the project teams to stay </v>
      </c>
    </row>
    <row r="17" spans="1:1">
      <c r="A17" s="595" t="str">
        <f>Calculation1!$B$98</f>
        <v xml:space="preserve">up-to-date with this section of the GBCSA website. The CIR rulings offer alternative compliance options whenever those have been deemed </v>
      </c>
    </row>
    <row r="18" spans="1:1">
      <c r="A18" s="595" t="str">
        <f>Calculation1!$B$99</f>
        <v>equivalent in meeting the Aim of Credit.</v>
      </c>
    </row>
    <row r="19" spans="1:1">
      <c r="A19" s="595"/>
    </row>
  </sheetData>
  <sheetProtection password="AD9B" sheet="1" objects="1" scenarios="1"/>
  <mergeCells count="1">
    <mergeCell ref="E5:E7"/>
  </mergeCells>
  <phoneticPr fontId="0"/>
  <printOptions horizontalCentered="1"/>
  <pageMargins left="0.59055118110236227" right="0.59055118110236227" top="0.47244094488188981" bottom="0.47244094488188981" header="0.23622047244094491" footer="0.35433070866141736"/>
  <pageSetup paperSize="9" scale="61" orientation="landscape" blackAndWhite="1" r:id="rId1"/>
  <headerFooter alignWithMargins="0">
    <oddHeader>&amp;LGreen Building Council of South Africa&amp;R&amp;T   &amp;D</oddHeader>
    <oddFooter>&amp;L&amp;F&amp;CPage &amp;P of &amp;N&amp;RCategory"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62" r:id="rId4" name="Button 2">
              <controlPr defaultSize="0" print="0" autoFill="0" autoPict="0" macro="[0]!GoToCreditSummary">
                <anchor moveWithCells="1" sizeWithCells="1">
                  <from>
                    <xdr:col>4</xdr:col>
                    <xdr:colOff>609600</xdr:colOff>
                    <xdr:row>9</xdr:row>
                    <xdr:rowOff>19050</xdr:rowOff>
                  </from>
                  <to>
                    <xdr:col>7</xdr:col>
                    <xdr:colOff>28575</xdr:colOff>
                    <xdr:row>11</xdr:row>
                    <xdr:rowOff>133350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M111"/>
  <sheetViews>
    <sheetView view="pageBreakPreview" zoomScale="85" zoomScaleNormal="85" zoomScaleSheetLayoutView="85" workbookViewId="0">
      <pane ySplit="5" topLeftCell="A6" activePane="bottomLeft" state="frozen"/>
      <selection pane="bottomLeft" activeCell="M2" sqref="M2"/>
    </sheetView>
  </sheetViews>
  <sheetFormatPr defaultColWidth="10.75" defaultRowHeight="12.75"/>
  <cols>
    <col min="1" max="1" width="8.375" style="309" customWidth="1"/>
    <col min="2" max="2" width="37.625" style="309" customWidth="1"/>
    <col min="3" max="3" width="27.375" style="309" customWidth="1"/>
    <col min="4" max="4" width="10.625" style="308" customWidth="1"/>
    <col min="5" max="5" width="12.5" style="308" customWidth="1"/>
    <col min="6" max="6" width="0.625" style="312" customWidth="1"/>
    <col min="7" max="7" width="11.375" style="308" customWidth="1"/>
    <col min="8" max="8" width="0.625" style="311" customWidth="1"/>
    <col min="9" max="11" width="11.375" style="308" customWidth="1"/>
    <col min="12" max="12" width="10.75" style="309"/>
    <col min="13" max="13" width="45.5" style="309" customWidth="1"/>
    <col min="14" max="16384" width="10.75" style="309"/>
  </cols>
  <sheetData>
    <row r="1" spans="1:13" s="283" customFormat="1" ht="24" customHeight="1" thickBot="1">
      <c r="A1" s="600" t="str">
        <f>'Building Input'!B1</f>
        <v>Green Star SA - Public &amp; Education Building v1</v>
      </c>
      <c r="B1" s="277"/>
      <c r="C1" s="277"/>
      <c r="D1" s="686" t="s">
        <v>281</v>
      </c>
      <c r="E1" s="278"/>
      <c r="F1" s="279"/>
      <c r="G1" s="280"/>
      <c r="H1" s="281"/>
      <c r="I1" s="282"/>
      <c r="J1" s="282"/>
      <c r="K1" s="282"/>
    </row>
    <row r="2" spans="1:13" s="283" customFormat="1" ht="30" customHeight="1">
      <c r="A2" s="272" t="s">
        <v>280</v>
      </c>
      <c r="B2" s="277"/>
      <c r="C2" s="277"/>
      <c r="D2" s="2741" t="s">
        <v>282</v>
      </c>
      <c r="E2" s="2742"/>
      <c r="F2" s="2742"/>
      <c r="G2" s="2742"/>
      <c r="H2" s="2742"/>
      <c r="I2" s="2742"/>
      <c r="J2" s="2742"/>
      <c r="K2" s="2743"/>
    </row>
    <row r="3" spans="1:13" s="283" customFormat="1" ht="18" customHeight="1" thickBot="1">
      <c r="A3" s="458">
        <f>'Building Input'!C5</f>
        <v>0</v>
      </c>
      <c r="B3" s="277"/>
      <c r="C3" s="277"/>
      <c r="D3" s="2744"/>
      <c r="E3" s="2745"/>
      <c r="F3" s="2745"/>
      <c r="G3" s="2745"/>
      <c r="H3" s="2745"/>
      <c r="I3" s="2745"/>
      <c r="J3" s="2745"/>
      <c r="K3" s="2746"/>
    </row>
    <row r="4" spans="1:13" s="283" customFormat="1" ht="16.5" customHeight="1" thickBot="1">
      <c r="A4" s="284"/>
      <c r="B4" s="277"/>
      <c r="C4" s="277"/>
      <c r="D4" s="278"/>
      <c r="E4" s="278"/>
      <c r="F4" s="279"/>
      <c r="G4" s="282"/>
      <c r="H4" s="281"/>
      <c r="I4" s="282"/>
      <c r="J4" s="282"/>
      <c r="K4" s="282"/>
    </row>
    <row r="5" spans="1:13" s="287" customFormat="1" ht="56.25" customHeight="1" thickBot="1">
      <c r="A5" s="1174" t="s">
        <v>843</v>
      </c>
      <c r="B5" s="1175" t="s">
        <v>1040</v>
      </c>
      <c r="C5" s="1175" t="s">
        <v>256</v>
      </c>
      <c r="D5" s="1176" t="s">
        <v>257</v>
      </c>
      <c r="E5" s="1177" t="s">
        <v>258</v>
      </c>
      <c r="F5" s="656"/>
      <c r="G5" s="1178" t="s">
        <v>452</v>
      </c>
      <c r="H5" s="657"/>
      <c r="I5" s="1178" t="s">
        <v>259</v>
      </c>
      <c r="J5" s="1178" t="s">
        <v>844</v>
      </c>
      <c r="K5" s="1179" t="s">
        <v>260</v>
      </c>
    </row>
    <row r="6" spans="1:13" s="287" customFormat="1" ht="5.0999999999999996" customHeight="1" thickBot="1">
      <c r="A6" s="288"/>
      <c r="B6" s="288"/>
      <c r="C6" s="288"/>
      <c r="D6" s="285"/>
      <c r="E6" s="285"/>
      <c r="F6" s="285"/>
      <c r="G6" s="285"/>
      <c r="H6" s="286"/>
      <c r="I6" s="285"/>
      <c r="J6" s="285"/>
      <c r="K6" s="285"/>
    </row>
    <row r="7" spans="1:13" s="287" customFormat="1" ht="33.75" customHeight="1">
      <c r="A7" s="1180" t="s">
        <v>314</v>
      </c>
      <c r="B7" s="1181"/>
      <c r="C7" s="1181"/>
      <c r="D7" s="1182"/>
      <c r="E7" s="1183"/>
      <c r="F7" s="289"/>
      <c r="G7" s="1184"/>
      <c r="H7" s="290"/>
      <c r="M7" s="291"/>
    </row>
    <row r="8" spans="1:13" s="287" customFormat="1" ht="15" customHeight="1">
      <c r="A8" s="658"/>
      <c r="B8" s="245" t="str">
        <f>Management!B5</f>
        <v>Green Star SA Accredited Professional</v>
      </c>
      <c r="C8" s="245" t="s">
        <v>269</v>
      </c>
      <c r="D8" s="246">
        <f>Management!E5</f>
        <v>2</v>
      </c>
      <c r="E8" s="659">
        <f>IF(D8=0,"na",Management!F5)</f>
        <v>0</v>
      </c>
      <c r="F8" s="292"/>
      <c r="G8" s="666">
        <f>IF(D8="na","-",Management!G5)</f>
        <v>0</v>
      </c>
      <c r="H8" s="290"/>
      <c r="M8" s="293"/>
    </row>
    <row r="9" spans="1:13" s="287" customFormat="1" ht="15" customHeight="1">
      <c r="A9" s="660"/>
      <c r="B9" s="245" t="str">
        <f>Management!B6</f>
        <v>Commissioning  Clauses</v>
      </c>
      <c r="C9" s="245" t="s">
        <v>1020</v>
      </c>
      <c r="D9" s="246">
        <f>SUM(Management!E6:E7)</f>
        <v>2</v>
      </c>
      <c r="E9" s="246">
        <f>SUM(Management!F6:F7)</f>
        <v>0</v>
      </c>
      <c r="F9" s="292"/>
      <c r="G9" s="666">
        <f>SUM(Management!G6:G7)</f>
        <v>0</v>
      </c>
      <c r="H9" s="290"/>
      <c r="M9" s="293"/>
    </row>
    <row r="10" spans="1:13" s="287" customFormat="1" ht="15" customHeight="1">
      <c r="A10" s="660"/>
      <c r="B10" s="245" t="str">
        <f>Management!B8</f>
        <v>Building Tuning</v>
      </c>
      <c r="C10" s="245" t="s">
        <v>1021</v>
      </c>
      <c r="D10" s="246">
        <f>Management!E8</f>
        <v>2</v>
      </c>
      <c r="E10" s="246">
        <f>Management!F8</f>
        <v>0</v>
      </c>
      <c r="F10" s="292"/>
      <c r="G10" s="666">
        <f>Management!G8</f>
        <v>0</v>
      </c>
      <c r="H10" s="290"/>
      <c r="M10" s="293"/>
    </row>
    <row r="11" spans="1:13" s="287" customFormat="1" ht="15" customHeight="1">
      <c r="A11" s="660"/>
      <c r="B11" s="245" t="str">
        <f>Management!B9</f>
        <v>Independent Commissioning Agent</v>
      </c>
      <c r="C11" s="245" t="s">
        <v>1022</v>
      </c>
      <c r="D11" s="246">
        <f>Management!E9</f>
        <v>1</v>
      </c>
      <c r="E11" s="246">
        <f>Management!F9</f>
        <v>0</v>
      </c>
      <c r="F11" s="292"/>
      <c r="G11" s="666">
        <f>Management!G9</f>
        <v>0</v>
      </c>
      <c r="H11" s="290"/>
    </row>
    <row r="12" spans="1:13" s="287" customFormat="1" ht="15" customHeight="1">
      <c r="A12" s="660"/>
      <c r="B12" s="245" t="str">
        <f>Management!B10</f>
        <v>Building Users' Guide</v>
      </c>
      <c r="C12" s="245" t="s">
        <v>1023</v>
      </c>
      <c r="D12" s="246">
        <f>Management!E10</f>
        <v>1</v>
      </c>
      <c r="E12" s="246">
        <f>Management!F10</f>
        <v>0</v>
      </c>
      <c r="F12" s="292"/>
      <c r="G12" s="666">
        <f>Management!G10</f>
        <v>0</v>
      </c>
      <c r="H12" s="290"/>
    </row>
    <row r="13" spans="1:13" s="287" customFormat="1" ht="15" customHeight="1">
      <c r="A13" s="660"/>
      <c r="B13" s="245" t="str">
        <f>Management!B11</f>
        <v>Environmental Management</v>
      </c>
      <c r="C13" s="245" t="s">
        <v>1024</v>
      </c>
      <c r="D13" s="246">
        <f>Management!E11+Management!E12</f>
        <v>2</v>
      </c>
      <c r="E13" s="246">
        <f>Management!F11+Management!F12</f>
        <v>0</v>
      </c>
      <c r="F13" s="292"/>
      <c r="G13" s="666">
        <f>Management!G11+Management!G12</f>
        <v>0</v>
      </c>
      <c r="H13" s="290"/>
    </row>
    <row r="14" spans="1:13" s="287" customFormat="1" ht="15" customHeight="1">
      <c r="A14" s="660"/>
      <c r="B14" s="245" t="str">
        <f>Management!B13</f>
        <v>Waste Management</v>
      </c>
      <c r="C14" s="245" t="s">
        <v>1025</v>
      </c>
      <c r="D14" s="246">
        <f>Management!E13</f>
        <v>3</v>
      </c>
      <c r="E14" s="246">
        <f>Management!F13</f>
        <v>0</v>
      </c>
      <c r="F14" s="292"/>
      <c r="G14" s="666">
        <f>Management!G13</f>
        <v>0</v>
      </c>
      <c r="H14" s="290"/>
    </row>
    <row r="15" spans="1:13" s="287" customFormat="1" ht="15" customHeight="1">
      <c r="A15" s="660"/>
      <c r="B15" s="245" t="str">
        <f>Management!B16</f>
        <v>Building Management Systems</v>
      </c>
      <c r="C15" s="245" t="s">
        <v>1026</v>
      </c>
      <c r="D15" s="246">
        <f>Management!E16</f>
        <v>1</v>
      </c>
      <c r="E15" s="246">
        <f>Management!F16</f>
        <v>0</v>
      </c>
      <c r="F15" s="292"/>
      <c r="G15" s="666">
        <f>Management!G16</f>
        <v>0</v>
      </c>
      <c r="H15" s="290"/>
    </row>
    <row r="16" spans="1:13" s="287" customFormat="1" ht="15" customHeight="1">
      <c r="A16" s="660"/>
      <c r="B16" s="245" t="s">
        <v>1315</v>
      </c>
      <c r="C16" s="245" t="s">
        <v>1317</v>
      </c>
      <c r="D16" s="246">
        <f>Management!E19</f>
        <v>1</v>
      </c>
      <c r="E16" s="246">
        <f>Management!F19</f>
        <v>0</v>
      </c>
      <c r="F16" s="292"/>
      <c r="G16" s="666">
        <f>Management!G19</f>
        <v>0</v>
      </c>
      <c r="H16" s="290"/>
    </row>
    <row r="17" spans="1:11" s="287" customFormat="1" ht="15" customHeight="1">
      <c r="A17" s="660"/>
      <c r="B17" s="245" t="s">
        <v>1316</v>
      </c>
      <c r="C17" s="245" t="s">
        <v>1318</v>
      </c>
      <c r="D17" s="246">
        <f>Management!E20</f>
        <v>1</v>
      </c>
      <c r="E17" s="246">
        <f>Management!F20</f>
        <v>0</v>
      </c>
      <c r="F17" s="292"/>
      <c r="G17" s="666">
        <f>Management!G20</f>
        <v>0</v>
      </c>
      <c r="H17" s="290"/>
    </row>
    <row r="18" spans="1:11" s="287" customFormat="1" ht="15" customHeight="1" thickBot="1">
      <c r="A18" s="660"/>
      <c r="B18" s="245" t="str">
        <f>Management!B21</f>
        <v>Maintainability</v>
      </c>
      <c r="C18" s="245" t="s">
        <v>1381</v>
      </c>
      <c r="D18" s="246">
        <f>Management!E21</f>
        <v>1</v>
      </c>
      <c r="E18" s="246">
        <f>Management!F21</f>
        <v>0</v>
      </c>
      <c r="F18" s="292"/>
      <c r="G18" s="667">
        <f>Management!G21</f>
        <v>0</v>
      </c>
      <c r="H18" s="290"/>
    </row>
    <row r="19" spans="1:11" s="287" customFormat="1" ht="15" customHeight="1" thickBot="1">
      <c r="A19" s="661"/>
      <c r="B19" s="662"/>
      <c r="C19" s="663" t="s">
        <v>261</v>
      </c>
      <c r="D19" s="664">
        <f>Management!E22</f>
        <v>17</v>
      </c>
      <c r="E19" s="665">
        <f>SUM(E8:E18)</f>
        <v>0</v>
      </c>
      <c r="F19" s="289"/>
      <c r="G19" s="668">
        <f>SUM(G8:G18)</f>
        <v>0</v>
      </c>
      <c r="H19" s="290"/>
      <c r="I19" s="669">
        <f>E19/D19</f>
        <v>0</v>
      </c>
      <c r="J19" s="670">
        <v>0.11</v>
      </c>
      <c r="K19" s="671">
        <f>I19*J19*100</f>
        <v>0</v>
      </c>
    </row>
    <row r="20" spans="1:11" s="287" customFormat="1" ht="5.0999999999999996" customHeight="1" thickBot="1">
      <c r="A20" s="292"/>
      <c r="B20" s="292"/>
      <c r="C20" s="292"/>
      <c r="D20" s="289"/>
      <c r="E20" s="289"/>
      <c r="F20" s="289"/>
      <c r="G20" s="289"/>
      <c r="H20" s="290"/>
      <c r="I20" s="289"/>
      <c r="J20" s="289"/>
      <c r="K20" s="289"/>
    </row>
    <row r="21" spans="1:11" s="287" customFormat="1" ht="18.75" customHeight="1">
      <c r="A21" s="1180" t="s">
        <v>315</v>
      </c>
      <c r="B21" s="1181"/>
      <c r="C21" s="1181"/>
      <c r="D21" s="1182"/>
      <c r="E21" s="1183"/>
      <c r="F21" s="289"/>
      <c r="G21" s="1184"/>
      <c r="H21" s="290"/>
    </row>
    <row r="22" spans="1:11" s="287" customFormat="1" ht="15" customHeight="1">
      <c r="A22" s="672"/>
      <c r="B22" s="247" t="str">
        <f>IEQ!B5</f>
        <v>Ventilation</v>
      </c>
      <c r="C22" s="247" t="s">
        <v>568</v>
      </c>
      <c r="D22" s="246">
        <f>IEQ!E5</f>
        <v>2</v>
      </c>
      <c r="E22" s="659">
        <f>IEQ!F5</f>
        <v>0</v>
      </c>
      <c r="F22" s="289"/>
      <c r="G22" s="666">
        <f>IEQ!G5</f>
        <v>0</v>
      </c>
      <c r="H22" s="290"/>
    </row>
    <row r="23" spans="1:11" s="287" customFormat="1" ht="15" customHeight="1">
      <c r="A23" s="660"/>
      <c r="B23" s="245" t="str">
        <f>IEQ!B7</f>
        <v>Carbon Dioxide Monitoring and Control</v>
      </c>
      <c r="C23" s="245" t="s">
        <v>561</v>
      </c>
      <c r="D23" s="246">
        <f>IEQ!E7</f>
        <v>1</v>
      </c>
      <c r="E23" s="659">
        <f>IEQ!F7</f>
        <v>0</v>
      </c>
      <c r="F23" s="292"/>
      <c r="G23" s="666">
        <f>IEQ!G7</f>
        <v>0</v>
      </c>
      <c r="H23" s="290"/>
    </row>
    <row r="24" spans="1:11" s="287" customFormat="1" ht="15" customHeight="1">
      <c r="A24" s="660"/>
      <c r="B24" s="245" t="str">
        <f>IEQ!B8</f>
        <v>Daylight</v>
      </c>
      <c r="C24" s="245" t="s">
        <v>562</v>
      </c>
      <c r="D24" s="246">
        <f>IEQ!E8</f>
        <v>3</v>
      </c>
      <c r="E24" s="659">
        <f>IEQ!F8</f>
        <v>0</v>
      </c>
      <c r="F24" s="292"/>
      <c r="G24" s="666">
        <f>IEQ!G8</f>
        <v>0</v>
      </c>
      <c r="H24" s="290"/>
    </row>
    <row r="25" spans="1:11" s="287" customFormat="1" ht="15" customHeight="1">
      <c r="A25" s="660"/>
      <c r="B25" s="245" t="str">
        <f>IEQ!B9</f>
        <v>Daylight Glare Control</v>
      </c>
      <c r="C25" s="245" t="s">
        <v>1319</v>
      </c>
      <c r="D25" s="246">
        <f>IEQ!E9</f>
        <v>1</v>
      </c>
      <c r="E25" s="659">
        <f>IEQ!F9</f>
        <v>0</v>
      </c>
      <c r="F25" s="292"/>
      <c r="G25" s="666">
        <f>IEQ!G9</f>
        <v>0</v>
      </c>
      <c r="H25" s="290"/>
    </row>
    <row r="26" spans="1:11" s="287" customFormat="1" ht="15" customHeight="1">
      <c r="A26" s="660"/>
      <c r="B26" s="245" t="str">
        <f>IEQ!B11</f>
        <v>Electric Lighting Levels</v>
      </c>
      <c r="C26" s="245" t="s">
        <v>1320</v>
      </c>
      <c r="D26" s="246">
        <f>IEQ!E11</f>
        <v>1</v>
      </c>
      <c r="E26" s="659">
        <f>IEQ!F11</f>
        <v>0</v>
      </c>
      <c r="F26" s="292"/>
      <c r="G26" s="666">
        <f>IEQ!G11</f>
        <v>0</v>
      </c>
      <c r="H26" s="290"/>
    </row>
    <row r="27" spans="1:11" s="287" customFormat="1" ht="15" customHeight="1">
      <c r="A27" s="660"/>
      <c r="B27" s="245" t="str">
        <f>IEQ!B12</f>
        <v>External Views</v>
      </c>
      <c r="C27" s="245" t="s">
        <v>1321</v>
      </c>
      <c r="D27" s="246">
        <f>IEQ!E12</f>
        <v>2</v>
      </c>
      <c r="E27" s="659">
        <f>IEQ!F12</f>
        <v>0</v>
      </c>
      <c r="F27" s="292"/>
      <c r="G27" s="666">
        <f>IEQ!G12</f>
        <v>0</v>
      </c>
      <c r="H27" s="290"/>
    </row>
    <row r="28" spans="1:11" s="287" customFormat="1" ht="15" customHeight="1">
      <c r="A28" s="660"/>
      <c r="B28" s="245" t="str">
        <f>IEQ!B13</f>
        <v>Thermal Comfort</v>
      </c>
      <c r="C28" s="245" t="s">
        <v>563</v>
      </c>
      <c r="D28" s="246">
        <f>IEQ!E13</f>
        <v>2</v>
      </c>
      <c r="E28" s="659">
        <f>IEQ!F13</f>
        <v>0</v>
      </c>
      <c r="F28" s="292"/>
      <c r="G28" s="666">
        <f>IEQ!G13</f>
        <v>0</v>
      </c>
      <c r="H28" s="290"/>
    </row>
    <row r="29" spans="1:11" s="287" customFormat="1" ht="15" customHeight="1">
      <c r="A29" s="660"/>
      <c r="B29" s="245" t="str">
        <f>IEQ!B16</f>
        <v>Hazardous Materials</v>
      </c>
      <c r="C29" s="245" t="s">
        <v>564</v>
      </c>
      <c r="D29" s="246">
        <f>IEQ!E16</f>
        <v>1</v>
      </c>
      <c r="E29" s="659">
        <f>IF(D29=0,"na",IEQ!F16)</f>
        <v>0</v>
      </c>
      <c r="F29" s="292"/>
      <c r="G29" s="666">
        <f>IEQ!G16</f>
        <v>0</v>
      </c>
      <c r="H29" s="290"/>
    </row>
    <row r="30" spans="1:11" s="287" customFormat="1" ht="15" customHeight="1">
      <c r="A30" s="660"/>
      <c r="B30" s="245" t="str">
        <f>IEQ!B17</f>
        <v>Internal Noise Levels</v>
      </c>
      <c r="C30" s="245" t="s">
        <v>442</v>
      </c>
      <c r="D30" s="246">
        <f>IF(IEQ!E18=0,IEQ!E17,IEQ!E17+IEQ!E18)</f>
        <v>3</v>
      </c>
      <c r="E30" s="659">
        <f>SUM(IEQ!F17:F18)</f>
        <v>0</v>
      </c>
      <c r="F30" s="292"/>
      <c r="G30" s="666">
        <f>SUM(IEQ!G17:G18)</f>
        <v>0</v>
      </c>
      <c r="H30" s="290"/>
    </row>
    <row r="31" spans="1:11" s="287" customFormat="1" ht="15" customHeight="1">
      <c r="A31" s="660"/>
      <c r="B31" s="245" t="str">
        <f>IEQ!B19</f>
        <v xml:space="preserve">Volatile Organic Compounds </v>
      </c>
      <c r="C31" s="245" t="s">
        <v>1153</v>
      </c>
      <c r="D31" s="246">
        <f>SUM(IEQ!E19:E21)</f>
        <v>3</v>
      </c>
      <c r="E31" s="659">
        <f>SUM(IEQ!F19:F21)</f>
        <v>0</v>
      </c>
      <c r="F31" s="292"/>
      <c r="G31" s="666">
        <f>SUM(IEQ!G19:G21)</f>
        <v>0</v>
      </c>
      <c r="H31" s="290"/>
    </row>
    <row r="32" spans="1:11" s="287" customFormat="1" ht="15" customHeight="1">
      <c r="A32" s="660"/>
      <c r="B32" s="245" t="str">
        <f>IEQ!B22</f>
        <v>Formaldehyde Minimisation</v>
      </c>
      <c r="C32" s="245" t="s">
        <v>1182</v>
      </c>
      <c r="D32" s="246">
        <f>IEQ!E22</f>
        <v>1</v>
      </c>
      <c r="E32" s="659">
        <f>IF(D32=0,"na",IEQ!F22)</f>
        <v>0</v>
      </c>
      <c r="F32" s="292"/>
      <c r="G32" s="666">
        <f>IF(D32="na","-",IEQ!G22)</f>
        <v>0</v>
      </c>
      <c r="H32" s="290"/>
    </row>
    <row r="33" spans="1:11" s="287" customFormat="1" ht="15" customHeight="1">
      <c r="A33" s="660"/>
      <c r="B33" s="245" t="str">
        <f>IEQ!B23</f>
        <v>Mould Prevention</v>
      </c>
      <c r="C33" s="245" t="s">
        <v>1183</v>
      </c>
      <c r="D33" s="246">
        <f>IEQ!E23</f>
        <v>1</v>
      </c>
      <c r="E33" s="659">
        <f>IEQ!F23</f>
        <v>0</v>
      </c>
      <c r="F33" s="292"/>
      <c r="G33" s="666">
        <f>IEQ!G23</f>
        <v>0</v>
      </c>
      <c r="H33" s="290"/>
    </row>
    <row r="34" spans="1:11" s="287" customFormat="1" ht="15" customHeight="1">
      <c r="A34" s="660"/>
      <c r="B34" s="245" t="str">
        <f>IEQ!B24</f>
        <v>Dedicated Exhaust Riser</v>
      </c>
      <c r="C34" s="245" t="s">
        <v>1304</v>
      </c>
      <c r="D34" s="246">
        <f>IEQ!E24</f>
        <v>1</v>
      </c>
      <c r="E34" s="659">
        <f>IF(D34=0,"na",IEQ!F24)</f>
        <v>0</v>
      </c>
      <c r="F34" s="292"/>
      <c r="G34" s="666">
        <f>IF(D34="na","-",IEQ!G24)</f>
        <v>0</v>
      </c>
      <c r="H34" s="290"/>
    </row>
    <row r="35" spans="1:11" s="287" customFormat="1" ht="15" customHeight="1" thickBot="1">
      <c r="A35" s="660"/>
      <c r="B35" s="245" t="str">
        <f>IEQ!B31</f>
        <v>Stairs</v>
      </c>
      <c r="C35" s="245" t="s">
        <v>1342</v>
      </c>
      <c r="D35" s="246">
        <f>IEQ!E31</f>
        <v>1</v>
      </c>
      <c r="E35" s="659">
        <f>IF(D35=0,"na",IEQ!F31)</f>
        <v>0</v>
      </c>
      <c r="F35" s="292"/>
      <c r="G35" s="666">
        <f>IF(D35="na","-",IEQ!G31)</f>
        <v>0</v>
      </c>
      <c r="H35" s="290"/>
    </row>
    <row r="36" spans="1:11" s="287" customFormat="1" ht="15" customHeight="1" thickBot="1">
      <c r="A36" s="661"/>
      <c r="B36" s="662"/>
      <c r="C36" s="663" t="s">
        <v>261</v>
      </c>
      <c r="D36" s="664">
        <f>IEQ!E32</f>
        <v>23</v>
      </c>
      <c r="E36" s="665">
        <f>SUM(E22:E35)</f>
        <v>0</v>
      </c>
      <c r="F36" s="294"/>
      <c r="G36" s="673">
        <f>SUM(G22:G35)</f>
        <v>0</v>
      </c>
      <c r="H36" s="295"/>
      <c r="I36" s="669">
        <f>E36/D36</f>
        <v>0</v>
      </c>
      <c r="J36" s="670">
        <v>0.15</v>
      </c>
      <c r="K36" s="671">
        <f>I36*J36*100</f>
        <v>0</v>
      </c>
    </row>
    <row r="37" spans="1:11" s="287" customFormat="1" ht="5.0999999999999996" customHeight="1" thickBot="1">
      <c r="A37" s="292"/>
      <c r="B37" s="292"/>
      <c r="C37" s="292"/>
      <c r="D37" s="289"/>
      <c r="E37" s="289"/>
      <c r="F37" s="294"/>
      <c r="G37" s="289"/>
      <c r="H37" s="295"/>
      <c r="I37" s="289"/>
      <c r="J37" s="289"/>
      <c r="K37" s="289"/>
    </row>
    <row r="38" spans="1:11" s="287" customFormat="1" ht="15.75">
      <c r="A38" s="1180" t="s">
        <v>316</v>
      </c>
      <c r="B38" s="1181"/>
      <c r="C38" s="1181"/>
      <c r="D38" s="1182"/>
      <c r="E38" s="1183"/>
      <c r="F38" s="294"/>
      <c r="G38" s="1184"/>
      <c r="H38" s="295"/>
    </row>
    <row r="39" spans="1:11" s="287" customFormat="1" ht="15" customHeight="1">
      <c r="A39" s="660"/>
      <c r="B39" s="245" t="str">
        <f>Energy!B5</f>
        <v>Conditional Requirement</v>
      </c>
      <c r="C39" s="245" t="s">
        <v>268</v>
      </c>
      <c r="D39" s="814"/>
      <c r="E39" s="816" t="str">
        <f>Energy!F5</f>
        <v>Not Achieved</v>
      </c>
      <c r="F39" s="292"/>
      <c r="G39" s="666" t="str">
        <f>"-"</f>
        <v>-</v>
      </c>
      <c r="H39" s="290"/>
    </row>
    <row r="40" spans="1:11" s="287" customFormat="1" ht="15" customHeight="1">
      <c r="A40" s="660"/>
      <c r="B40" s="245" t="str">
        <f>Energy!B6</f>
        <v>Greenhouse Gas Emissions</v>
      </c>
      <c r="C40" s="245" t="s">
        <v>753</v>
      </c>
      <c r="D40" s="246">
        <f>Energy!E6</f>
        <v>20</v>
      </c>
      <c r="E40" s="246" t="str">
        <f>Energy!F6</f>
        <v>-</v>
      </c>
      <c r="F40" s="292"/>
      <c r="G40" s="666">
        <f>Energy!G6</f>
        <v>0</v>
      </c>
      <c r="H40" s="290"/>
    </row>
    <row r="41" spans="1:11" s="287" customFormat="1" ht="15" customHeight="1">
      <c r="A41" s="660"/>
      <c r="B41" s="245" t="str">
        <f>Energy!B8</f>
        <v>Energy Sub-metering</v>
      </c>
      <c r="C41" s="245" t="s">
        <v>754</v>
      </c>
      <c r="D41" s="246">
        <f>Energy!E8+Energy!E9+Energy!E10</f>
        <v>3</v>
      </c>
      <c r="E41" s="246">
        <f>SUM(Energy!F8:F10)</f>
        <v>0</v>
      </c>
      <c r="F41" s="292"/>
      <c r="G41" s="666">
        <f>Energy!G8</f>
        <v>0</v>
      </c>
      <c r="H41" s="290"/>
    </row>
    <row r="42" spans="1:11" s="287" customFormat="1" ht="15" customHeight="1">
      <c r="A42" s="660"/>
      <c r="B42" s="245" t="str">
        <f>Energy!B12</f>
        <v>Lighting Zoning</v>
      </c>
      <c r="C42" s="245" t="s">
        <v>1322</v>
      </c>
      <c r="D42" s="246">
        <f>Energy!E12</f>
        <v>2</v>
      </c>
      <c r="E42" s="246">
        <f>Energy!F12</f>
        <v>0</v>
      </c>
      <c r="F42" s="292"/>
      <c r="G42" s="666">
        <f>Energy!G12</f>
        <v>0</v>
      </c>
      <c r="H42" s="290"/>
    </row>
    <row r="43" spans="1:11" s="287" customFormat="1" ht="15" customHeight="1">
      <c r="A43" s="660"/>
      <c r="B43" s="245" t="str">
        <f>Energy!B13</f>
        <v xml:space="preserve">Maximum Electrical Demand Reduction </v>
      </c>
      <c r="C43" s="245" t="s">
        <v>1082</v>
      </c>
      <c r="D43" s="246">
        <f>Energy!E13</f>
        <v>3</v>
      </c>
      <c r="E43" s="246">
        <f>Energy!F13</f>
        <v>0</v>
      </c>
      <c r="F43" s="292"/>
      <c r="G43" s="666">
        <f>Energy!G13</f>
        <v>0</v>
      </c>
      <c r="H43" s="290"/>
    </row>
    <row r="44" spans="1:11" s="287" customFormat="1" ht="15" customHeight="1" thickBot="1">
      <c r="A44" s="660"/>
      <c r="B44" s="245" t="str">
        <f>Energy!B19</f>
        <v>Unoccupied spaces</v>
      </c>
      <c r="C44" s="245" t="s">
        <v>1323</v>
      </c>
      <c r="D44" s="246">
        <f>Energy!E19</f>
        <v>2</v>
      </c>
      <c r="E44" s="246">
        <f>Energy!F19</f>
        <v>0</v>
      </c>
      <c r="F44" s="292"/>
      <c r="G44" s="666">
        <f>Energy!G19</f>
        <v>0</v>
      </c>
      <c r="H44" s="290"/>
    </row>
    <row r="45" spans="1:11" s="287" customFormat="1" ht="15" customHeight="1" thickBot="1">
      <c r="A45" s="661"/>
      <c r="B45" s="662"/>
      <c r="C45" s="663" t="s">
        <v>261</v>
      </c>
      <c r="D45" s="664">
        <f>Energy!E20</f>
        <v>30</v>
      </c>
      <c r="E45" s="675">
        <f>SUM(E40:E44)</f>
        <v>0</v>
      </c>
      <c r="F45" s="296"/>
      <c r="G45" s="676">
        <f>SUM(G40:G44)</f>
        <v>0</v>
      </c>
      <c r="H45" s="295"/>
      <c r="I45" s="669">
        <f>E45/D45</f>
        <v>0</v>
      </c>
      <c r="J45" s="670">
        <v>0.25</v>
      </c>
      <c r="K45" s="671">
        <f>I45*J45*100</f>
        <v>0</v>
      </c>
    </row>
    <row r="46" spans="1:11" s="287" customFormat="1" ht="4.5" customHeight="1" thickBot="1">
      <c r="A46" s="292"/>
      <c r="B46" s="292"/>
      <c r="C46" s="292"/>
      <c r="D46" s="289"/>
      <c r="E46" s="289"/>
      <c r="F46" s="294"/>
      <c r="G46" s="289"/>
      <c r="H46" s="295"/>
      <c r="I46" s="289"/>
      <c r="J46" s="289"/>
      <c r="K46" s="289"/>
    </row>
    <row r="47" spans="1:11" s="287" customFormat="1" ht="16.5" thickBot="1">
      <c r="A47" s="1185" t="s">
        <v>1038</v>
      </c>
      <c r="B47" s="1186"/>
      <c r="C47" s="1186"/>
      <c r="D47" s="1187"/>
      <c r="E47" s="1188"/>
      <c r="F47" s="294"/>
      <c r="G47" s="1189"/>
      <c r="H47" s="295"/>
    </row>
    <row r="48" spans="1:11" s="287" customFormat="1" ht="15" customHeight="1">
      <c r="A48" s="677"/>
      <c r="B48" s="415" t="str">
        <f>Transport!B5</f>
        <v>Provision of Car Parking</v>
      </c>
      <c r="C48" s="415" t="s">
        <v>556</v>
      </c>
      <c r="D48" s="416">
        <f>Transport!E5</f>
        <v>2</v>
      </c>
      <c r="E48" s="678">
        <f>IF(D48=0,"na",Transport!F5)</f>
        <v>0</v>
      </c>
      <c r="F48" s="292"/>
      <c r="G48" s="679">
        <f>IF(D48="na","-",Transport!G5)</f>
        <v>0</v>
      </c>
      <c r="H48" s="290"/>
    </row>
    <row r="49" spans="1:11" s="287" customFormat="1" ht="15" customHeight="1">
      <c r="A49" s="660"/>
      <c r="B49" s="245" t="str">
        <f>Transport!B6</f>
        <v>Fuel-Efficient Transport</v>
      </c>
      <c r="C49" s="245" t="s">
        <v>557</v>
      </c>
      <c r="D49" s="246">
        <f>Transport!E6</f>
        <v>2</v>
      </c>
      <c r="E49" s="659">
        <f>IF(D49=0,"na",Transport!F6)</f>
        <v>0</v>
      </c>
      <c r="F49" s="292"/>
      <c r="G49" s="666">
        <f>IF(D49="na","-",Transport!G6)</f>
        <v>0</v>
      </c>
      <c r="H49" s="290"/>
    </row>
    <row r="50" spans="1:11" s="287" customFormat="1" ht="15" customHeight="1">
      <c r="A50" s="660"/>
      <c r="B50" s="245" t="str">
        <f>Transport!B7</f>
        <v>Cyclist Facilities</v>
      </c>
      <c r="C50" s="245" t="s">
        <v>558</v>
      </c>
      <c r="D50" s="246" t="str">
        <f>IF(AND(Transport!F7="",Transport!F8=""),"Requires a 'na'",IF(Transport!F7="na",Transport!E8,IF(Transport!F8="na",Transport!E7,3)))</f>
        <v>Requires a 'na'</v>
      </c>
      <c r="E50" s="659">
        <f>IF(D50=0,"Both can't be 'na'",SUM(Transport!F7:F8))</f>
        <v>0</v>
      </c>
      <c r="F50" s="292"/>
      <c r="G50" s="666">
        <f>SUM(Transport!G7:G8)</f>
        <v>0</v>
      </c>
      <c r="H50" s="290"/>
    </row>
    <row r="51" spans="1:11" s="287" customFormat="1" ht="15" customHeight="1">
      <c r="A51" s="660"/>
      <c r="B51" s="245" t="str">
        <f>Transport!B10</f>
        <v>Commuting Mass Transport</v>
      </c>
      <c r="C51" s="245" t="s">
        <v>559</v>
      </c>
      <c r="D51" s="246">
        <f>IF(Transport!F11="na",Transport!E10,Transport!E10+Transport!E11)</f>
        <v>5</v>
      </c>
      <c r="E51" s="674">
        <f>SUM(Transport!F10:F11)</f>
        <v>0</v>
      </c>
      <c r="F51" s="292"/>
      <c r="G51" s="666">
        <f>SUM(Transport!G10:G11)</f>
        <v>0</v>
      </c>
      <c r="H51" s="290"/>
    </row>
    <row r="52" spans="1:11" s="287" customFormat="1" ht="15" customHeight="1">
      <c r="A52" s="660"/>
      <c r="B52" s="245" t="str">
        <f>Transport!B13</f>
        <v>Local Connectivity</v>
      </c>
      <c r="C52" s="245" t="s">
        <v>1327</v>
      </c>
      <c r="D52" s="246">
        <f>Transport!E13</f>
        <v>2</v>
      </c>
      <c r="E52" s="659">
        <f>Transport!F13</f>
        <v>0</v>
      </c>
      <c r="F52" s="292"/>
      <c r="G52" s="666">
        <f>Transport!G13</f>
        <v>0</v>
      </c>
      <c r="H52" s="290"/>
    </row>
    <row r="53" spans="1:11" s="287" customFormat="1" ht="15" customHeight="1" thickBot="1">
      <c r="A53" s="660"/>
      <c r="B53" s="245" t="str">
        <f>Transport!B15</f>
        <v>Vehicle Operating Emissions</v>
      </c>
      <c r="C53" s="245" t="s">
        <v>445</v>
      </c>
      <c r="D53" s="246">
        <f>Transport!E15</f>
        <v>2</v>
      </c>
      <c r="E53" s="659">
        <f>IF(D53=0,"na",Transport!F15)</f>
        <v>0</v>
      </c>
      <c r="F53" s="292"/>
      <c r="G53" s="667">
        <f>Transport!G15</f>
        <v>0</v>
      </c>
      <c r="H53" s="290"/>
    </row>
    <row r="54" spans="1:11" s="287" customFormat="1" ht="15" customHeight="1" thickBot="1">
      <c r="A54" s="661"/>
      <c r="B54" s="662"/>
      <c r="C54" s="663" t="s">
        <v>261</v>
      </c>
      <c r="D54" s="664">
        <f>Transport!E16</f>
        <v>18</v>
      </c>
      <c r="E54" s="665">
        <f>SUM(E48:E53)</f>
        <v>0</v>
      </c>
      <c r="F54" s="294"/>
      <c r="G54" s="668">
        <f>SUM(G48:G53)</f>
        <v>0</v>
      </c>
      <c r="H54" s="295"/>
      <c r="I54" s="680">
        <f>E54/D54</f>
        <v>0</v>
      </c>
      <c r="J54" s="681">
        <v>0.11</v>
      </c>
      <c r="K54" s="682">
        <f>I54*J54*100</f>
        <v>0</v>
      </c>
    </row>
    <row r="55" spans="1:11" s="287" customFormat="1" ht="5.0999999999999996" customHeight="1" thickBot="1">
      <c r="A55" s="292"/>
      <c r="B55" s="292"/>
      <c r="C55" s="292"/>
      <c r="D55" s="289"/>
      <c r="E55" s="289"/>
      <c r="F55" s="294"/>
      <c r="G55" s="289"/>
      <c r="H55" s="295"/>
      <c r="I55" s="289"/>
      <c r="J55" s="289"/>
      <c r="K55" s="289"/>
    </row>
    <row r="56" spans="1:11" s="287" customFormat="1" ht="15.75">
      <c r="A56" s="1180" t="s">
        <v>317</v>
      </c>
      <c r="B56" s="1181"/>
      <c r="C56" s="1181"/>
      <c r="D56" s="1182"/>
      <c r="E56" s="1183"/>
      <c r="F56" s="294"/>
      <c r="G56" s="1184"/>
      <c r="H56" s="295"/>
    </row>
    <row r="57" spans="1:11" s="287" customFormat="1" ht="15" customHeight="1">
      <c r="A57" s="660"/>
      <c r="B57" s="245" t="str">
        <f>Water!B5</f>
        <v>Potable Water</v>
      </c>
      <c r="C57" s="245" t="s">
        <v>209</v>
      </c>
      <c r="D57" s="246">
        <f>Water!E5</f>
        <v>12</v>
      </c>
      <c r="E57" s="659">
        <f>Water!F5</f>
        <v>0</v>
      </c>
      <c r="F57" s="292"/>
      <c r="G57" s="666">
        <f>Water!G5</f>
        <v>0</v>
      </c>
      <c r="H57" s="290"/>
    </row>
    <row r="58" spans="1:11" s="287" customFormat="1" ht="15" customHeight="1" thickBot="1">
      <c r="A58" s="660"/>
      <c r="B58" s="245" t="str">
        <f>Water!B6</f>
        <v>Water Sub-Metering</v>
      </c>
      <c r="C58" s="245" t="s">
        <v>210</v>
      </c>
      <c r="D58" s="246">
        <f>SUM(Water!E6:E8)</f>
        <v>3</v>
      </c>
      <c r="E58" s="659">
        <f>SUM(Water!F6:F8)</f>
        <v>0</v>
      </c>
      <c r="F58" s="292"/>
      <c r="G58" s="666">
        <f>SUM(Water!G6:G8)</f>
        <v>0</v>
      </c>
      <c r="H58" s="290"/>
    </row>
    <row r="59" spans="1:11" s="287" customFormat="1" ht="15" customHeight="1" thickBot="1">
      <c r="A59" s="661"/>
      <c r="B59" s="662"/>
      <c r="C59" s="663" t="s">
        <v>261</v>
      </c>
      <c r="D59" s="664">
        <f>Water!E16</f>
        <v>15</v>
      </c>
      <c r="E59" s="665">
        <f>SUM(E57:E58)</f>
        <v>0</v>
      </c>
      <c r="F59" s="294"/>
      <c r="G59" s="930">
        <f>SUM(G57:G58)</f>
        <v>0</v>
      </c>
      <c r="H59" s="295"/>
      <c r="I59" s="669">
        <f>E59/D59</f>
        <v>0</v>
      </c>
      <c r="J59" s="670">
        <v>0.12</v>
      </c>
      <c r="K59" s="671">
        <f>I59*J59*100</f>
        <v>0</v>
      </c>
    </row>
    <row r="60" spans="1:11" s="287" customFormat="1" ht="5.0999999999999996" customHeight="1" thickBot="1">
      <c r="A60" s="292"/>
      <c r="B60" s="292"/>
      <c r="C60" s="292"/>
      <c r="D60" s="289"/>
      <c r="E60" s="289"/>
      <c r="F60" s="294"/>
      <c r="G60" s="289"/>
      <c r="H60" s="295"/>
      <c r="I60" s="289"/>
      <c r="J60" s="289"/>
      <c r="K60" s="289"/>
    </row>
    <row r="61" spans="1:11" s="287" customFormat="1" ht="15.75">
      <c r="A61" s="1180" t="s">
        <v>318</v>
      </c>
      <c r="B61" s="1181"/>
      <c r="C61" s="1181"/>
      <c r="D61" s="1182"/>
      <c r="E61" s="1183"/>
      <c r="F61" s="294"/>
      <c r="G61" s="1184"/>
      <c r="H61" s="295"/>
    </row>
    <row r="62" spans="1:11" s="287" customFormat="1" ht="15" customHeight="1">
      <c r="A62" s="660"/>
      <c r="B62" s="245" t="str">
        <f>Materials!B5</f>
        <v>Recycling Waste Storage</v>
      </c>
      <c r="C62" s="245" t="s">
        <v>838</v>
      </c>
      <c r="D62" s="246">
        <f>Materials!E5+Materials!E6</f>
        <v>3</v>
      </c>
      <c r="E62" s="246">
        <f>Materials!F5+Materials!F6</f>
        <v>0</v>
      </c>
      <c r="F62" s="297"/>
      <c r="G62" s="246">
        <f>Materials!G5+Materials!G6</f>
        <v>0</v>
      </c>
      <c r="H62" s="290"/>
    </row>
    <row r="63" spans="1:11" s="287" customFormat="1" ht="15" customHeight="1">
      <c r="A63" s="660"/>
      <c r="B63" s="245" t="str">
        <f>Materials!B7</f>
        <v xml:space="preserve">Building Reuse </v>
      </c>
      <c r="C63" s="245" t="s">
        <v>839</v>
      </c>
      <c r="D63" s="246">
        <f>Materials!E7</f>
        <v>5</v>
      </c>
      <c r="E63" s="659">
        <f>IF(D63=0,"na",Materials!F7)</f>
        <v>0</v>
      </c>
      <c r="F63" s="297"/>
      <c r="G63" s="666">
        <f>IF(D63="na","-",Materials!G7)</f>
        <v>0</v>
      </c>
      <c r="H63" s="290"/>
    </row>
    <row r="64" spans="1:11" s="287" customFormat="1" ht="15" customHeight="1">
      <c r="A64" s="660"/>
      <c r="B64" s="245" t="str">
        <f>Materials!B8</f>
        <v>Reused and Recycled Materials</v>
      </c>
      <c r="C64" s="245" t="s">
        <v>840</v>
      </c>
      <c r="D64" s="246">
        <f>SUM(Materials!E8:E8)</f>
        <v>2</v>
      </c>
      <c r="E64" s="659">
        <f>SUM(Materials!F8:F8)</f>
        <v>0</v>
      </c>
      <c r="F64" s="297"/>
      <c r="G64" s="666">
        <f>SUM(Materials!G8:G8)</f>
        <v>0</v>
      </c>
      <c r="H64" s="290"/>
    </row>
    <row r="65" spans="1:11" s="287" customFormat="1" ht="15" customHeight="1">
      <c r="A65" s="660"/>
      <c r="B65" s="245" t="str">
        <f>Materials!B10</f>
        <v>Concrete</v>
      </c>
      <c r="C65" s="245" t="s">
        <v>841</v>
      </c>
      <c r="D65" s="246">
        <f>SUM(Materials!E10:E11)</f>
        <v>3</v>
      </c>
      <c r="E65" s="659">
        <f>IF(D65=0,"na",SUM(Materials!F10:F11))</f>
        <v>0</v>
      </c>
      <c r="F65" s="297"/>
      <c r="G65" s="666">
        <f>IF(D65="na","-",SUM(Materials!G10:G11))</f>
        <v>0</v>
      </c>
      <c r="H65" s="290"/>
    </row>
    <row r="66" spans="1:11" s="287" customFormat="1" ht="15" customHeight="1">
      <c r="A66" s="660"/>
      <c r="B66" s="245" t="str">
        <f>Materials!B12</f>
        <v>Steel</v>
      </c>
      <c r="C66" s="245" t="s">
        <v>12</v>
      </c>
      <c r="D66" s="246">
        <f>SUM(Materials!E12:E13)</f>
        <v>3</v>
      </c>
      <c r="E66" s="659">
        <f>IF(D66=0,"na",SUM(Materials!F12:F13))</f>
        <v>0</v>
      </c>
      <c r="F66" s="297"/>
      <c r="G66" s="666">
        <f>IF(D66="na","-",(SUM(Materials!G12:G13)))</f>
        <v>0</v>
      </c>
      <c r="H66" s="290"/>
    </row>
    <row r="67" spans="1:11" s="287" customFormat="1" ht="15" customHeight="1">
      <c r="A67" s="660"/>
      <c r="B67" s="245" t="str">
        <f>Materials!B15</f>
        <v>Timber</v>
      </c>
      <c r="C67" s="245" t="s">
        <v>13</v>
      </c>
      <c r="D67" s="246">
        <f>Materials!E15</f>
        <v>2</v>
      </c>
      <c r="E67" s="659">
        <f>IF(D67=0,"na",Materials!F15)</f>
        <v>0</v>
      </c>
      <c r="F67" s="297"/>
      <c r="G67" s="666">
        <f>IF(D67="na","-",Materials!G15)</f>
        <v>0</v>
      </c>
      <c r="H67" s="290"/>
    </row>
    <row r="68" spans="1:11" s="287" customFormat="1" ht="15" customHeight="1">
      <c r="A68" s="660"/>
      <c r="B68" s="245" t="str">
        <f>Materials!B16</f>
        <v>Design for Disassembly</v>
      </c>
      <c r="C68" s="245" t="s">
        <v>14</v>
      </c>
      <c r="D68" s="246">
        <f>Materials!E16</f>
        <v>1</v>
      </c>
      <c r="E68" s="659">
        <f>IF(D68="na","na",Materials!F16)</f>
        <v>0</v>
      </c>
      <c r="F68" s="297"/>
      <c r="G68" s="666">
        <f>IF(D68="na","-",Materials!G16)</f>
        <v>0</v>
      </c>
      <c r="H68" s="290"/>
    </row>
    <row r="69" spans="1:11" s="287" customFormat="1" ht="15" customHeight="1">
      <c r="A69" s="660"/>
      <c r="B69" s="245" t="str">
        <f>Materials!B17</f>
        <v>Dematerialisation</v>
      </c>
      <c r="C69" s="245" t="s">
        <v>15</v>
      </c>
      <c r="D69" s="246">
        <f>Materials!E17</f>
        <v>1</v>
      </c>
      <c r="E69" s="659">
        <f>Materials!F17</f>
        <v>0</v>
      </c>
      <c r="F69" s="297"/>
      <c r="G69" s="666">
        <f>Materials!G17</f>
        <v>0</v>
      </c>
      <c r="H69" s="290"/>
    </row>
    <row r="70" spans="1:11" s="287" customFormat="1" ht="15" customHeight="1">
      <c r="A70" s="660"/>
      <c r="B70" s="245" t="str">
        <f>Materials!B23</f>
        <v>Local Sourcing</v>
      </c>
      <c r="C70" s="245" t="s">
        <v>1339</v>
      </c>
      <c r="D70" s="246">
        <f>Materials!E23</f>
        <v>2</v>
      </c>
      <c r="E70" s="659">
        <f>Materials!F23</f>
        <v>0</v>
      </c>
      <c r="F70" s="297"/>
      <c r="G70" s="666">
        <f>Materials!G124</f>
        <v>0</v>
      </c>
      <c r="H70" s="290"/>
    </row>
    <row r="71" spans="1:11" s="287" customFormat="1" ht="15" customHeight="1" thickBot="1">
      <c r="A71" s="660"/>
      <c r="B71" s="245" t="str">
        <f>Materials!B25</f>
        <v>Masonry</v>
      </c>
      <c r="C71" s="245" t="s">
        <v>1328</v>
      </c>
      <c r="D71" s="246">
        <f>Materials!E25</f>
        <v>2</v>
      </c>
      <c r="E71" s="659">
        <f>IF(D71=0,"na",Materials!F25)</f>
        <v>0</v>
      </c>
      <c r="F71" s="297"/>
      <c r="G71" s="667">
        <f>IF(D71="na","-",Materials!G25)</f>
        <v>0</v>
      </c>
      <c r="H71" s="290"/>
    </row>
    <row r="72" spans="1:11" s="287" customFormat="1" ht="15" customHeight="1" thickBot="1">
      <c r="A72" s="661"/>
      <c r="B72" s="662"/>
      <c r="C72" s="663" t="s">
        <v>261</v>
      </c>
      <c r="D72" s="664">
        <f>Materials!E26</f>
        <v>24</v>
      </c>
      <c r="E72" s="665">
        <f>SUM(E62:E71)</f>
        <v>0</v>
      </c>
      <c r="F72" s="294"/>
      <c r="G72" s="668">
        <f>SUM(G62:G71)</f>
        <v>0</v>
      </c>
      <c r="H72" s="295"/>
      <c r="I72" s="669">
        <f>E72/D72</f>
        <v>0</v>
      </c>
      <c r="J72" s="670">
        <v>0.12</v>
      </c>
      <c r="K72" s="671">
        <f>I72*J72*100</f>
        <v>0</v>
      </c>
    </row>
    <row r="73" spans="1:11" s="287" customFormat="1" ht="5.0999999999999996" customHeight="1" thickBot="1">
      <c r="A73" s="292"/>
      <c r="B73" s="292"/>
      <c r="C73" s="292"/>
      <c r="D73" s="289"/>
      <c r="E73" s="289"/>
      <c r="F73" s="294"/>
      <c r="G73" s="289"/>
      <c r="H73" s="295"/>
      <c r="I73" s="289"/>
      <c r="J73" s="289"/>
      <c r="K73" s="289"/>
    </row>
    <row r="74" spans="1:11" s="287" customFormat="1" ht="15.75">
      <c r="A74" s="1180" t="s">
        <v>252</v>
      </c>
      <c r="B74" s="1181"/>
      <c r="C74" s="1181"/>
      <c r="D74" s="1182"/>
      <c r="E74" s="1183"/>
      <c r="F74" s="294"/>
      <c r="G74" s="1184"/>
      <c r="H74" s="295"/>
    </row>
    <row r="75" spans="1:11" s="287" customFormat="1" ht="15" customHeight="1">
      <c r="A75" s="660"/>
      <c r="B75" s="245" t="str">
        <f>'Land Use &amp; Ecology'!B5</f>
        <v>Conditional Requirement</v>
      </c>
      <c r="C75" s="245" t="s">
        <v>912</v>
      </c>
      <c r="D75" s="814"/>
      <c r="E75" s="816" t="str">
        <f>IF('Land Use &amp; Ecology'!Q26=TRUE,"Achieved","Not Achieved")</f>
        <v>Not Achieved</v>
      </c>
      <c r="G75" s="813" t="str">
        <f>"-"</f>
        <v>-</v>
      </c>
      <c r="H75" s="290"/>
    </row>
    <row r="76" spans="1:11" s="287" customFormat="1" ht="15" customHeight="1">
      <c r="A76" s="660"/>
      <c r="B76" s="245" t="str">
        <f>'Land Use &amp; Ecology'!B8</f>
        <v>Topsoil</v>
      </c>
      <c r="C76" s="245" t="s">
        <v>70</v>
      </c>
      <c r="D76" s="246">
        <f>'Land Use &amp; Ecology'!E8</f>
        <v>1</v>
      </c>
      <c r="E76" s="659">
        <f>IF(D76=0,"na",'Land Use &amp; Ecology'!F8)</f>
        <v>0</v>
      </c>
      <c r="G76" s="666">
        <f>IF(D76="na","-",'Land Use &amp; Ecology'!G8)</f>
        <v>0</v>
      </c>
      <c r="H76" s="290"/>
    </row>
    <row r="77" spans="1:11" s="287" customFormat="1" ht="15" customHeight="1">
      <c r="A77" s="660"/>
      <c r="B77" s="245" t="str">
        <f>'Land Use &amp; Ecology'!B9</f>
        <v>Reuse of Land</v>
      </c>
      <c r="C77" s="245" t="s">
        <v>71</v>
      </c>
      <c r="D77" s="246">
        <f>'Land Use &amp; Ecology'!E9</f>
        <v>2</v>
      </c>
      <c r="E77" s="659">
        <f>'Land Use &amp; Ecology'!F9</f>
        <v>0</v>
      </c>
      <c r="G77" s="666">
        <f>'Land Use &amp; Ecology'!G9</f>
        <v>0</v>
      </c>
      <c r="H77" s="290"/>
    </row>
    <row r="78" spans="1:11" s="287" customFormat="1" ht="15" customHeight="1">
      <c r="A78" s="660"/>
      <c r="B78" s="245" t="str">
        <f>'Land Use &amp; Ecology'!B10</f>
        <v>Reclaimed Contaminated Land</v>
      </c>
      <c r="C78" s="245" t="s">
        <v>72</v>
      </c>
      <c r="D78" s="246">
        <f>'Land Use &amp; Ecology'!E10</f>
        <v>2</v>
      </c>
      <c r="E78" s="659">
        <f>IF(D78=0,"na",'Land Use &amp; Ecology'!F10)</f>
        <v>0</v>
      </c>
      <c r="G78" s="666">
        <f>IF(D78="na","-",'Land Use &amp; Ecology'!G10)</f>
        <v>0</v>
      </c>
      <c r="H78" s="290"/>
    </row>
    <row r="79" spans="1:11" s="287" customFormat="1" ht="15" customHeight="1">
      <c r="A79" s="660"/>
      <c r="B79" s="245" t="str">
        <f>'Land Use &amp; Ecology'!B11</f>
        <v>Change of Ecological Value</v>
      </c>
      <c r="C79" s="245" t="s">
        <v>73</v>
      </c>
      <c r="D79" s="246">
        <f>'Land Use &amp; Ecology'!E11</f>
        <v>4</v>
      </c>
      <c r="E79" s="659">
        <f>'Land Use &amp; Ecology'!F11</f>
        <v>0</v>
      </c>
      <c r="G79" s="666">
        <f>'Land Use &amp; Ecology'!G11</f>
        <v>0</v>
      </c>
      <c r="H79" s="290"/>
    </row>
    <row r="80" spans="1:11" s="287" customFormat="1" ht="15" customHeight="1">
      <c r="A80" s="660"/>
      <c r="B80" s="245" t="str">
        <f>'Land Use &amp; Ecology'!B12</f>
        <v>Urban Heat Island</v>
      </c>
      <c r="C80" s="245" t="s">
        <v>680</v>
      </c>
      <c r="D80" s="246">
        <f>'Land Use &amp; Ecology'!E12+'Land Use &amp; Ecology'!E13</f>
        <v>2</v>
      </c>
      <c r="E80" s="659">
        <f>IF(D80=0,"na",SUM('Land Use &amp; Ecology'!F12:F13))</f>
        <v>0</v>
      </c>
      <c r="G80" s="666">
        <f>'Land Use &amp; Ecology'!G12+'Land Use &amp; Ecology'!G13</f>
        <v>0</v>
      </c>
      <c r="H80" s="290"/>
    </row>
    <row r="81" spans="1:11" s="287" customFormat="1" ht="15" customHeight="1" thickBot="1">
      <c r="A81" s="660"/>
      <c r="B81" s="245" t="str">
        <f>'Land Use &amp; Ecology'!B16</f>
        <v>Community Facilities</v>
      </c>
      <c r="C81" s="245" t="s">
        <v>1329</v>
      </c>
      <c r="D81" s="246">
        <f>'Land Use &amp; Ecology'!E16</f>
        <v>1</v>
      </c>
      <c r="E81" s="659">
        <f>IF(D81=0,"na",'Land Use &amp; Ecology'!F16)</f>
        <v>0</v>
      </c>
      <c r="G81" s="667">
        <f>IF(D81="na","-",'Land Use &amp; Ecology'!G16)</f>
        <v>0</v>
      </c>
      <c r="H81" s="290"/>
    </row>
    <row r="82" spans="1:11" s="287" customFormat="1" ht="15" customHeight="1" thickBot="1">
      <c r="A82" s="661"/>
      <c r="B82" s="662"/>
      <c r="C82" s="663" t="s">
        <v>261</v>
      </c>
      <c r="D82" s="664">
        <f>'Land Use &amp; Ecology'!E17</f>
        <v>12</v>
      </c>
      <c r="E82" s="665">
        <f>SUM(E75:E81)</f>
        <v>0</v>
      </c>
      <c r="F82" s="294"/>
      <c r="G82" s="668">
        <f>SUM(G75:G81)</f>
        <v>0</v>
      </c>
      <c r="H82" s="295"/>
      <c r="I82" s="669">
        <f>E82/D82</f>
        <v>0</v>
      </c>
      <c r="J82" s="670">
        <v>7.0000000000000007E-2</v>
      </c>
      <c r="K82" s="671">
        <f>I82*J82*100</f>
        <v>0</v>
      </c>
    </row>
    <row r="83" spans="1:11" s="287" customFormat="1" ht="5.0999999999999996" customHeight="1" thickBot="1">
      <c r="A83" s="292"/>
      <c r="B83" s="292"/>
      <c r="C83" s="292"/>
      <c r="D83" s="289"/>
      <c r="E83" s="289"/>
      <c r="F83" s="294"/>
      <c r="G83" s="289"/>
      <c r="H83" s="295"/>
      <c r="I83" s="289"/>
      <c r="J83" s="289"/>
      <c r="K83" s="289"/>
    </row>
    <row r="84" spans="1:11" s="287" customFormat="1" ht="16.5" customHeight="1">
      <c r="A84" s="1180" t="s">
        <v>253</v>
      </c>
      <c r="B84" s="1181"/>
      <c r="C84" s="1181"/>
      <c r="D84" s="1182"/>
      <c r="E84" s="1183"/>
      <c r="F84" s="294"/>
      <c r="G84" s="1184"/>
      <c r="H84" s="295"/>
    </row>
    <row r="85" spans="1:11" s="287" customFormat="1" ht="15" customHeight="1">
      <c r="A85" s="660"/>
      <c r="B85" s="245" t="str">
        <f>Emissions!B9</f>
        <v>Watercourse Pollution</v>
      </c>
      <c r="C85" s="245" t="s">
        <v>17</v>
      </c>
      <c r="D85" s="246">
        <f>SUM(Emissions!E9:E11)</f>
        <v>3</v>
      </c>
      <c r="E85" s="659">
        <f>SUM(Emissions!F9:F11)</f>
        <v>0</v>
      </c>
      <c r="F85" s="292"/>
      <c r="G85" s="666">
        <f>IF(D85="na","-",(SUM(Emissions!G9:G11)))</f>
        <v>0</v>
      </c>
      <c r="H85" s="290"/>
    </row>
    <row r="86" spans="1:11" s="287" customFormat="1" ht="15" customHeight="1">
      <c r="A86" s="660"/>
      <c r="B86" s="245" t="str">
        <f>Emissions!B12</f>
        <v>Discharge to Sewer</v>
      </c>
      <c r="C86" s="245" t="s">
        <v>18</v>
      </c>
      <c r="D86" s="246">
        <f>SUM(Emissions!E12:E13)</f>
        <v>5</v>
      </c>
      <c r="E86" s="659">
        <f>SUM(Emissions!F12:F13)</f>
        <v>0</v>
      </c>
      <c r="F86" s="292"/>
      <c r="G86" s="666">
        <f>SUM(Emissions!G12:G13)</f>
        <v>0</v>
      </c>
      <c r="H86" s="290"/>
    </row>
    <row r="87" spans="1:11" s="287" customFormat="1" ht="15" customHeight="1">
      <c r="A87" s="660"/>
      <c r="B87" s="245" t="str">
        <f>Emissions!B14</f>
        <v>Light Pollution</v>
      </c>
      <c r="C87" s="245" t="s">
        <v>19</v>
      </c>
      <c r="D87" s="246">
        <f>Emissions!E14</f>
        <v>1</v>
      </c>
      <c r="E87" s="659">
        <f>Emissions!F14</f>
        <v>0</v>
      </c>
      <c r="F87" s="292"/>
      <c r="G87" s="666">
        <f>Emissions!G14</f>
        <v>0</v>
      </c>
      <c r="H87" s="290"/>
    </row>
    <row r="88" spans="1:11" s="287" customFormat="1" ht="15" customHeight="1">
      <c r="A88" s="660"/>
      <c r="B88" s="245" t="str">
        <f>Emissions!B15</f>
        <v>Legionella</v>
      </c>
      <c r="C88" s="245" t="s">
        <v>291</v>
      </c>
      <c r="D88" s="246">
        <f>Emissions!E15</f>
        <v>1</v>
      </c>
      <c r="E88" s="659">
        <f>Emissions!F15</f>
        <v>0</v>
      </c>
      <c r="F88" s="292"/>
      <c r="G88" s="666">
        <f>Emissions!G15</f>
        <v>0</v>
      </c>
      <c r="H88" s="290"/>
    </row>
    <row r="89" spans="1:11" s="287" customFormat="1" ht="15" customHeight="1">
      <c r="A89" s="660"/>
      <c r="B89" s="245" t="str">
        <f>Emissions!B16</f>
        <v>Boiler and Generator Emissions</v>
      </c>
      <c r="C89" s="245" t="s">
        <v>1033</v>
      </c>
      <c r="D89" s="246">
        <f>Emissions!E16</f>
        <v>1</v>
      </c>
      <c r="E89" s="659">
        <f>IF(D89=0,"na",Emissions!F16)</f>
        <v>0</v>
      </c>
      <c r="F89" s="292"/>
      <c r="G89" s="666">
        <f>IF(D89="na","-",Emissions!G16)</f>
        <v>0</v>
      </c>
      <c r="H89" s="290"/>
    </row>
    <row r="90" spans="1:11" s="287" customFormat="1" ht="15" customHeight="1" thickBot="1">
      <c r="A90" s="660"/>
      <c r="B90" s="245" t="str">
        <f>Emissions!B18</f>
        <v>Atmospheric Deterioration Avoidance</v>
      </c>
      <c r="C90" s="245" t="s">
        <v>2072</v>
      </c>
      <c r="D90" s="246">
        <f>SUM(Emissions!E18:E20)</f>
        <v>6</v>
      </c>
      <c r="E90" s="246">
        <f>SUM(Emissions!F18:F20)</f>
        <v>0</v>
      </c>
      <c r="F90" s="292"/>
      <c r="G90" s="666">
        <f>SUM(Emissions!G18:G20)</f>
        <v>0</v>
      </c>
      <c r="H90" s="290"/>
    </row>
    <row r="91" spans="1:11" s="287" customFormat="1" ht="15" customHeight="1" thickBot="1">
      <c r="A91" s="661"/>
      <c r="B91" s="662"/>
      <c r="C91" s="663" t="s">
        <v>261</v>
      </c>
      <c r="D91" s="664">
        <f>Emissions!E21</f>
        <v>17</v>
      </c>
      <c r="E91" s="665">
        <f>SUM(E85:E90)</f>
        <v>0</v>
      </c>
      <c r="F91" s="294"/>
      <c r="G91" s="676">
        <f>SUM(G85:G89)</f>
        <v>0</v>
      </c>
      <c r="H91" s="295"/>
      <c r="I91" s="669">
        <f>E91/D91</f>
        <v>0</v>
      </c>
      <c r="J91" s="670">
        <v>7.0000000000000007E-2</v>
      </c>
      <c r="K91" s="671">
        <f>I91*J91*100</f>
        <v>0</v>
      </c>
    </row>
    <row r="92" spans="1:11" s="287" customFormat="1" ht="33" customHeight="1" thickBot="1">
      <c r="A92" s="292"/>
      <c r="C92" s="298"/>
      <c r="D92" s="289"/>
      <c r="E92" s="289"/>
      <c r="F92" s="294"/>
      <c r="G92" s="299"/>
      <c r="H92" s="295"/>
      <c r="I92" s="299"/>
      <c r="J92" s="300" t="s">
        <v>262</v>
      </c>
      <c r="K92" s="301">
        <f>K19+K36+K45+K54+K59+K72+K82+K91</f>
        <v>0</v>
      </c>
    </row>
    <row r="93" spans="1:11" s="287" customFormat="1" ht="15.75">
      <c r="A93" s="1180" t="s">
        <v>313</v>
      </c>
      <c r="B93" s="1181"/>
      <c r="C93" s="1181"/>
      <c r="D93" s="1182"/>
      <c r="E93" s="1183"/>
      <c r="F93" s="294"/>
      <c r="G93" s="1184"/>
      <c r="H93" s="295"/>
      <c r="J93" s="819"/>
    </row>
    <row r="94" spans="1:11" s="287" customFormat="1" ht="15" customHeight="1">
      <c r="A94" s="660"/>
      <c r="B94" s="245" t="str">
        <f>Innovation!B5</f>
        <v>Innovative Strategies &amp; Technologies</v>
      </c>
      <c r="C94" s="245" t="s">
        <v>270</v>
      </c>
      <c r="D94" s="246">
        <v>5</v>
      </c>
      <c r="E94" s="659">
        <f>Innovation!F5</f>
        <v>0</v>
      </c>
      <c r="F94" s="294"/>
      <c r="G94" s="666">
        <f>Innovation!G5</f>
        <v>0</v>
      </c>
      <c r="H94" s="295"/>
    </row>
    <row r="95" spans="1:11" s="287" customFormat="1" ht="15" customHeight="1">
      <c r="A95" s="660"/>
      <c r="B95" s="245" t="str">
        <f>Innovation!B6</f>
        <v>Exceeding Green Star SA Benchmarks</v>
      </c>
      <c r="C95" s="245" t="s">
        <v>271</v>
      </c>
      <c r="D95" s="246">
        <v>5</v>
      </c>
      <c r="E95" s="659">
        <f>Innovation!F6</f>
        <v>0</v>
      </c>
      <c r="F95" s="294"/>
      <c r="G95" s="666">
        <f>Innovation!G6</f>
        <v>0</v>
      </c>
      <c r="H95" s="295"/>
    </row>
    <row r="96" spans="1:11" s="287" customFormat="1" ht="15" customHeight="1" thickBot="1">
      <c r="A96" s="660"/>
      <c r="B96" s="245" t="str">
        <f>Innovation!B7</f>
        <v xml:space="preserve">Environmental Design Initiatives </v>
      </c>
      <c r="C96" s="245" t="s">
        <v>272</v>
      </c>
      <c r="D96" s="246">
        <v>5</v>
      </c>
      <c r="E96" s="659">
        <f>Innovation!F7</f>
        <v>0</v>
      </c>
      <c r="F96" s="294"/>
      <c r="G96" s="666">
        <f>Innovation!G7</f>
        <v>0</v>
      </c>
      <c r="H96" s="295"/>
    </row>
    <row r="97" spans="1:13" s="287" customFormat="1" ht="15" customHeight="1" thickBot="1">
      <c r="A97" s="661"/>
      <c r="B97" s="662"/>
      <c r="C97" s="663" t="s">
        <v>261</v>
      </c>
      <c r="D97" s="664">
        <f>Innovation!E8</f>
        <v>5</v>
      </c>
      <c r="E97" s="665">
        <f>SUM(E94:E96)</f>
        <v>0</v>
      </c>
      <c r="F97" s="294"/>
      <c r="G97" s="676">
        <f>SUM(G94:G96)</f>
        <v>0</v>
      </c>
      <c r="H97" s="295"/>
      <c r="I97" s="683" t="s">
        <v>263</v>
      </c>
      <c r="J97" s="684"/>
      <c r="K97" s="685">
        <f>E97</f>
        <v>0</v>
      </c>
    </row>
    <row r="98" spans="1:13" s="287" customFormat="1" hidden="1">
      <c r="A98" s="292"/>
      <c r="B98" s="292"/>
      <c r="C98" s="292"/>
      <c r="D98" s="289"/>
      <c r="E98" s="289"/>
      <c r="F98" s="294"/>
      <c r="G98" s="289"/>
      <c r="H98" s="295"/>
      <c r="I98" s="289"/>
      <c r="J98" s="289"/>
      <c r="K98" s="289"/>
    </row>
    <row r="99" spans="1:13" s="287" customFormat="1" ht="35.25" customHeight="1">
      <c r="A99" s="292"/>
      <c r="C99" s="298"/>
      <c r="D99" s="289"/>
      <c r="E99" s="289"/>
      <c r="F99" s="294"/>
      <c r="G99" s="302"/>
      <c r="H99" s="295"/>
      <c r="I99" s="302"/>
      <c r="J99" s="300" t="s">
        <v>264</v>
      </c>
      <c r="K99" s="301">
        <f>K92+K97</f>
        <v>0</v>
      </c>
      <c r="M99" s="291"/>
    </row>
    <row r="100" spans="1:13" s="287" customFormat="1" ht="15.75">
      <c r="A100" s="292"/>
      <c r="B100" s="292"/>
      <c r="C100" s="292"/>
      <c r="D100" s="289"/>
      <c r="E100" s="289"/>
      <c r="F100" s="294"/>
      <c r="G100" s="289"/>
      <c r="H100" s="295"/>
      <c r="I100" s="289"/>
      <c r="J100" s="289"/>
      <c r="K100" s="289"/>
      <c r="M100" s="293"/>
    </row>
    <row r="101" spans="1:13" s="287" customFormat="1" ht="15.75">
      <c r="A101" s="292"/>
      <c r="C101" s="292"/>
      <c r="D101" s="289"/>
      <c r="E101" s="289"/>
      <c r="F101" s="294"/>
      <c r="H101" s="295"/>
      <c r="I101" s="289"/>
      <c r="J101" s="289"/>
      <c r="K101" s="303"/>
      <c r="M101" s="293"/>
    </row>
    <row r="102" spans="1:13" s="287" customFormat="1" ht="15.75">
      <c r="A102" s="292"/>
      <c r="B102" s="292"/>
      <c r="C102" s="292"/>
      <c r="D102" s="289"/>
      <c r="E102" s="289"/>
      <c r="F102" s="294"/>
      <c r="G102" s="289"/>
      <c r="H102" s="295"/>
      <c r="I102" s="289"/>
      <c r="J102" s="289"/>
      <c r="K102" s="289"/>
      <c r="M102" s="293"/>
    </row>
    <row r="103" spans="1:13">
      <c r="A103" s="304"/>
      <c r="B103" s="304"/>
      <c r="C103" s="304"/>
      <c r="D103" s="305"/>
      <c r="E103" s="305"/>
      <c r="F103" s="306"/>
      <c r="G103" s="305"/>
      <c r="H103" s="307"/>
      <c r="I103" s="305"/>
    </row>
    <row r="104" spans="1:13" ht="12.75" customHeight="1">
      <c r="A104" s="2727" t="s">
        <v>2111</v>
      </c>
      <c r="B104" s="2728"/>
      <c r="C104" s="2728"/>
      <c r="D104" s="2728"/>
      <c r="E104" s="2728"/>
      <c r="F104" s="2728"/>
      <c r="G104" s="2729"/>
      <c r="H104" s="310"/>
      <c r="I104" s="2739" t="s">
        <v>260</v>
      </c>
      <c r="J104" s="2725" t="s">
        <v>309</v>
      </c>
    </row>
    <row r="105" spans="1:13">
      <c r="A105" s="2730"/>
      <c r="B105" s="2731"/>
      <c r="C105" s="2731"/>
      <c r="D105" s="2731"/>
      <c r="E105" s="2731"/>
      <c r="F105" s="2731"/>
      <c r="G105" s="2732"/>
      <c r="I105" s="2740"/>
      <c r="J105" s="2726"/>
    </row>
    <row r="106" spans="1:13">
      <c r="A106" s="2730"/>
      <c r="B106" s="2731"/>
      <c r="C106" s="2731"/>
      <c r="D106" s="2731"/>
      <c r="E106" s="2731"/>
      <c r="F106" s="2731"/>
      <c r="G106" s="2732"/>
      <c r="I106" s="417" t="s">
        <v>265</v>
      </c>
      <c r="J106" s="418" t="s">
        <v>205</v>
      </c>
    </row>
    <row r="107" spans="1:13">
      <c r="A107" s="2733"/>
      <c r="B107" s="2734"/>
      <c r="C107" s="2734"/>
      <c r="D107" s="2734"/>
      <c r="E107" s="2734"/>
      <c r="F107" s="2734"/>
      <c r="G107" s="2735"/>
      <c r="I107" s="417" t="s">
        <v>266</v>
      </c>
      <c r="J107" s="418" t="s">
        <v>615</v>
      </c>
    </row>
    <row r="108" spans="1:13">
      <c r="A108" s="2733"/>
      <c r="B108" s="2734"/>
      <c r="C108" s="2734"/>
      <c r="D108" s="2734"/>
      <c r="E108" s="2734"/>
      <c r="F108" s="2734"/>
      <c r="G108" s="2735"/>
      <c r="I108" s="417" t="s">
        <v>267</v>
      </c>
      <c r="J108" s="419" t="s">
        <v>414</v>
      </c>
    </row>
    <row r="109" spans="1:13">
      <c r="A109" s="2733"/>
      <c r="B109" s="2734"/>
      <c r="C109" s="2734"/>
      <c r="D109" s="2734"/>
      <c r="E109" s="2734"/>
      <c r="F109" s="2734"/>
      <c r="G109" s="2735"/>
    </row>
    <row r="110" spans="1:13">
      <c r="A110" s="2733"/>
      <c r="B110" s="2734"/>
      <c r="C110" s="2734"/>
      <c r="D110" s="2734"/>
      <c r="E110" s="2734"/>
      <c r="F110" s="2734"/>
      <c r="G110" s="2735"/>
    </row>
    <row r="111" spans="1:13">
      <c r="A111" s="2736"/>
      <c r="B111" s="2737"/>
      <c r="C111" s="2737"/>
      <c r="D111" s="2737"/>
      <c r="E111" s="2737"/>
      <c r="F111" s="2737"/>
      <c r="G111" s="2738"/>
    </row>
  </sheetData>
  <sheetProtection password="AD9B" sheet="1" objects="1" scenarios="1"/>
  <mergeCells count="4">
    <mergeCell ref="J104:J105"/>
    <mergeCell ref="A104:G111"/>
    <mergeCell ref="I104:I105"/>
    <mergeCell ref="D2:K3"/>
  </mergeCells>
  <phoneticPr fontId="0"/>
  <conditionalFormatting sqref="E50">
    <cfRule type="cellIs" dxfId="1" priority="2" operator="equal">
      <formula>"Both can't be 'na'"</formula>
    </cfRule>
  </conditionalFormatting>
  <conditionalFormatting sqref="D50">
    <cfRule type="cellIs" dxfId="0" priority="1" operator="equal">
      <formula>"Requires a 'na'"</formula>
    </cfRule>
  </conditionalFormatting>
  <printOptions horizontalCentered="1"/>
  <pageMargins left="0.59055118110236227" right="0.59055118110236227" top="0.47244094488188981" bottom="0.47244094488188981" header="0.23622047244094491" footer="0.35433070866141736"/>
  <pageSetup paperSize="9" scale="55" fitToHeight="2" orientation="portrait" blackAndWhite="1" r:id="rId1"/>
  <headerFooter alignWithMargins="0">
    <oddHeader>&amp;LGreen Building Council of South Africa&amp;R&amp;T   &amp;D</oddHeader>
    <oddFooter>&amp;L&amp;F&amp;CPage &amp;P of &amp;N&amp;R&amp;A</oddFooter>
  </headerFooter>
  <rowBreaks count="1" manualBreakCount="1">
    <brk id="72" max="10" man="1"/>
  </rowBreaks>
  <ignoredErrors>
    <ignoredError sqref="D9 D58"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350209" r:id="rId4" name="Button 1">
              <controlPr defaultSize="0" print="0" autoFill="0" autoPict="0" macro="[0]!GoToManagement">
                <anchor moveWithCells="1" sizeWithCells="1">
                  <from>
                    <xdr:col>8</xdr:col>
                    <xdr:colOff>114300</xdr:colOff>
                    <xdr:row>6</xdr:row>
                    <xdr:rowOff>9525</xdr:rowOff>
                  </from>
                  <to>
                    <xdr:col>10</xdr:col>
                    <xdr:colOff>685800</xdr:colOff>
                    <xdr:row>7</xdr:row>
                    <xdr:rowOff>57150</xdr:rowOff>
                  </to>
                </anchor>
              </controlPr>
            </control>
          </mc:Choice>
        </mc:AlternateContent>
        <mc:AlternateContent xmlns:mc="http://schemas.openxmlformats.org/markup-compatibility/2006">
          <mc:Choice Requires="x14">
            <control shapeId="350210" r:id="rId5" name="Button 2">
              <controlPr defaultSize="0" print="0" autoFill="0" autoPict="0" macro="[0]!GoToIEQ">
                <anchor moveWithCells="1" sizeWithCells="1">
                  <from>
                    <xdr:col>8</xdr:col>
                    <xdr:colOff>104775</xdr:colOff>
                    <xdr:row>20</xdr:row>
                    <xdr:rowOff>38100</xdr:rowOff>
                  </from>
                  <to>
                    <xdr:col>10</xdr:col>
                    <xdr:colOff>676275</xdr:colOff>
                    <xdr:row>22</xdr:row>
                    <xdr:rowOff>0</xdr:rowOff>
                  </to>
                </anchor>
              </controlPr>
            </control>
          </mc:Choice>
        </mc:AlternateContent>
        <mc:AlternateContent xmlns:mc="http://schemas.openxmlformats.org/markup-compatibility/2006">
          <mc:Choice Requires="x14">
            <control shapeId="350211" r:id="rId6" name="Button 3">
              <controlPr defaultSize="0" print="0" autoFill="0" autoPict="0" macro="[0]!GoToEnergy">
                <anchor moveWithCells="1" sizeWithCells="1">
                  <from>
                    <xdr:col>8</xdr:col>
                    <xdr:colOff>104775</xdr:colOff>
                    <xdr:row>37</xdr:row>
                    <xdr:rowOff>38100</xdr:rowOff>
                  </from>
                  <to>
                    <xdr:col>10</xdr:col>
                    <xdr:colOff>676275</xdr:colOff>
                    <xdr:row>39</xdr:row>
                    <xdr:rowOff>123825</xdr:rowOff>
                  </to>
                </anchor>
              </controlPr>
            </control>
          </mc:Choice>
        </mc:AlternateContent>
        <mc:AlternateContent xmlns:mc="http://schemas.openxmlformats.org/markup-compatibility/2006">
          <mc:Choice Requires="x14">
            <control shapeId="350212" r:id="rId7" name="Button 4">
              <controlPr defaultSize="0" print="0" autoFill="0" autoPict="0" macro="[0]!GoToTransport">
                <anchor moveWithCells="1" sizeWithCells="1">
                  <from>
                    <xdr:col>8</xdr:col>
                    <xdr:colOff>85725</xdr:colOff>
                    <xdr:row>46</xdr:row>
                    <xdr:rowOff>38100</xdr:rowOff>
                  </from>
                  <to>
                    <xdr:col>10</xdr:col>
                    <xdr:colOff>657225</xdr:colOff>
                    <xdr:row>48</xdr:row>
                    <xdr:rowOff>114300</xdr:rowOff>
                  </to>
                </anchor>
              </controlPr>
            </control>
          </mc:Choice>
        </mc:AlternateContent>
        <mc:AlternateContent xmlns:mc="http://schemas.openxmlformats.org/markup-compatibility/2006">
          <mc:Choice Requires="x14">
            <control shapeId="350213" r:id="rId8" name="Button 5">
              <controlPr defaultSize="0" print="0" autoFill="0" autoPict="0" macro="[0]!GoToWater">
                <anchor moveWithCells="1" sizeWithCells="1">
                  <from>
                    <xdr:col>8</xdr:col>
                    <xdr:colOff>104775</xdr:colOff>
                    <xdr:row>55</xdr:row>
                    <xdr:rowOff>19050</xdr:rowOff>
                  </from>
                  <to>
                    <xdr:col>10</xdr:col>
                    <xdr:colOff>676275</xdr:colOff>
                    <xdr:row>57</xdr:row>
                    <xdr:rowOff>104775</xdr:rowOff>
                  </to>
                </anchor>
              </controlPr>
            </control>
          </mc:Choice>
        </mc:AlternateContent>
        <mc:AlternateContent xmlns:mc="http://schemas.openxmlformats.org/markup-compatibility/2006">
          <mc:Choice Requires="x14">
            <control shapeId="350214" r:id="rId9" name="Button 6">
              <controlPr defaultSize="0" print="0" autoFill="0" autoPict="0" macro="[0]!GoToMaterials">
                <anchor moveWithCells="1" sizeWithCells="1">
                  <from>
                    <xdr:col>8</xdr:col>
                    <xdr:colOff>104775</xdr:colOff>
                    <xdr:row>60</xdr:row>
                    <xdr:rowOff>38100</xdr:rowOff>
                  </from>
                  <to>
                    <xdr:col>10</xdr:col>
                    <xdr:colOff>676275</xdr:colOff>
                    <xdr:row>62</xdr:row>
                    <xdr:rowOff>123825</xdr:rowOff>
                  </to>
                </anchor>
              </controlPr>
            </control>
          </mc:Choice>
        </mc:AlternateContent>
        <mc:AlternateContent xmlns:mc="http://schemas.openxmlformats.org/markup-compatibility/2006">
          <mc:Choice Requires="x14">
            <control shapeId="350215" r:id="rId10" name="Button 7">
              <controlPr defaultSize="0" print="0" autoFill="0" autoPict="0" macro="[0]!GoToEcology">
                <anchor moveWithCells="1" sizeWithCells="1">
                  <from>
                    <xdr:col>8</xdr:col>
                    <xdr:colOff>57150</xdr:colOff>
                    <xdr:row>73</xdr:row>
                    <xdr:rowOff>38100</xdr:rowOff>
                  </from>
                  <to>
                    <xdr:col>10</xdr:col>
                    <xdr:colOff>723900</xdr:colOff>
                    <xdr:row>75</xdr:row>
                    <xdr:rowOff>123825</xdr:rowOff>
                  </to>
                </anchor>
              </controlPr>
            </control>
          </mc:Choice>
        </mc:AlternateContent>
        <mc:AlternateContent xmlns:mc="http://schemas.openxmlformats.org/markup-compatibility/2006">
          <mc:Choice Requires="x14">
            <control shapeId="350216" r:id="rId11" name="Button 8">
              <controlPr defaultSize="0" print="0" autoFill="0" autoPict="0" macro="[0]!GoToEmissions">
                <anchor moveWithCells="1" sizeWithCells="1">
                  <from>
                    <xdr:col>8</xdr:col>
                    <xdr:colOff>76200</xdr:colOff>
                    <xdr:row>83</xdr:row>
                    <xdr:rowOff>47625</xdr:rowOff>
                  </from>
                  <to>
                    <xdr:col>10</xdr:col>
                    <xdr:colOff>647700</xdr:colOff>
                    <xdr:row>85</xdr:row>
                    <xdr:rowOff>66675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1:I5"/>
  <sheetViews>
    <sheetView zoomScale="80" zoomScaleNormal="80" workbookViewId="0"/>
  </sheetViews>
  <sheetFormatPr defaultColWidth="10.75" defaultRowHeight="12.75"/>
  <cols>
    <col min="1" max="1" width="1.875" style="420" customWidth="1"/>
    <col min="2" max="9" width="10.75" style="420"/>
    <col min="10" max="10" width="19.25" style="420" customWidth="1"/>
    <col min="11" max="16384" width="10.75" style="420"/>
  </cols>
  <sheetData>
    <row r="1" spans="2:9" ht="24" customHeight="1">
      <c r="B1" s="687" t="str">
        <f>'Building Input'!B1</f>
        <v>Green Star SA - Public &amp; Education Building v1</v>
      </c>
    </row>
    <row r="2" spans="2:9" ht="30" customHeight="1">
      <c r="B2" s="421" t="s">
        <v>283</v>
      </c>
    </row>
    <row r="3" spans="2:9" ht="19.5" customHeight="1">
      <c r="B3" s="688" t="s">
        <v>122</v>
      </c>
      <c r="C3" s="689"/>
      <c r="D3" s="690" t="str">
        <f>IF('Building Input'!$C$5=0,"",'Building Input'!$C$5)</f>
        <v/>
      </c>
      <c r="E3" s="689"/>
      <c r="F3" s="689"/>
    </row>
    <row r="4" spans="2:9" ht="21" thickBot="1">
      <c r="B4" s="422"/>
      <c r="D4" s="423"/>
    </row>
    <row r="5" spans="2:9" ht="48" customHeight="1" thickBot="1">
      <c r="B5" s="2747" t="str">
        <f>IF('Credit Summary'!K99&lt;45,"Official GBCSA certification NOT permitted. The Project must achieve a minimum final point score of 45 weighted points for certification","The number of points inputted would equate to a "&amp;Calculation1!C61&amp;" rating, once certified.")</f>
        <v>Official GBCSA certification NOT permitted. The Project must achieve a minimum final point score of 45 weighted points for certification</v>
      </c>
      <c r="C5" s="2748"/>
      <c r="D5" s="2748"/>
      <c r="E5" s="2748"/>
      <c r="F5" s="2748"/>
      <c r="G5" s="2748"/>
      <c r="H5" s="2748"/>
      <c r="I5" s="2749"/>
    </row>
  </sheetData>
  <sheetProtection password="AD9B" sheet="1" objects="1" scenarios="1"/>
  <mergeCells count="1">
    <mergeCell ref="B5:I5"/>
  </mergeCells>
  <phoneticPr fontId="0"/>
  <pageMargins left="0.59055118110236227" right="0.59055118110236227" top="0.47244094488188981" bottom="0.47244094488188981" header="0.23622047244094491" footer="0.35433070866141736"/>
  <pageSetup paperSize="9" scale="74" fitToHeight="2" orientation="portrait" blackAndWhite="1" r:id="rId1"/>
  <headerFooter alignWithMargins="0">
    <oddHeader>&amp;LGreen Building Council of South Africa&amp;R&amp;T   &amp;D</oddHeader>
    <oddFooter>&amp;L&amp;F&amp;CPage &amp;P of &amp;N&amp;R&amp;A</oddFooter>
  </headerFooter>
  <rowBreaks count="1" manualBreakCount="1">
    <brk id="64" max="9"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1:R35"/>
  <sheetViews>
    <sheetView workbookViewId="0">
      <selection sqref="A1:XFD1048576"/>
    </sheetView>
  </sheetViews>
  <sheetFormatPr defaultColWidth="8" defaultRowHeight="15"/>
  <cols>
    <col min="1" max="1" width="4.375" style="429" customWidth="1"/>
    <col min="2" max="2" width="18.875" style="429" customWidth="1"/>
    <col min="3" max="10" width="8" style="429"/>
    <col min="11" max="11" width="9.75" style="429" customWidth="1"/>
    <col min="12" max="12" width="8" style="429"/>
    <col min="13" max="13" width="11.375" style="429" customWidth="1"/>
    <col min="14" max="14" width="8.75" style="429" customWidth="1"/>
    <col min="15" max="15" width="10" style="429" customWidth="1"/>
    <col min="16" max="16" width="11.75" style="429" customWidth="1"/>
    <col min="17" max="16384" width="8" style="429"/>
  </cols>
  <sheetData>
    <row r="1" spans="2:17">
      <c r="B1" s="428"/>
    </row>
    <row r="2" spans="2:17">
      <c r="C2" s="430"/>
      <c r="D2" s="430"/>
      <c r="E2" s="430"/>
      <c r="F2" s="430"/>
      <c r="G2" s="430"/>
      <c r="H2" s="430"/>
      <c r="I2" s="430"/>
      <c r="J2" s="430"/>
      <c r="K2" s="430"/>
      <c r="L2" s="430"/>
      <c r="M2" s="430"/>
      <c r="N2" s="430"/>
      <c r="O2" s="431"/>
      <c r="P2" s="432"/>
      <c r="Q2" s="433"/>
    </row>
    <row r="3" spans="2:17">
      <c r="C3" s="430"/>
      <c r="D3" s="430"/>
      <c r="E3" s="430"/>
      <c r="F3" s="430"/>
      <c r="G3" s="430"/>
      <c r="H3" s="430"/>
      <c r="I3" s="430"/>
      <c r="J3" s="430"/>
      <c r="K3" s="430"/>
      <c r="L3" s="430"/>
      <c r="M3" s="430"/>
      <c r="N3" s="430"/>
      <c r="O3" s="431"/>
      <c r="P3" s="432"/>
      <c r="Q3" s="433"/>
    </row>
    <row r="4" spans="2:17">
      <c r="B4" s="434"/>
      <c r="C4" s="435"/>
      <c r="D4" s="435"/>
      <c r="E4" s="435"/>
      <c r="F4" s="435"/>
      <c r="G4" s="435"/>
      <c r="H4" s="435"/>
      <c r="I4" s="435"/>
      <c r="J4" s="435"/>
      <c r="K4" s="435"/>
      <c r="L4" s="435"/>
      <c r="M4" s="435"/>
      <c r="N4" s="435"/>
      <c r="O4" s="436"/>
      <c r="P4" s="435"/>
    </row>
    <row r="5" spans="2:17">
      <c r="B5" s="434"/>
      <c r="C5" s="435"/>
      <c r="D5" s="435"/>
      <c r="E5" s="435"/>
      <c r="F5" s="435"/>
      <c r="G5" s="435"/>
      <c r="H5" s="435"/>
      <c r="I5" s="435"/>
      <c r="J5" s="435"/>
      <c r="K5" s="435"/>
      <c r="L5" s="435"/>
      <c r="M5" s="435"/>
      <c r="N5" s="435"/>
      <c r="O5" s="436"/>
      <c r="P5" s="435"/>
    </row>
    <row r="6" spans="2:17">
      <c r="B6" s="434"/>
      <c r="C6" s="435"/>
      <c r="D6" s="435"/>
      <c r="E6" s="435"/>
      <c r="F6" s="435"/>
      <c r="G6" s="435"/>
      <c r="H6" s="435"/>
      <c r="I6" s="435"/>
      <c r="J6" s="435"/>
      <c r="K6" s="435"/>
      <c r="L6" s="435"/>
      <c r="M6" s="435"/>
      <c r="N6" s="435"/>
      <c r="O6" s="436"/>
      <c r="P6" s="435"/>
    </row>
    <row r="7" spans="2:17">
      <c r="B7" s="434"/>
      <c r="C7" s="435"/>
      <c r="D7" s="435"/>
      <c r="E7" s="435"/>
      <c r="F7" s="435"/>
      <c r="G7" s="435"/>
      <c r="H7" s="435"/>
      <c r="I7" s="435"/>
      <c r="J7" s="435"/>
      <c r="K7" s="435"/>
      <c r="L7" s="435"/>
      <c r="M7" s="435"/>
      <c r="N7" s="435"/>
      <c r="O7" s="436"/>
      <c r="P7" s="435"/>
    </row>
    <row r="8" spans="2:17">
      <c r="B8" s="434"/>
      <c r="C8" s="435"/>
      <c r="D8" s="435"/>
      <c r="E8" s="435"/>
      <c r="F8" s="435"/>
      <c r="G8" s="435"/>
      <c r="H8" s="435"/>
      <c r="I8" s="435"/>
      <c r="J8" s="435"/>
      <c r="K8" s="435"/>
      <c r="L8" s="435"/>
      <c r="M8" s="435"/>
      <c r="N8" s="435"/>
      <c r="O8" s="436"/>
      <c r="P8" s="435"/>
    </row>
    <row r="9" spans="2:17">
      <c r="B9" s="434"/>
      <c r="C9" s="435"/>
      <c r="D9" s="435"/>
      <c r="E9" s="435"/>
      <c r="F9" s="435"/>
      <c r="G9" s="435"/>
      <c r="H9" s="435"/>
      <c r="I9" s="435"/>
      <c r="J9" s="435"/>
      <c r="K9" s="435"/>
      <c r="L9" s="435"/>
      <c r="M9" s="435"/>
      <c r="N9" s="435"/>
      <c r="O9" s="436"/>
      <c r="P9" s="435"/>
    </row>
    <row r="10" spans="2:17">
      <c r="B10" s="434"/>
      <c r="C10" s="435"/>
      <c r="D10" s="435"/>
      <c r="E10" s="435"/>
      <c r="F10" s="435"/>
      <c r="G10" s="435"/>
      <c r="H10" s="435"/>
      <c r="I10" s="435"/>
      <c r="J10" s="435"/>
      <c r="K10" s="435"/>
      <c r="L10" s="435"/>
      <c r="M10" s="435"/>
      <c r="N10" s="435"/>
      <c r="O10" s="436"/>
      <c r="P10" s="435"/>
    </row>
    <row r="11" spans="2:17">
      <c r="B11" s="434"/>
      <c r="C11" s="435"/>
      <c r="D11" s="435"/>
      <c r="E11" s="435"/>
      <c r="F11" s="435"/>
      <c r="G11" s="435"/>
      <c r="H11" s="435"/>
      <c r="I11" s="435"/>
      <c r="J11" s="435"/>
      <c r="K11" s="435"/>
      <c r="L11" s="435"/>
      <c r="M11" s="435"/>
      <c r="N11" s="435"/>
      <c r="O11" s="436"/>
      <c r="P11" s="435"/>
    </row>
    <row r="12" spans="2:17">
      <c r="B12" s="434"/>
      <c r="C12" s="435"/>
      <c r="D12" s="435"/>
      <c r="E12" s="435"/>
      <c r="F12" s="435"/>
      <c r="G12" s="435"/>
      <c r="H12" s="435"/>
      <c r="I12" s="435"/>
      <c r="J12" s="435"/>
      <c r="K12" s="435"/>
      <c r="L12" s="435"/>
      <c r="M12" s="435"/>
      <c r="N12" s="435"/>
      <c r="O12" s="436"/>
      <c r="P12" s="435"/>
    </row>
    <row r="13" spans="2:17">
      <c r="B13" s="434"/>
      <c r="C13" s="435"/>
      <c r="D13" s="435"/>
      <c r="E13" s="435"/>
      <c r="F13" s="435"/>
      <c r="G13" s="435"/>
      <c r="H13" s="435"/>
      <c r="I13" s="435"/>
      <c r="J13" s="435"/>
      <c r="K13" s="435"/>
      <c r="L13" s="435"/>
      <c r="M13" s="435"/>
      <c r="N13" s="435"/>
      <c r="O13" s="436"/>
      <c r="P13" s="435"/>
    </row>
    <row r="14" spans="2:17">
      <c r="B14" s="434"/>
      <c r="C14" s="435"/>
      <c r="D14" s="435"/>
      <c r="E14" s="435"/>
      <c r="F14" s="435"/>
      <c r="G14" s="435"/>
      <c r="H14" s="435"/>
      <c r="I14" s="435"/>
      <c r="J14" s="435"/>
      <c r="K14" s="435"/>
      <c r="L14" s="435"/>
      <c r="M14" s="435"/>
      <c r="N14" s="435"/>
      <c r="O14" s="436"/>
      <c r="P14" s="435"/>
    </row>
    <row r="15" spans="2:17">
      <c r="B15" s="434"/>
      <c r="C15" s="435"/>
      <c r="D15" s="435"/>
      <c r="E15" s="435"/>
      <c r="F15" s="435"/>
      <c r="G15" s="435"/>
      <c r="H15" s="435"/>
      <c r="I15" s="435"/>
      <c r="J15" s="435"/>
      <c r="K15" s="435"/>
      <c r="L15" s="435"/>
      <c r="M15" s="435"/>
      <c r="N15" s="435"/>
      <c r="O15" s="436"/>
      <c r="P15" s="435"/>
    </row>
    <row r="16" spans="2:17">
      <c r="B16" s="434"/>
      <c r="C16" s="435"/>
      <c r="D16" s="435"/>
      <c r="E16" s="435"/>
      <c r="F16" s="435"/>
      <c r="G16" s="435"/>
      <c r="H16" s="435"/>
      <c r="I16" s="435"/>
      <c r="J16" s="435"/>
      <c r="K16" s="435"/>
      <c r="L16" s="435"/>
      <c r="M16" s="435"/>
      <c r="N16" s="435"/>
      <c r="O16" s="436"/>
      <c r="P16" s="435"/>
    </row>
    <row r="17" spans="2:16">
      <c r="B17" s="434"/>
      <c r="C17" s="435"/>
      <c r="D17" s="435"/>
      <c r="E17" s="435"/>
      <c r="F17" s="435"/>
      <c r="G17" s="435"/>
      <c r="H17" s="435"/>
      <c r="I17" s="435"/>
      <c r="J17" s="435"/>
      <c r="K17" s="435"/>
      <c r="L17" s="435"/>
      <c r="M17" s="435"/>
      <c r="N17" s="435"/>
      <c r="O17" s="436"/>
      <c r="P17" s="435"/>
    </row>
    <row r="18" spans="2:16">
      <c r="B18" s="434"/>
      <c r="C18" s="435"/>
      <c r="D18" s="435"/>
      <c r="E18" s="435"/>
      <c r="F18" s="435"/>
      <c r="G18" s="435"/>
      <c r="H18" s="435"/>
      <c r="I18" s="435"/>
      <c r="J18" s="435"/>
      <c r="K18" s="435"/>
      <c r="L18" s="435"/>
      <c r="M18" s="435"/>
      <c r="N18" s="435"/>
      <c r="O18" s="436"/>
      <c r="P18" s="435"/>
    </row>
    <row r="19" spans="2:16">
      <c r="B19" s="434"/>
      <c r="C19" s="435"/>
      <c r="D19" s="435"/>
      <c r="E19" s="435"/>
      <c r="F19" s="435"/>
      <c r="G19" s="435"/>
      <c r="H19" s="435"/>
      <c r="I19" s="435"/>
      <c r="J19" s="435"/>
      <c r="K19" s="435"/>
      <c r="L19" s="435"/>
      <c r="M19" s="435"/>
      <c r="N19" s="435"/>
      <c r="O19" s="436"/>
      <c r="P19" s="435"/>
    </row>
    <row r="20" spans="2:16">
      <c r="B20" s="434"/>
      <c r="C20" s="435"/>
      <c r="D20" s="435"/>
      <c r="E20" s="435"/>
      <c r="F20" s="435"/>
      <c r="G20" s="435"/>
      <c r="H20" s="435"/>
      <c r="I20" s="435"/>
      <c r="J20" s="435"/>
      <c r="K20" s="435"/>
      <c r="L20" s="435"/>
      <c r="M20" s="435"/>
      <c r="N20" s="435"/>
      <c r="O20" s="436"/>
      <c r="P20" s="435"/>
    </row>
    <row r="21" spans="2:16">
      <c r="B21" s="434"/>
      <c r="C21" s="435"/>
      <c r="D21" s="435"/>
      <c r="E21" s="435"/>
      <c r="F21" s="435"/>
      <c r="G21" s="435"/>
      <c r="H21" s="435"/>
      <c r="I21" s="435"/>
      <c r="J21" s="435"/>
      <c r="K21" s="435"/>
      <c r="L21" s="435"/>
      <c r="M21" s="435"/>
      <c r="N21" s="435"/>
      <c r="O21" s="436"/>
      <c r="P21" s="435"/>
    </row>
    <row r="22" spans="2:16">
      <c r="B22" s="434"/>
      <c r="C22" s="435"/>
      <c r="D22" s="435"/>
      <c r="E22" s="435"/>
      <c r="F22" s="435"/>
      <c r="G22" s="435"/>
      <c r="H22" s="435"/>
      <c r="I22" s="435"/>
      <c r="J22" s="435"/>
      <c r="K22" s="435"/>
      <c r="L22" s="435"/>
      <c r="M22" s="435"/>
      <c r="N22" s="435"/>
      <c r="O22" s="436"/>
      <c r="P22" s="435"/>
    </row>
    <row r="23" spans="2:16">
      <c r="B23" s="434"/>
      <c r="C23" s="435"/>
      <c r="D23" s="435"/>
      <c r="E23" s="435"/>
      <c r="F23" s="435"/>
      <c r="G23" s="435"/>
      <c r="H23" s="435"/>
      <c r="I23" s="435"/>
      <c r="J23" s="435"/>
      <c r="K23" s="435"/>
      <c r="L23" s="435"/>
      <c r="M23" s="435"/>
      <c r="N23" s="435"/>
      <c r="O23" s="436"/>
      <c r="P23" s="435"/>
    </row>
    <row r="24" spans="2:16">
      <c r="B24" s="434"/>
      <c r="C24" s="435"/>
      <c r="D24" s="435"/>
      <c r="E24" s="435"/>
      <c r="F24" s="435"/>
      <c r="G24" s="435"/>
      <c r="H24" s="435"/>
      <c r="I24" s="435"/>
      <c r="J24" s="435"/>
      <c r="K24" s="435"/>
      <c r="L24" s="435"/>
      <c r="M24" s="435"/>
      <c r="N24" s="435"/>
      <c r="O24" s="436"/>
      <c r="P24" s="435"/>
    </row>
    <row r="25" spans="2:16">
      <c r="B25" s="434"/>
      <c r="C25" s="435"/>
      <c r="D25" s="435"/>
      <c r="E25" s="435"/>
      <c r="F25" s="435"/>
      <c r="G25" s="435"/>
      <c r="H25" s="435"/>
      <c r="I25" s="435"/>
      <c r="J25" s="435"/>
      <c r="K25" s="435"/>
      <c r="L25" s="435"/>
      <c r="M25" s="435"/>
      <c r="N25" s="435"/>
      <c r="O25" s="436"/>
      <c r="P25" s="435"/>
    </row>
    <row r="26" spans="2:16">
      <c r="B26" s="434"/>
      <c r="C26" s="435"/>
      <c r="D26" s="435"/>
      <c r="E26" s="435"/>
      <c r="F26" s="435"/>
      <c r="G26" s="435"/>
      <c r="H26" s="435"/>
      <c r="I26" s="435"/>
      <c r="J26" s="435"/>
      <c r="K26" s="435"/>
      <c r="L26" s="435"/>
      <c r="M26" s="435"/>
      <c r="N26" s="435"/>
      <c r="O26" s="436"/>
      <c r="P26" s="435"/>
    </row>
    <row r="27" spans="2:16">
      <c r="B27" s="434"/>
      <c r="C27" s="435"/>
      <c r="D27" s="435"/>
      <c r="E27" s="435"/>
      <c r="F27" s="435"/>
      <c r="G27" s="435"/>
      <c r="H27" s="435"/>
      <c r="I27" s="435"/>
      <c r="J27" s="435"/>
      <c r="K27" s="435"/>
      <c r="L27" s="435"/>
      <c r="M27" s="435"/>
      <c r="N27" s="435"/>
      <c r="O27" s="436"/>
      <c r="P27" s="435"/>
    </row>
    <row r="28" spans="2:16">
      <c r="B28" s="434"/>
      <c r="C28" s="435"/>
      <c r="D28" s="435"/>
      <c r="E28" s="435"/>
      <c r="F28" s="435"/>
      <c r="G28" s="435"/>
      <c r="H28" s="435"/>
      <c r="I28" s="435"/>
      <c r="J28" s="435"/>
      <c r="K28" s="435"/>
      <c r="L28" s="435"/>
      <c r="M28" s="435"/>
      <c r="N28" s="435"/>
      <c r="O28" s="436"/>
      <c r="P28" s="435"/>
    </row>
    <row r="29" spans="2:16">
      <c r="B29" s="434"/>
      <c r="C29" s="435"/>
      <c r="D29" s="435"/>
      <c r="E29" s="435"/>
      <c r="F29" s="435"/>
      <c r="G29" s="435"/>
      <c r="H29" s="435"/>
      <c r="I29" s="435"/>
      <c r="J29" s="435"/>
      <c r="K29" s="435"/>
      <c r="L29" s="435"/>
      <c r="M29" s="435"/>
      <c r="N29" s="435"/>
      <c r="O29" s="436"/>
      <c r="P29" s="435"/>
    </row>
    <row r="30" spans="2:16">
      <c r="B30" s="434"/>
      <c r="C30" s="435"/>
      <c r="D30" s="435"/>
      <c r="E30" s="435"/>
      <c r="F30" s="435"/>
      <c r="G30" s="435"/>
      <c r="H30" s="435"/>
      <c r="I30" s="435"/>
      <c r="J30" s="435"/>
      <c r="K30" s="435"/>
      <c r="L30" s="435"/>
      <c r="M30" s="435"/>
      <c r="N30" s="435"/>
      <c r="O30" s="436"/>
      <c r="P30" s="435"/>
    </row>
    <row r="31" spans="2:16">
      <c r="B31" s="434"/>
      <c r="C31" s="435"/>
      <c r="D31" s="435"/>
      <c r="E31" s="435"/>
      <c r="F31" s="435"/>
      <c r="G31" s="435"/>
      <c r="H31" s="435"/>
      <c r="I31" s="435"/>
      <c r="J31" s="435"/>
      <c r="K31" s="435"/>
      <c r="L31" s="435"/>
      <c r="M31" s="435"/>
      <c r="N31" s="435"/>
      <c r="O31" s="436"/>
      <c r="P31" s="435"/>
    </row>
    <row r="32" spans="2:16">
      <c r="B32" s="434"/>
      <c r="C32" s="435"/>
      <c r="D32" s="435"/>
      <c r="E32" s="435"/>
      <c r="F32" s="435"/>
      <c r="G32" s="435"/>
      <c r="H32" s="435"/>
      <c r="I32" s="435"/>
      <c r="J32" s="435"/>
      <c r="K32" s="435"/>
      <c r="L32" s="435"/>
      <c r="M32" s="435"/>
      <c r="N32" s="435"/>
      <c r="O32" s="436"/>
      <c r="P32" s="435"/>
    </row>
    <row r="33" spans="2:18">
      <c r="B33" s="434"/>
      <c r="C33" s="435"/>
      <c r="D33" s="435"/>
      <c r="E33" s="435"/>
      <c r="F33" s="435"/>
      <c r="G33" s="435"/>
      <c r="H33" s="435"/>
      <c r="I33" s="435"/>
      <c r="J33" s="435"/>
      <c r="K33" s="435"/>
      <c r="L33" s="435"/>
      <c r="M33" s="435"/>
      <c r="N33" s="435"/>
      <c r="O33" s="436"/>
      <c r="P33" s="435"/>
    </row>
    <row r="35" spans="2:18">
      <c r="B35" s="437"/>
      <c r="C35" s="431"/>
      <c r="D35" s="431"/>
      <c r="E35" s="431"/>
      <c r="F35" s="431"/>
      <c r="G35" s="431"/>
      <c r="H35" s="431"/>
      <c r="I35" s="431"/>
      <c r="J35" s="431"/>
      <c r="K35" s="431"/>
      <c r="L35" s="431"/>
      <c r="M35" s="431"/>
      <c r="N35" s="431"/>
      <c r="O35" s="431"/>
      <c r="P35" s="438"/>
      <c r="Q35" s="439"/>
      <c r="R35" s="439"/>
    </row>
  </sheetData>
  <phoneticPr fontId="69" type="noConversion"/>
  <dataValidations count="1">
    <dataValidation type="list" allowBlank="1" showInputMessage="1" showErrorMessage="1" sqref="B36">
      <formula1>$B$4:$B$33</formula1>
    </dataValidation>
  </dataValidations>
  <pageMargins left="0.7" right="0.7" top="0.75" bottom="0.75" header="0.3" footer="0.3"/>
  <pageSetup paperSize="9"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D81"/>
  <sheetViews>
    <sheetView topLeftCell="B25" zoomScaleNormal="100" workbookViewId="0">
      <selection activeCell="O36" sqref="O36"/>
    </sheetView>
  </sheetViews>
  <sheetFormatPr defaultColWidth="7.875" defaultRowHeight="12.75"/>
  <cols>
    <col min="1" max="1" width="23.75" style="1" customWidth="1"/>
    <col min="2" max="2" width="22.75" style="1" customWidth="1"/>
    <col min="3" max="3" width="14" style="1" customWidth="1"/>
    <col min="4" max="4" width="10.625" style="1" customWidth="1"/>
    <col min="5" max="5" width="11.25" style="3" customWidth="1"/>
    <col min="6" max="6" width="9.625" style="1" customWidth="1"/>
    <col min="7" max="7" width="10.625" style="1" customWidth="1"/>
    <col min="8" max="8" width="12.125" style="1" customWidth="1"/>
    <col min="9" max="9" width="10.625" style="1" customWidth="1"/>
    <col min="10" max="11" width="12.125" style="1" customWidth="1"/>
    <col min="12" max="12" width="9.625" style="1" customWidth="1"/>
    <col min="13" max="13" width="10.625" style="1" customWidth="1"/>
    <col min="14" max="16" width="9.625" style="1" customWidth="1"/>
    <col min="17" max="20" width="7.875" style="1"/>
    <col min="21" max="21" width="20.125" style="1" customWidth="1"/>
    <col min="22" max="29" width="7.875" style="3"/>
    <col min="30" max="16384" width="7.875" style="1"/>
  </cols>
  <sheetData>
    <row r="1" spans="1:18" ht="23.25">
      <c r="B1" s="2" t="s">
        <v>43</v>
      </c>
      <c r="G1" s="184" t="str">
        <f>N25</f>
        <v>New Building</v>
      </c>
    </row>
    <row r="2" spans="1:18" ht="18.75">
      <c r="B2" s="4" t="s">
        <v>1037</v>
      </c>
      <c r="C2" s="5" t="e">
        <f>IF(#REF!=0,"",#REF!)</f>
        <v>#REF!</v>
      </c>
    </row>
    <row r="3" spans="1:18" ht="15">
      <c r="B3" s="6"/>
    </row>
    <row r="4" spans="1:18" ht="20.25">
      <c r="B4" s="183"/>
      <c r="C4" s="7"/>
      <c r="D4" s="8"/>
      <c r="E4" s="9"/>
      <c r="F4" s="8"/>
      <c r="G4" s="8"/>
      <c r="H4" s="8"/>
      <c r="I4" s="8"/>
      <c r="J4" s="8"/>
      <c r="K4" s="8"/>
      <c r="L4" s="8"/>
      <c r="M4" s="8"/>
      <c r="N4" s="8"/>
      <c r="O4" s="8"/>
      <c r="P4" s="8"/>
    </row>
    <row r="6" spans="1:18" s="10" customFormat="1" ht="25.5">
      <c r="A6" s="199" t="s">
        <v>411</v>
      </c>
      <c r="B6" s="203"/>
      <c r="C6" s="185"/>
      <c r="D6" s="185"/>
      <c r="E6" s="185"/>
      <c r="F6" s="185"/>
      <c r="G6" s="185"/>
      <c r="H6" s="185"/>
      <c r="I6" s="185"/>
      <c r="J6" s="186"/>
      <c r="K6" s="1"/>
      <c r="L6" s="1"/>
      <c r="M6" s="1"/>
      <c r="N6" s="1"/>
      <c r="O6" s="1"/>
      <c r="P6" s="1"/>
      <c r="Q6" s="1"/>
      <c r="R6" s="3"/>
    </row>
    <row r="7" spans="1:18" ht="16.5" thickBot="1">
      <c r="A7" s="200"/>
      <c r="B7" s="204"/>
      <c r="C7" s="187" t="s">
        <v>623</v>
      </c>
      <c r="D7" s="188"/>
      <c r="E7" s="188"/>
      <c r="F7" s="188"/>
      <c r="G7" s="188"/>
      <c r="H7" s="188"/>
      <c r="I7" s="188"/>
      <c r="J7" s="188"/>
      <c r="K7" s="226"/>
      <c r="L7" s="10"/>
      <c r="M7" s="10"/>
      <c r="N7" s="10"/>
      <c r="O7" s="10"/>
      <c r="P7" s="10"/>
      <c r="Q7" s="10"/>
      <c r="R7" s="10"/>
    </row>
    <row r="8" spans="1:18" ht="31.5" thickTop="1" thickBot="1">
      <c r="A8" s="201"/>
      <c r="B8" s="101" t="s">
        <v>408</v>
      </c>
      <c r="C8" s="189" t="s">
        <v>220</v>
      </c>
      <c r="D8" s="190" t="s">
        <v>221</v>
      </c>
      <c r="E8" s="190" t="s">
        <v>222</v>
      </c>
      <c r="F8" s="190" t="s">
        <v>224</v>
      </c>
      <c r="G8" s="190" t="s">
        <v>223</v>
      </c>
      <c r="H8" s="190" t="s">
        <v>225</v>
      </c>
      <c r="I8" s="190" t="s">
        <v>226</v>
      </c>
      <c r="J8" s="190" t="s">
        <v>227</v>
      </c>
      <c r="K8" s="191" t="s">
        <v>302</v>
      </c>
      <c r="L8" s="12" t="s">
        <v>30</v>
      </c>
      <c r="M8" s="10"/>
      <c r="N8" s="10"/>
      <c r="R8" s="3"/>
    </row>
    <row r="9" spans="1:18" ht="13.5" thickTop="1">
      <c r="A9" s="207" t="s">
        <v>314</v>
      </c>
      <c r="B9" s="181">
        <v>0.09</v>
      </c>
      <c r="C9" s="221">
        <v>0.09</v>
      </c>
      <c r="D9" s="221">
        <v>0.09</v>
      </c>
      <c r="E9" s="221">
        <v>0.09</v>
      </c>
      <c r="F9" s="221">
        <v>0.09</v>
      </c>
      <c r="G9" s="221">
        <v>0.09</v>
      </c>
      <c r="H9" s="221">
        <v>0.09</v>
      </c>
      <c r="I9" s="221">
        <v>0.09</v>
      </c>
      <c r="J9" s="221">
        <v>0.09</v>
      </c>
      <c r="K9" s="221">
        <v>0.09</v>
      </c>
      <c r="L9" s="205">
        <v>1</v>
      </c>
      <c r="M9" s="206" t="s">
        <v>220</v>
      </c>
      <c r="N9" s="19"/>
      <c r="R9" s="3"/>
    </row>
    <row r="10" spans="1:18">
      <c r="A10" s="207" t="s">
        <v>315</v>
      </c>
      <c r="B10" s="209">
        <v>0.15</v>
      </c>
      <c r="C10" s="222">
        <v>0.15</v>
      </c>
      <c r="D10" s="222">
        <v>0.15</v>
      </c>
      <c r="E10" s="222">
        <v>0.15</v>
      </c>
      <c r="F10" s="222">
        <v>0.15</v>
      </c>
      <c r="G10" s="222">
        <v>0.15</v>
      </c>
      <c r="H10" s="222">
        <v>0.15</v>
      </c>
      <c r="I10" s="222">
        <v>0.15</v>
      </c>
      <c r="J10" s="222">
        <v>0.15</v>
      </c>
      <c r="K10" s="222">
        <v>0.15</v>
      </c>
      <c r="L10" s="205">
        <v>2</v>
      </c>
      <c r="M10" s="206" t="s">
        <v>221</v>
      </c>
      <c r="N10" s="19"/>
      <c r="R10" s="3"/>
    </row>
    <row r="11" spans="1:18">
      <c r="A11" s="207" t="s">
        <v>316</v>
      </c>
      <c r="B11" s="181">
        <v>0.25</v>
      </c>
      <c r="C11" s="221">
        <v>0.25</v>
      </c>
      <c r="D11" s="221">
        <v>0.25</v>
      </c>
      <c r="E11" s="221">
        <v>0.25</v>
      </c>
      <c r="F11" s="221">
        <v>0.25</v>
      </c>
      <c r="G11" s="221">
        <v>0.25</v>
      </c>
      <c r="H11" s="221">
        <v>0.25</v>
      </c>
      <c r="I11" s="221">
        <v>0.25</v>
      </c>
      <c r="J11" s="221">
        <v>0.25</v>
      </c>
      <c r="K11" s="221">
        <v>0.25</v>
      </c>
      <c r="L11" s="205">
        <v>3</v>
      </c>
      <c r="M11" s="206" t="s">
        <v>222</v>
      </c>
      <c r="N11" s="19"/>
      <c r="R11" s="3"/>
    </row>
    <row r="12" spans="1:18">
      <c r="A12" s="202" t="s">
        <v>1038</v>
      </c>
      <c r="B12" s="209">
        <v>0.09</v>
      </c>
      <c r="C12" s="222">
        <v>0.09</v>
      </c>
      <c r="D12" s="222">
        <v>0.09</v>
      </c>
      <c r="E12" s="222">
        <v>0.09</v>
      </c>
      <c r="F12" s="222">
        <v>0.09</v>
      </c>
      <c r="G12" s="222">
        <v>0.09</v>
      </c>
      <c r="H12" s="222">
        <v>0.09</v>
      </c>
      <c r="I12" s="222">
        <v>0.09</v>
      </c>
      <c r="J12" s="222">
        <v>0.09</v>
      </c>
      <c r="K12" s="222">
        <v>0.09</v>
      </c>
      <c r="L12" s="205">
        <v>4</v>
      </c>
      <c r="M12" s="206" t="s">
        <v>224</v>
      </c>
      <c r="N12" s="19"/>
      <c r="R12" s="3"/>
    </row>
    <row r="13" spans="1:18">
      <c r="A13" s="208" t="s">
        <v>317</v>
      </c>
      <c r="B13" s="181">
        <v>0.14000000000000001</v>
      </c>
      <c r="C13" s="221">
        <v>0.14000000000000001</v>
      </c>
      <c r="D13" s="221">
        <v>0.14000000000000001</v>
      </c>
      <c r="E13" s="221">
        <v>0.14000000000000001</v>
      </c>
      <c r="F13" s="221">
        <v>0.14000000000000001</v>
      </c>
      <c r="G13" s="221">
        <v>0.14000000000000001</v>
      </c>
      <c r="H13" s="221">
        <v>0.14000000000000001</v>
      </c>
      <c r="I13" s="221">
        <v>0.14000000000000001</v>
      </c>
      <c r="J13" s="221">
        <v>0.14000000000000001</v>
      </c>
      <c r="K13" s="221">
        <v>0.14000000000000001</v>
      </c>
      <c r="L13" s="205">
        <v>5</v>
      </c>
      <c r="M13" s="206" t="s">
        <v>223</v>
      </c>
      <c r="N13" s="19"/>
      <c r="R13" s="3"/>
    </row>
    <row r="14" spans="1:18">
      <c r="A14" s="208" t="s">
        <v>318</v>
      </c>
      <c r="B14" s="209">
        <v>0.13</v>
      </c>
      <c r="C14" s="222">
        <v>0.13</v>
      </c>
      <c r="D14" s="222">
        <v>0.13</v>
      </c>
      <c r="E14" s="222">
        <v>0.13</v>
      </c>
      <c r="F14" s="222">
        <v>0.13</v>
      </c>
      <c r="G14" s="222">
        <v>0.13</v>
      </c>
      <c r="H14" s="222">
        <v>0.13</v>
      </c>
      <c r="I14" s="222">
        <v>0.13</v>
      </c>
      <c r="J14" s="222">
        <v>0.13</v>
      </c>
      <c r="K14" s="222">
        <v>0.13</v>
      </c>
      <c r="L14" s="205">
        <v>6</v>
      </c>
      <c r="M14" s="206" t="s">
        <v>225</v>
      </c>
      <c r="N14" s="19"/>
      <c r="R14" s="3"/>
    </row>
    <row r="15" spans="1:18" s="20" customFormat="1">
      <c r="A15" s="202" t="s">
        <v>31</v>
      </c>
      <c r="B15" s="209">
        <v>7.0000000000000007E-2</v>
      </c>
      <c r="C15" s="222">
        <v>7.0000000000000007E-2</v>
      </c>
      <c r="D15" s="222">
        <v>7.0000000000000007E-2</v>
      </c>
      <c r="E15" s="222">
        <v>7.0000000000000007E-2</v>
      </c>
      <c r="F15" s="222">
        <v>7.0000000000000007E-2</v>
      </c>
      <c r="G15" s="222">
        <v>7.0000000000000007E-2</v>
      </c>
      <c r="H15" s="222">
        <v>7.0000000000000007E-2</v>
      </c>
      <c r="I15" s="222">
        <v>7.0000000000000007E-2</v>
      </c>
      <c r="J15" s="222">
        <v>7.0000000000000007E-2</v>
      </c>
      <c r="K15" s="222">
        <v>7.0000000000000007E-2</v>
      </c>
      <c r="L15" s="205">
        <v>7</v>
      </c>
      <c r="M15" s="206" t="s">
        <v>226</v>
      </c>
      <c r="N15" s="19"/>
      <c r="O15" s="1"/>
      <c r="P15" s="1"/>
      <c r="Q15" s="1"/>
      <c r="R15" s="3"/>
    </row>
    <row r="16" spans="1:18" s="20" customFormat="1" ht="13.5" thickBot="1">
      <c r="A16" s="208" t="s">
        <v>253</v>
      </c>
      <c r="B16" s="182">
        <v>0.08</v>
      </c>
      <c r="C16" s="223">
        <v>0.08</v>
      </c>
      <c r="D16" s="223">
        <v>0.08</v>
      </c>
      <c r="E16" s="223">
        <v>0.08</v>
      </c>
      <c r="F16" s="223">
        <v>0.08</v>
      </c>
      <c r="G16" s="223">
        <v>0.08</v>
      </c>
      <c r="H16" s="223">
        <v>0.08</v>
      </c>
      <c r="I16" s="223">
        <v>0.08</v>
      </c>
      <c r="J16" s="223">
        <v>0.08</v>
      </c>
      <c r="K16" s="223">
        <v>0.08</v>
      </c>
      <c r="L16" s="205">
        <v>8</v>
      </c>
      <c r="M16" s="206" t="s">
        <v>227</v>
      </c>
      <c r="N16" s="19"/>
    </row>
    <row r="17" spans="1:19" s="20" customFormat="1" ht="13.5" thickTop="1">
      <c r="A17" s="192"/>
      <c r="B17" s="193"/>
      <c r="C17" s="194"/>
      <c r="D17" s="214"/>
      <c r="E17" s="194"/>
      <c r="F17" s="194"/>
      <c r="G17" s="194"/>
      <c r="H17" s="194"/>
      <c r="I17" s="194"/>
      <c r="J17" s="224"/>
      <c r="K17" s="225"/>
      <c r="L17" s="205">
        <v>9</v>
      </c>
      <c r="M17" s="206" t="s">
        <v>302</v>
      </c>
    </row>
    <row r="18" spans="1:19" ht="25.5">
      <c r="A18" s="195"/>
      <c r="B18" s="196">
        <f>SUM(B9:B16)</f>
        <v>0.99999999999999989</v>
      </c>
      <c r="C18" s="197">
        <f t="shared" ref="C18:J18" si="0">SUM(C9:C16)</f>
        <v>0.99999999999999989</v>
      </c>
      <c r="D18" s="197">
        <f t="shared" si="0"/>
        <v>0.99999999999999989</v>
      </c>
      <c r="E18" s="197">
        <f t="shared" si="0"/>
        <v>0.99999999999999989</v>
      </c>
      <c r="F18" s="197">
        <f t="shared" si="0"/>
        <v>0.99999999999999989</v>
      </c>
      <c r="G18" s="197">
        <f t="shared" si="0"/>
        <v>0.99999999999999989</v>
      </c>
      <c r="H18" s="197">
        <f t="shared" si="0"/>
        <v>0.99999999999999989</v>
      </c>
      <c r="I18" s="197">
        <f t="shared" si="0"/>
        <v>0.99999999999999989</v>
      </c>
      <c r="J18" s="197">
        <f t="shared" si="0"/>
        <v>0.99999999999999989</v>
      </c>
      <c r="K18" s="198">
        <f>SUM(K9:K16)</f>
        <v>0.99999999999999989</v>
      </c>
      <c r="L18" s="220" t="s">
        <v>33</v>
      </c>
      <c r="M18" s="70">
        <v>1</v>
      </c>
      <c r="N18" s="20" t="str">
        <f>VLOOKUP(M18,L9:M17,2)</f>
        <v>Gauteng</v>
      </c>
      <c r="O18" s="20"/>
      <c r="P18" s="20"/>
      <c r="Q18" s="20"/>
      <c r="R18" s="20"/>
    </row>
    <row r="19" spans="1:19">
      <c r="A19" s="20"/>
      <c r="B19" s="22"/>
      <c r="C19" s="22"/>
      <c r="D19" s="22"/>
      <c r="E19" s="22"/>
      <c r="F19" s="22"/>
      <c r="G19" s="22"/>
      <c r="H19" s="22"/>
      <c r="I19" s="22"/>
      <c r="J19" s="20"/>
      <c r="K19" s="20"/>
      <c r="L19" s="20"/>
      <c r="M19" s="20"/>
      <c r="N19" s="20"/>
      <c r="R19" s="3"/>
    </row>
    <row r="20" spans="1:19">
      <c r="A20" s="215"/>
      <c r="F20" s="3"/>
      <c r="G20" s="3"/>
      <c r="H20" s="3"/>
      <c r="I20" s="3"/>
      <c r="O20" s="72" t="s">
        <v>392</v>
      </c>
      <c r="P20" s="3"/>
      <c r="Q20" s="3"/>
      <c r="R20" s="3"/>
    </row>
    <row r="21" spans="1:19" ht="15.75">
      <c r="A21" s="3"/>
      <c r="F21" s="3"/>
      <c r="G21" s="3"/>
      <c r="H21" s="3"/>
      <c r="I21" s="3"/>
      <c r="L21" s="28" t="s">
        <v>36</v>
      </c>
      <c r="O21" s="72" t="s">
        <v>308</v>
      </c>
      <c r="P21" s="73"/>
      <c r="Q21" s="73"/>
      <c r="R21" s="73"/>
      <c r="S21" s="213"/>
    </row>
    <row r="22" spans="1:19">
      <c r="B22" s="3"/>
      <c r="C22" s="3"/>
      <c r="D22" s="3"/>
      <c r="F22" s="3"/>
      <c r="G22" s="3"/>
      <c r="H22" s="3"/>
      <c r="I22" s="3"/>
      <c r="L22" s="3">
        <v>1</v>
      </c>
      <c r="M22" s="1" t="s">
        <v>39</v>
      </c>
      <c r="R22" s="3"/>
    </row>
    <row r="23" spans="1:19">
      <c r="B23" s="3"/>
      <c r="C23" s="3"/>
      <c r="D23" s="3"/>
      <c r="F23" s="3"/>
      <c r="G23" s="3"/>
      <c r="H23" s="3"/>
      <c r="I23" s="3"/>
      <c r="L23" s="3">
        <v>2</v>
      </c>
      <c r="M23" s="1" t="s">
        <v>41</v>
      </c>
      <c r="R23" s="3"/>
    </row>
    <row r="24" spans="1:19">
      <c r="B24" s="3"/>
      <c r="C24" s="3"/>
      <c r="D24" s="3"/>
      <c r="F24" s="3"/>
      <c r="G24" s="3"/>
      <c r="H24" s="3"/>
      <c r="I24" s="3"/>
      <c r="R24" s="3"/>
    </row>
    <row r="25" spans="1:19">
      <c r="B25" s="3"/>
      <c r="C25" s="3"/>
      <c r="D25" s="3"/>
      <c r="F25" s="3"/>
      <c r="G25" s="3"/>
      <c r="H25" s="3"/>
      <c r="I25" s="3"/>
      <c r="L25" s="45" t="s">
        <v>204</v>
      </c>
      <c r="M25" s="71">
        <v>1</v>
      </c>
      <c r="N25" s="1" t="str">
        <f>VLOOKUP(M25,L22:M23,2)</f>
        <v>New Building</v>
      </c>
      <c r="R25" s="3"/>
    </row>
    <row r="26" spans="1:19" ht="16.5" thickBot="1">
      <c r="B26" s="28" t="s">
        <v>617</v>
      </c>
      <c r="E26" s="1"/>
      <c r="F26" s="3"/>
      <c r="G26" s="3"/>
      <c r="H26" s="3"/>
      <c r="I26" s="3"/>
      <c r="J26" s="3"/>
      <c r="K26" s="3"/>
      <c r="L26" s="3"/>
      <c r="M26" s="3"/>
    </row>
    <row r="27" spans="1:19" ht="15.75">
      <c r="B27" s="85"/>
      <c r="E27" s="1"/>
      <c r="F27" s="3"/>
      <c r="G27" s="3"/>
      <c r="H27" s="3"/>
      <c r="I27" s="3"/>
      <c r="J27" s="3"/>
      <c r="K27" s="3"/>
      <c r="L27" s="2750" t="s">
        <v>323</v>
      </c>
      <c r="M27" s="2750"/>
      <c r="R27" s="1">
        <v>1</v>
      </c>
    </row>
    <row r="28" spans="1:19">
      <c r="B28" s="86"/>
      <c r="E28" s="1"/>
      <c r="F28" s="3"/>
      <c r="G28" s="3"/>
      <c r="H28" s="3"/>
      <c r="I28" s="3"/>
      <c r="J28" s="3"/>
      <c r="K28" s="3"/>
      <c r="L28" s="3">
        <v>1</v>
      </c>
      <c r="M28" s="217"/>
      <c r="N28" s="217" t="s">
        <v>44</v>
      </c>
    </row>
    <row r="29" spans="1:19" ht="13.5" thickBot="1">
      <c r="B29" s="87"/>
      <c r="E29" s="1"/>
      <c r="F29" s="3"/>
      <c r="G29" s="3"/>
      <c r="H29" s="3"/>
      <c r="I29" s="3"/>
      <c r="J29" s="3"/>
      <c r="K29" s="3"/>
      <c r="L29" s="3">
        <v>2</v>
      </c>
      <c r="M29" s="216" t="s">
        <v>44</v>
      </c>
      <c r="N29" s="217" t="s">
        <v>44</v>
      </c>
    </row>
    <row r="30" spans="1:19">
      <c r="B30" s="84" t="s">
        <v>588</v>
      </c>
      <c r="C30" s="81" t="s">
        <v>320</v>
      </c>
      <c r="D30" s="77"/>
      <c r="E30" s="77"/>
      <c r="F30" s="78"/>
      <c r="G30" s="3"/>
      <c r="H30" s="3"/>
      <c r="I30" s="3"/>
      <c r="J30" s="3"/>
      <c r="K30" s="3"/>
      <c r="L30" s="3">
        <v>3</v>
      </c>
      <c r="M30" s="216" t="s">
        <v>45</v>
      </c>
      <c r="N30" s="217" t="s">
        <v>45</v>
      </c>
    </row>
    <row r="31" spans="1:19">
      <c r="C31" s="82" t="s">
        <v>1172</v>
      </c>
      <c r="D31" s="79"/>
      <c r="E31" s="79"/>
      <c r="F31" s="80"/>
      <c r="G31" s="3"/>
      <c r="H31" s="3"/>
      <c r="I31" s="3"/>
      <c r="J31" s="3"/>
      <c r="K31" s="2751" t="s">
        <v>254</v>
      </c>
      <c r="L31" s="2751"/>
      <c r="M31" s="219">
        <v>1</v>
      </c>
      <c r="N31" s="218" t="str">
        <f>VLOOKUP(M31,L28:N30,3,)</f>
        <v>Green Star SA - Office Design v1</v>
      </c>
    </row>
    <row r="32" spans="1:19" ht="26.25" thickBot="1">
      <c r="A32" s="210" t="s">
        <v>412</v>
      </c>
      <c r="E32" s="1"/>
      <c r="G32" s="3"/>
      <c r="H32" s="3"/>
      <c r="I32" s="3"/>
      <c r="J32" s="3"/>
      <c r="K32" s="3"/>
      <c r="L32" s="3"/>
      <c r="M32" s="3"/>
      <c r="N32" s="3"/>
    </row>
    <row r="33" spans="1:30" ht="48" thickBot="1">
      <c r="B33" s="133" t="s">
        <v>843</v>
      </c>
      <c r="C33" s="134" t="s">
        <v>844</v>
      </c>
      <c r="D33" s="135" t="s">
        <v>845</v>
      </c>
      <c r="E33" s="136" t="s">
        <v>495</v>
      </c>
      <c r="F33" s="137" t="s">
        <v>119</v>
      </c>
      <c r="G33" s="138" t="s">
        <v>422</v>
      </c>
      <c r="H33" s="139" t="s">
        <v>1179</v>
      </c>
      <c r="I33" s="140" t="s">
        <v>1180</v>
      </c>
      <c r="J33" s="141" t="s">
        <v>1181</v>
      </c>
      <c r="K33" s="142" t="s">
        <v>25</v>
      </c>
      <c r="L33" s="134" t="s">
        <v>26</v>
      </c>
      <c r="M33" s="135" t="s">
        <v>27</v>
      </c>
      <c r="N33" s="136" t="s">
        <v>28</v>
      </c>
      <c r="O33" s="143" t="s">
        <v>29</v>
      </c>
      <c r="P33" s="11"/>
    </row>
    <row r="34" spans="1:30">
      <c r="B34" s="144" t="s">
        <v>314</v>
      </c>
      <c r="C34" s="103">
        <f t="shared" ref="C34:C41" si="1">VLOOKUP(B34,A9:K9,$M$18+2)</f>
        <v>0.09</v>
      </c>
      <c r="D34" s="104">
        <f t="shared" ref="D34:D41" si="2">C34*100</f>
        <v>9</v>
      </c>
      <c r="E34" s="105">
        <f>Management!E22</f>
        <v>17</v>
      </c>
      <c r="F34" s="112">
        <f>Management!F22</f>
        <v>0</v>
      </c>
      <c r="G34" s="113">
        <f t="shared" ref="G34:G41" si="3">F34/E34</f>
        <v>0</v>
      </c>
      <c r="H34" s="114">
        <f t="shared" ref="H34:H41" si="4">C34*G34*100</f>
        <v>0</v>
      </c>
      <c r="I34" s="145">
        <f>Management!G22</f>
        <v>0</v>
      </c>
      <c r="J34" s="146">
        <f t="shared" ref="J34:J41" si="5">I34/E34</f>
        <v>0</v>
      </c>
      <c r="K34" s="147">
        <f t="shared" ref="K34:K41" si="6">C34*J34*100</f>
        <v>0</v>
      </c>
      <c r="L34" s="148">
        <f t="shared" ref="L34:L41" si="7">F34+I34</f>
        <v>0</v>
      </c>
      <c r="M34" s="149">
        <f t="shared" ref="M34:M41" si="8">L34/E34</f>
        <v>0</v>
      </c>
      <c r="N34" s="150">
        <f t="shared" ref="N34:N41" si="9">C34*M34*100</f>
        <v>0</v>
      </c>
      <c r="O34" s="151" t="e">
        <f>#REF!</f>
        <v>#REF!</v>
      </c>
      <c r="P34" s="18"/>
    </row>
    <row r="35" spans="1:30" ht="25.5">
      <c r="B35" s="152" t="s">
        <v>315</v>
      </c>
      <c r="C35" s="106">
        <f t="shared" si="1"/>
        <v>0.15</v>
      </c>
      <c r="D35" s="13">
        <f t="shared" si="2"/>
        <v>15</v>
      </c>
      <c r="E35" s="107">
        <f>IEQ!E32</f>
        <v>23</v>
      </c>
      <c r="F35" s="115">
        <f>IEQ!F32</f>
        <v>0</v>
      </c>
      <c r="G35" s="14">
        <f t="shared" si="3"/>
        <v>0</v>
      </c>
      <c r="H35" s="116">
        <f t="shared" si="4"/>
        <v>0</v>
      </c>
      <c r="I35" s="126">
        <f>IEQ!G32</f>
        <v>0</v>
      </c>
      <c r="J35" s="15">
        <f t="shared" si="5"/>
        <v>0</v>
      </c>
      <c r="K35" s="127">
        <f t="shared" si="6"/>
        <v>0</v>
      </c>
      <c r="L35" s="131">
        <f t="shared" si="7"/>
        <v>0</v>
      </c>
      <c r="M35" s="16">
        <f t="shared" si="8"/>
        <v>0</v>
      </c>
      <c r="N35" s="132">
        <f t="shared" si="9"/>
        <v>0</v>
      </c>
      <c r="O35" s="17">
        <f>IEQ!I32</f>
        <v>0</v>
      </c>
      <c r="P35" s="18"/>
    </row>
    <row r="36" spans="1:30">
      <c r="B36" s="152" t="s">
        <v>316</v>
      </c>
      <c r="C36" s="106">
        <f t="shared" si="1"/>
        <v>0.25</v>
      </c>
      <c r="D36" s="13">
        <f t="shared" si="2"/>
        <v>25</v>
      </c>
      <c r="E36" s="107">
        <f>Energy!E20</f>
        <v>30</v>
      </c>
      <c r="F36" s="115">
        <f>Energy!F20</f>
        <v>0</v>
      </c>
      <c r="G36" s="14">
        <f t="shared" si="3"/>
        <v>0</v>
      </c>
      <c r="H36" s="116">
        <f t="shared" si="4"/>
        <v>0</v>
      </c>
      <c r="I36" s="126">
        <f>Energy!G20</f>
        <v>0</v>
      </c>
      <c r="J36" s="15">
        <f t="shared" si="5"/>
        <v>0</v>
      </c>
      <c r="K36" s="127">
        <f t="shared" si="6"/>
        <v>0</v>
      </c>
      <c r="L36" s="131">
        <f t="shared" si="7"/>
        <v>0</v>
      </c>
      <c r="M36" s="16">
        <f t="shared" si="8"/>
        <v>0</v>
      </c>
      <c r="N36" s="132">
        <f t="shared" si="9"/>
        <v>0</v>
      </c>
      <c r="O36" s="17">
        <f>Energy!I20</f>
        <v>0</v>
      </c>
      <c r="P36" s="18"/>
    </row>
    <row r="37" spans="1:30">
      <c r="B37" s="153" t="s">
        <v>1038</v>
      </c>
      <c r="C37" s="106">
        <f t="shared" si="1"/>
        <v>0.09</v>
      </c>
      <c r="D37" s="13">
        <f t="shared" si="2"/>
        <v>9</v>
      </c>
      <c r="E37" s="107">
        <f>Transport!E16</f>
        <v>18</v>
      </c>
      <c r="F37" s="115">
        <f>Transport!F16</f>
        <v>0</v>
      </c>
      <c r="G37" s="14">
        <f t="shared" si="3"/>
        <v>0</v>
      </c>
      <c r="H37" s="116">
        <f t="shared" si="4"/>
        <v>0</v>
      </c>
      <c r="I37" s="126">
        <f>Transport!G16</f>
        <v>0</v>
      </c>
      <c r="J37" s="15">
        <f t="shared" si="5"/>
        <v>0</v>
      </c>
      <c r="K37" s="127">
        <f t="shared" si="6"/>
        <v>0</v>
      </c>
      <c r="L37" s="131">
        <f t="shared" si="7"/>
        <v>0</v>
      </c>
      <c r="M37" s="16">
        <f t="shared" si="8"/>
        <v>0</v>
      </c>
      <c r="N37" s="132">
        <f t="shared" si="9"/>
        <v>0</v>
      </c>
      <c r="O37" s="17" t="e">
        <f>#REF!</f>
        <v>#REF!</v>
      </c>
      <c r="P37" s="18"/>
    </row>
    <row r="38" spans="1:30">
      <c r="B38" s="153" t="s">
        <v>317</v>
      </c>
      <c r="C38" s="106">
        <f t="shared" si="1"/>
        <v>0.14000000000000001</v>
      </c>
      <c r="D38" s="13">
        <f t="shared" si="2"/>
        <v>14.000000000000002</v>
      </c>
      <c r="E38" s="107">
        <f>Water!E16</f>
        <v>15</v>
      </c>
      <c r="F38" s="115">
        <f>Water!F16</f>
        <v>0</v>
      </c>
      <c r="G38" s="14">
        <f t="shared" si="3"/>
        <v>0</v>
      </c>
      <c r="H38" s="116">
        <f t="shared" si="4"/>
        <v>0</v>
      </c>
      <c r="I38" s="126">
        <f>Water!G16</f>
        <v>0</v>
      </c>
      <c r="J38" s="15">
        <f t="shared" si="5"/>
        <v>0</v>
      </c>
      <c r="K38" s="127">
        <f t="shared" si="6"/>
        <v>0</v>
      </c>
      <c r="L38" s="131">
        <f t="shared" si="7"/>
        <v>0</v>
      </c>
      <c r="M38" s="16">
        <f t="shared" si="8"/>
        <v>0</v>
      </c>
      <c r="N38" s="132">
        <f t="shared" si="9"/>
        <v>0</v>
      </c>
      <c r="O38" s="17">
        <f>Water!I16</f>
        <v>0</v>
      </c>
      <c r="P38" s="18"/>
    </row>
    <row r="39" spans="1:30">
      <c r="B39" s="153" t="s">
        <v>318</v>
      </c>
      <c r="C39" s="106">
        <f t="shared" si="1"/>
        <v>0.13</v>
      </c>
      <c r="D39" s="13">
        <f t="shared" si="2"/>
        <v>13</v>
      </c>
      <c r="E39" s="107">
        <f>Materials!E26</f>
        <v>24</v>
      </c>
      <c r="F39" s="115">
        <f>Materials!F26</f>
        <v>0</v>
      </c>
      <c r="G39" s="14">
        <f t="shared" si="3"/>
        <v>0</v>
      </c>
      <c r="H39" s="116">
        <f t="shared" si="4"/>
        <v>0</v>
      </c>
      <c r="I39" s="126">
        <f>Materials!G26</f>
        <v>0</v>
      </c>
      <c r="J39" s="15">
        <f t="shared" si="5"/>
        <v>0</v>
      </c>
      <c r="K39" s="127">
        <f t="shared" si="6"/>
        <v>0</v>
      </c>
      <c r="L39" s="131">
        <f t="shared" si="7"/>
        <v>0</v>
      </c>
      <c r="M39" s="16">
        <f t="shared" si="8"/>
        <v>0</v>
      </c>
      <c r="N39" s="132">
        <f t="shared" si="9"/>
        <v>0</v>
      </c>
      <c r="O39" s="17" t="e">
        <f>#REF!</f>
        <v>#REF!</v>
      </c>
      <c r="P39" s="18"/>
    </row>
    <row r="40" spans="1:30">
      <c r="B40" s="153" t="s">
        <v>31</v>
      </c>
      <c r="C40" s="106">
        <f t="shared" si="1"/>
        <v>7.0000000000000007E-2</v>
      </c>
      <c r="D40" s="13">
        <f t="shared" si="2"/>
        <v>7.0000000000000009</v>
      </c>
      <c r="E40" s="108">
        <f>'Land Use &amp; Ecology'!E17</f>
        <v>12</v>
      </c>
      <c r="F40" s="117">
        <f>'Land Use &amp; Ecology'!F17</f>
        <v>0</v>
      </c>
      <c r="G40" s="14">
        <f t="shared" si="3"/>
        <v>0</v>
      </c>
      <c r="H40" s="116">
        <f t="shared" si="4"/>
        <v>0</v>
      </c>
      <c r="I40" s="128">
        <f>'Land Use &amp; Ecology'!G17</f>
        <v>0</v>
      </c>
      <c r="J40" s="15">
        <f t="shared" si="5"/>
        <v>0</v>
      </c>
      <c r="K40" s="127">
        <f t="shared" si="6"/>
        <v>0</v>
      </c>
      <c r="L40" s="131">
        <f t="shared" si="7"/>
        <v>0</v>
      </c>
      <c r="M40" s="16">
        <f t="shared" si="8"/>
        <v>0</v>
      </c>
      <c r="N40" s="132">
        <f t="shared" si="9"/>
        <v>0</v>
      </c>
      <c r="O40" s="17">
        <f>'Land Use &amp; Ecology'!I17</f>
        <v>0</v>
      </c>
      <c r="P40" s="18"/>
    </row>
    <row r="41" spans="1:30" ht="13.5" thickBot="1">
      <c r="B41" s="154" t="s">
        <v>253</v>
      </c>
      <c r="C41" s="155">
        <f t="shared" si="1"/>
        <v>0.08</v>
      </c>
      <c r="D41" s="156">
        <f t="shared" si="2"/>
        <v>8</v>
      </c>
      <c r="E41" s="157">
        <f>Emissions!E21</f>
        <v>17</v>
      </c>
      <c r="F41" s="158">
        <f>Emissions!F21</f>
        <v>0</v>
      </c>
      <c r="G41" s="159">
        <f t="shared" si="3"/>
        <v>0</v>
      </c>
      <c r="H41" s="160">
        <f t="shared" si="4"/>
        <v>0</v>
      </c>
      <c r="I41" s="161">
        <f>Emissions!G21</f>
        <v>0</v>
      </c>
      <c r="J41" s="162">
        <f t="shared" si="5"/>
        <v>0</v>
      </c>
      <c r="K41" s="163">
        <f t="shared" si="6"/>
        <v>0</v>
      </c>
      <c r="L41" s="164">
        <f t="shared" si="7"/>
        <v>0</v>
      </c>
      <c r="M41" s="165">
        <f t="shared" si="8"/>
        <v>0</v>
      </c>
      <c r="N41" s="166">
        <f t="shared" si="9"/>
        <v>0</v>
      </c>
      <c r="O41" s="167">
        <f>Emissions!I21</f>
        <v>0</v>
      </c>
      <c r="P41" s="18"/>
    </row>
    <row r="42" spans="1:30" ht="18.75" thickBot="1">
      <c r="B42" s="168" t="s">
        <v>32</v>
      </c>
      <c r="C42" s="169">
        <f>SUM(C34:C41)</f>
        <v>0.99999999999999989</v>
      </c>
      <c r="D42" s="170">
        <f>SUM(D34:D41)</f>
        <v>100</v>
      </c>
      <c r="E42" s="171">
        <f>SUM(E34:E41)</f>
        <v>156</v>
      </c>
      <c r="F42" s="172">
        <f>SUM(F34:F41)</f>
        <v>0</v>
      </c>
      <c r="G42" s="173"/>
      <c r="H42" s="174">
        <f>SUM(H34:H41)</f>
        <v>0</v>
      </c>
      <c r="I42" s="175">
        <f>SUM(I34:I41)</f>
        <v>0</v>
      </c>
      <c r="J42" s="176"/>
      <c r="K42" s="177">
        <f>SUM(K34:K41)</f>
        <v>0</v>
      </c>
      <c r="L42" s="175">
        <f>SUM(L34:L41)</f>
        <v>0</v>
      </c>
      <c r="M42" s="176"/>
      <c r="N42" s="177">
        <f>SUM(N34:N41)</f>
        <v>0</v>
      </c>
      <c r="O42" s="178"/>
      <c r="P42" s="21"/>
    </row>
    <row r="43" spans="1:30">
      <c r="B43" s="179" t="s">
        <v>313</v>
      </c>
      <c r="C43" s="121"/>
      <c r="D43" s="102"/>
      <c r="E43" s="122">
        <f>Innovation!E8</f>
        <v>5</v>
      </c>
      <c r="F43" s="124">
        <f>Innovation!F8</f>
        <v>0</v>
      </c>
      <c r="G43" s="102"/>
      <c r="H43" s="125">
        <f>F43</f>
        <v>0</v>
      </c>
      <c r="I43" s="129">
        <f>Innovation!G8</f>
        <v>0</v>
      </c>
      <c r="J43" s="24"/>
      <c r="K43" s="130">
        <f>I43</f>
        <v>0</v>
      </c>
      <c r="L43" s="129">
        <f>F43+I43</f>
        <v>0</v>
      </c>
      <c r="M43" s="23"/>
      <c r="N43" s="130">
        <f>L43</f>
        <v>0</v>
      </c>
      <c r="O43" s="25" t="str">
        <f>Innovation!I7</f>
        <v/>
      </c>
      <c r="P43" s="26"/>
    </row>
    <row r="44" spans="1:30" ht="18.75" thickBot="1">
      <c r="A44" s="29"/>
      <c r="B44" s="180" t="s">
        <v>34</v>
      </c>
      <c r="C44" s="109"/>
      <c r="D44" s="123"/>
      <c r="E44" s="111"/>
      <c r="F44" s="118"/>
      <c r="G44" s="119"/>
      <c r="H44" s="120">
        <f>H42+H43</f>
        <v>0</v>
      </c>
      <c r="I44" s="118"/>
      <c r="J44" s="110"/>
      <c r="K44" s="120">
        <f>K42+K43</f>
        <v>0</v>
      </c>
      <c r="L44" s="118">
        <f>L42+L43</f>
        <v>0</v>
      </c>
      <c r="M44" s="110"/>
      <c r="N44" s="120">
        <f>N42+N43</f>
        <v>0</v>
      </c>
      <c r="O44" s="27" t="e">
        <f>SUM(O34:O43)</f>
        <v>#REF!</v>
      </c>
      <c r="P44" s="21"/>
    </row>
    <row r="45" spans="1:30">
      <c r="A45" s="29"/>
    </row>
    <row r="46" spans="1:30" ht="13.5" thickBot="1">
      <c r="C46" s="49" t="s">
        <v>35</v>
      </c>
      <c r="F46" s="83" t="s">
        <v>410</v>
      </c>
      <c r="G46" s="29"/>
      <c r="H46" s="29"/>
      <c r="I46" s="29"/>
      <c r="J46" s="29"/>
      <c r="K46" s="83" t="s">
        <v>410</v>
      </c>
      <c r="N46" s="29"/>
      <c r="O46" s="29"/>
      <c r="P46" s="29"/>
    </row>
    <row r="47" spans="1:30">
      <c r="C47" s="30">
        <v>0</v>
      </c>
      <c r="D47" s="31" t="s">
        <v>37</v>
      </c>
      <c r="F47" s="32" t="s">
        <v>38</v>
      </c>
      <c r="G47" s="33"/>
      <c r="H47" s="33"/>
      <c r="I47" s="34"/>
      <c r="J47" s="35"/>
      <c r="K47" s="29"/>
      <c r="L47" s="32" t="s">
        <v>303</v>
      </c>
      <c r="M47" s="76" t="s">
        <v>312</v>
      </c>
      <c r="N47" s="54" t="s">
        <v>201</v>
      </c>
      <c r="O47" s="29"/>
      <c r="P47" s="29"/>
      <c r="Q47" s="29"/>
      <c r="V47" s="1"/>
      <c r="AD47" s="3"/>
    </row>
    <row r="48" spans="1:30">
      <c r="C48" s="36">
        <v>10</v>
      </c>
      <c r="D48" s="37" t="s">
        <v>40</v>
      </c>
      <c r="F48" s="235"/>
      <c r="G48" s="236"/>
      <c r="H48" s="236"/>
      <c r="I48" s="29"/>
      <c r="J48" s="39"/>
      <c r="K48" s="29"/>
      <c r="L48" s="57" t="s">
        <v>37</v>
      </c>
      <c r="M48" s="58">
        <f t="shared" ref="M48:M53" si="10">C48-C47</f>
        <v>10</v>
      </c>
      <c r="N48" s="74">
        <f t="shared" ref="N48:N54" si="11">MAX(0,MIN($M48,$H$44-$C47))</f>
        <v>0</v>
      </c>
      <c r="O48" s="29"/>
      <c r="P48" s="29"/>
      <c r="Q48" s="29"/>
      <c r="V48" s="1"/>
      <c r="AD48" s="3"/>
    </row>
    <row r="49" spans="2:30">
      <c r="C49" s="36">
        <v>20</v>
      </c>
      <c r="D49" s="37" t="s">
        <v>42</v>
      </c>
      <c r="F49" s="38"/>
      <c r="G49" s="29"/>
      <c r="H49" s="237" t="s">
        <v>306</v>
      </c>
      <c r="I49" s="40" t="s">
        <v>201</v>
      </c>
      <c r="J49" s="41" t="s">
        <v>202</v>
      </c>
      <c r="K49" s="29"/>
      <c r="L49" s="59" t="s">
        <v>40</v>
      </c>
      <c r="M49" s="58">
        <f t="shared" si="10"/>
        <v>10</v>
      </c>
      <c r="N49" s="74">
        <f t="shared" si="11"/>
        <v>0</v>
      </c>
      <c r="O49" s="40"/>
      <c r="P49" s="40"/>
      <c r="Q49" s="40"/>
      <c r="V49" s="1"/>
      <c r="AD49" s="3"/>
    </row>
    <row r="50" spans="2:30">
      <c r="C50" s="36">
        <v>30</v>
      </c>
      <c r="D50" s="37" t="s">
        <v>203</v>
      </c>
      <c r="F50" s="38"/>
      <c r="G50" s="42" t="str">
        <f t="shared" ref="G50:G57" si="12">B34</f>
        <v>Management</v>
      </c>
      <c r="H50" s="238">
        <v>1</v>
      </c>
      <c r="I50" s="43">
        <f t="shared" ref="I50:I57" si="13">G34</f>
        <v>0</v>
      </c>
      <c r="J50" s="44">
        <f t="shared" ref="J50:J57" si="14">J34</f>
        <v>0</v>
      </c>
      <c r="K50" s="29"/>
      <c r="L50" s="59" t="s">
        <v>42</v>
      </c>
      <c r="M50" s="58">
        <f t="shared" si="10"/>
        <v>10</v>
      </c>
      <c r="N50" s="74">
        <f t="shared" si="11"/>
        <v>0</v>
      </c>
      <c r="O50" s="29"/>
      <c r="P50" s="29"/>
      <c r="Q50" s="29"/>
      <c r="V50" s="1"/>
      <c r="AD50" s="3"/>
    </row>
    <row r="51" spans="2:30">
      <c r="C51" s="46">
        <v>45</v>
      </c>
      <c r="D51" s="47" t="s">
        <v>205</v>
      </c>
      <c r="F51" s="38"/>
      <c r="G51" s="42" t="str">
        <f t="shared" si="12"/>
        <v>Indoor Environment Quality</v>
      </c>
      <c r="H51" s="238">
        <v>1</v>
      </c>
      <c r="I51" s="43">
        <f t="shared" si="13"/>
        <v>0</v>
      </c>
      <c r="J51" s="44">
        <f t="shared" si="14"/>
        <v>0</v>
      </c>
      <c r="K51" s="29"/>
      <c r="L51" s="59" t="s">
        <v>203</v>
      </c>
      <c r="M51" s="58">
        <f t="shared" si="10"/>
        <v>15</v>
      </c>
      <c r="N51" s="74">
        <f t="shared" si="11"/>
        <v>0</v>
      </c>
      <c r="O51" s="29"/>
      <c r="P51" s="29"/>
      <c r="Q51" s="29"/>
      <c r="V51" s="1"/>
      <c r="AD51" s="3"/>
    </row>
    <row r="52" spans="2:30">
      <c r="C52" s="46">
        <v>60</v>
      </c>
      <c r="D52" s="47" t="s">
        <v>615</v>
      </c>
      <c r="F52" s="38"/>
      <c r="G52" s="42" t="str">
        <f t="shared" si="12"/>
        <v>Energy</v>
      </c>
      <c r="H52" s="238">
        <v>1</v>
      </c>
      <c r="I52" s="43">
        <f t="shared" si="13"/>
        <v>0</v>
      </c>
      <c r="J52" s="44">
        <f t="shared" si="14"/>
        <v>0</v>
      </c>
      <c r="K52" s="29"/>
      <c r="L52" s="64" t="s">
        <v>205</v>
      </c>
      <c r="M52" s="58">
        <f t="shared" si="10"/>
        <v>15</v>
      </c>
      <c r="N52" s="74">
        <f t="shared" si="11"/>
        <v>0</v>
      </c>
      <c r="O52" s="29"/>
      <c r="P52" s="29"/>
      <c r="Q52" s="29"/>
      <c r="V52" s="1"/>
      <c r="AD52" s="3"/>
    </row>
    <row r="53" spans="2:30" ht="13.5" thickBot="1">
      <c r="C53" s="211">
        <v>75</v>
      </c>
      <c r="D53" s="48" t="s">
        <v>414</v>
      </c>
      <c r="F53" s="38"/>
      <c r="G53" s="42" t="str">
        <f t="shared" si="12"/>
        <v>Transport</v>
      </c>
      <c r="H53" s="238">
        <v>1</v>
      </c>
      <c r="I53" s="43">
        <f t="shared" si="13"/>
        <v>0</v>
      </c>
      <c r="J53" s="44">
        <f t="shared" si="14"/>
        <v>0</v>
      </c>
      <c r="K53" s="29"/>
      <c r="L53" s="64" t="s">
        <v>615</v>
      </c>
      <c r="M53" s="58">
        <f t="shared" si="10"/>
        <v>15</v>
      </c>
      <c r="N53" s="74">
        <f t="shared" si="11"/>
        <v>0</v>
      </c>
      <c r="O53" s="29"/>
      <c r="P53" s="29"/>
      <c r="Q53" s="29"/>
      <c r="V53" s="1"/>
      <c r="AD53" s="3"/>
    </row>
    <row r="54" spans="2:30">
      <c r="B54" s="94" t="s">
        <v>413</v>
      </c>
      <c r="C54" s="212"/>
      <c r="F54" s="38"/>
      <c r="G54" s="42" t="str">
        <f t="shared" si="12"/>
        <v>Water</v>
      </c>
      <c r="H54" s="238">
        <v>1</v>
      </c>
      <c r="I54" s="43">
        <f t="shared" si="13"/>
        <v>0</v>
      </c>
      <c r="J54" s="44">
        <f t="shared" si="14"/>
        <v>0</v>
      </c>
      <c r="K54" s="29"/>
      <c r="L54" s="65" t="s">
        <v>616</v>
      </c>
      <c r="M54" s="58">
        <f>100-C53</f>
        <v>25</v>
      </c>
      <c r="N54" s="74">
        <f t="shared" si="11"/>
        <v>0</v>
      </c>
      <c r="O54" s="29"/>
      <c r="P54" s="29"/>
      <c r="Q54" s="29"/>
      <c r="V54" s="1"/>
      <c r="AD54" s="3"/>
    </row>
    <row r="55" spans="2:30">
      <c r="B55" s="95" t="s">
        <v>228</v>
      </c>
      <c r="C55" s="96" t="e">
        <f>IF(O44&gt;0,"ERROR - Check category sheets","")</f>
        <v>#REF!</v>
      </c>
      <c r="F55" s="38"/>
      <c r="G55" s="42" t="str">
        <f t="shared" si="12"/>
        <v>Materials</v>
      </c>
      <c r="H55" s="238">
        <v>1</v>
      </c>
      <c r="I55" s="43">
        <f t="shared" si="13"/>
        <v>0</v>
      </c>
      <c r="J55" s="44">
        <f t="shared" si="14"/>
        <v>0</v>
      </c>
      <c r="K55" s="29"/>
      <c r="L55" s="38"/>
      <c r="M55" s="29"/>
      <c r="N55" s="60"/>
      <c r="O55" s="29"/>
      <c r="P55" s="29"/>
      <c r="Q55" s="29"/>
      <c r="V55" s="1"/>
      <c r="AD55" s="3"/>
    </row>
    <row r="56" spans="2:30" ht="13.5" thickBot="1">
      <c r="B56" s="97"/>
      <c r="C56" s="98"/>
      <c r="F56" s="38"/>
      <c r="G56" s="42" t="str">
        <f t="shared" si="12"/>
        <v>Land use &amp; Ecology</v>
      </c>
      <c r="H56" s="238">
        <v>1</v>
      </c>
      <c r="I56" s="43">
        <f t="shared" si="13"/>
        <v>0</v>
      </c>
      <c r="J56" s="44">
        <f t="shared" si="14"/>
        <v>0</v>
      </c>
      <c r="K56" s="29"/>
      <c r="L56" s="75" t="s">
        <v>307</v>
      </c>
      <c r="M56" s="52"/>
      <c r="N56" s="67">
        <f>$K$44</f>
        <v>0</v>
      </c>
      <c r="O56" s="29"/>
      <c r="P56" s="29"/>
      <c r="Q56" s="29"/>
      <c r="V56" s="1"/>
      <c r="AD56" s="3"/>
    </row>
    <row r="57" spans="2:30">
      <c r="B57" s="95" t="s">
        <v>409</v>
      </c>
      <c r="C57" s="98"/>
      <c r="F57" s="38"/>
      <c r="G57" s="42" t="str">
        <f t="shared" si="12"/>
        <v>Emissions</v>
      </c>
      <c r="H57" s="238">
        <v>1</v>
      </c>
      <c r="I57" s="43">
        <f t="shared" si="13"/>
        <v>0</v>
      </c>
      <c r="J57" s="44">
        <f t="shared" si="14"/>
        <v>0</v>
      </c>
      <c r="K57" s="29"/>
      <c r="L57" s="29"/>
      <c r="M57" s="29"/>
      <c r="N57" s="29"/>
      <c r="O57" s="29"/>
      <c r="P57" s="29"/>
      <c r="Q57" s="29"/>
      <c r="V57" s="1"/>
      <c r="AD57" s="3"/>
    </row>
    <row r="58" spans="2:30" ht="13.5" thickBot="1">
      <c r="B58" s="99" t="str">
        <f>IF(B30="Yes","","Mandatory Requirements not met, Green Star Certified Rating not possible")</f>
        <v/>
      </c>
      <c r="C58" s="100"/>
      <c r="F58" s="50"/>
      <c r="G58" s="51"/>
      <c r="H58" s="52"/>
      <c r="I58" s="52"/>
      <c r="J58" s="53"/>
      <c r="K58" s="29"/>
      <c r="L58" s="29"/>
      <c r="M58" s="29"/>
      <c r="N58" s="29"/>
      <c r="O58" s="29"/>
      <c r="P58" s="29"/>
    </row>
    <row r="59" spans="2:30">
      <c r="J59" s="29"/>
      <c r="K59" s="29"/>
      <c r="L59" s="29"/>
      <c r="M59" s="29"/>
      <c r="N59" s="29"/>
      <c r="O59" s="29"/>
      <c r="P59" s="29"/>
    </row>
    <row r="60" spans="2:30">
      <c r="B60" s="88" t="s">
        <v>309</v>
      </c>
      <c r="C60" s="89"/>
      <c r="J60" s="29"/>
      <c r="K60" s="29"/>
      <c r="L60" s="29"/>
      <c r="M60" s="29"/>
      <c r="N60" s="29"/>
      <c r="O60" s="29"/>
      <c r="P60" s="29"/>
    </row>
    <row r="61" spans="2:30" ht="13.5" thickBot="1">
      <c r="B61" s="90" t="s">
        <v>310</v>
      </c>
      <c r="C61" s="91" t="str">
        <f>VLOOKUP($H$44,$C$47:$D$53,2)</f>
        <v>No Rating</v>
      </c>
      <c r="F61" s="83" t="s">
        <v>410</v>
      </c>
      <c r="G61" s="29"/>
      <c r="H61" s="29"/>
      <c r="I61" s="29"/>
      <c r="J61" s="29"/>
      <c r="K61" s="29"/>
      <c r="L61" s="83" t="s">
        <v>410</v>
      </c>
      <c r="M61" s="29"/>
      <c r="N61" s="29"/>
      <c r="O61" s="29"/>
      <c r="P61" s="29"/>
    </row>
    <row r="62" spans="2:30">
      <c r="B62" s="92" t="s">
        <v>311</v>
      </c>
      <c r="C62" s="93" t="str">
        <f>VLOOKUP($N$44,$C$47:$D$53,2)</f>
        <v>No Rating</v>
      </c>
      <c r="F62" s="55" t="s">
        <v>304</v>
      </c>
      <c r="G62" s="56"/>
      <c r="H62" s="34"/>
      <c r="I62" s="34"/>
      <c r="J62" s="35"/>
      <c r="L62" s="32" t="s">
        <v>305</v>
      </c>
      <c r="M62" s="34"/>
      <c r="N62" s="34"/>
      <c r="O62" s="34"/>
      <c r="P62" s="35"/>
    </row>
    <row r="63" spans="2:30">
      <c r="F63" s="38"/>
      <c r="G63" s="18"/>
      <c r="H63" s="29"/>
      <c r="I63" s="29"/>
      <c r="J63" s="41"/>
      <c r="L63" s="38"/>
      <c r="M63" s="29"/>
      <c r="N63" s="29"/>
      <c r="O63" s="29"/>
      <c r="P63" s="39"/>
    </row>
    <row r="64" spans="2:30">
      <c r="B64" s="49" t="s">
        <v>415</v>
      </c>
      <c r="F64" s="38"/>
      <c r="G64" s="18"/>
      <c r="H64" s="40" t="s">
        <v>306</v>
      </c>
      <c r="I64" s="40" t="s">
        <v>201</v>
      </c>
      <c r="J64" s="41" t="s">
        <v>202</v>
      </c>
      <c r="L64" s="38"/>
      <c r="M64" s="29"/>
      <c r="N64" s="40" t="s">
        <v>306</v>
      </c>
      <c r="O64" s="40" t="s">
        <v>201</v>
      </c>
      <c r="P64" s="41" t="s">
        <v>202</v>
      </c>
    </row>
    <row r="65" spans="2:16">
      <c r="B65" s="1" t="str">
        <f>IF(OR(ISBLANK(Energy!F5), ISBLANK('Land Use &amp; Ecology'!F5)),"Conditional requirements not met.",IF(H44&lt;C51,"Minimal standards for Green Star SA certification not met.","Once certified, this score would equate to a " &amp; C61 &amp; " rating."))</f>
        <v>Conditional requirements not met.</v>
      </c>
      <c r="F65" s="38"/>
      <c r="G65" s="42" t="str">
        <f>B34</f>
        <v>Management</v>
      </c>
      <c r="H65" s="18">
        <f>E34</f>
        <v>17</v>
      </c>
      <c r="I65" s="29"/>
      <c r="J65" s="60"/>
      <c r="L65" s="38"/>
      <c r="M65" s="42" t="str">
        <f>B34</f>
        <v>Management</v>
      </c>
      <c r="O65" s="29"/>
      <c r="P65" s="39"/>
    </row>
    <row r="66" spans="2:16">
      <c r="F66" s="38"/>
      <c r="G66" s="42"/>
      <c r="H66" s="29"/>
      <c r="I66" s="18">
        <f>F34</f>
        <v>0</v>
      </c>
      <c r="J66" s="60">
        <f>I34</f>
        <v>0</v>
      </c>
      <c r="L66" s="38"/>
      <c r="M66" s="42"/>
      <c r="N66" s="61">
        <f>D34</f>
        <v>9</v>
      </c>
      <c r="O66" s="62">
        <f>H34</f>
        <v>0</v>
      </c>
      <c r="P66" s="63">
        <f>K34</f>
        <v>0</v>
      </c>
    </row>
    <row r="67" spans="2:16">
      <c r="F67" s="38"/>
      <c r="G67" s="42" t="s">
        <v>319</v>
      </c>
      <c r="H67" s="18">
        <f>E35</f>
        <v>23</v>
      </c>
      <c r="I67" s="29"/>
      <c r="J67" s="60"/>
      <c r="L67" s="38"/>
      <c r="M67" s="42" t="s">
        <v>319</v>
      </c>
      <c r="N67" s="29"/>
      <c r="O67" s="29"/>
      <c r="P67" s="39"/>
    </row>
    <row r="68" spans="2:16">
      <c r="F68" s="38"/>
      <c r="G68" s="42"/>
      <c r="H68" s="29"/>
      <c r="I68" s="18">
        <f>F35</f>
        <v>0</v>
      </c>
      <c r="J68" s="60">
        <f>I35</f>
        <v>0</v>
      </c>
      <c r="L68" s="38"/>
      <c r="M68" s="42"/>
      <c r="N68" s="61">
        <f>D35</f>
        <v>15</v>
      </c>
      <c r="O68" s="62">
        <f>H35</f>
        <v>0</v>
      </c>
      <c r="P68" s="63">
        <f>K35</f>
        <v>0</v>
      </c>
    </row>
    <row r="69" spans="2:16">
      <c r="F69" s="38"/>
      <c r="G69" s="42" t="str">
        <f>B36</f>
        <v>Energy</v>
      </c>
      <c r="H69" s="18">
        <f>E36</f>
        <v>30</v>
      </c>
      <c r="I69" s="29"/>
      <c r="J69" s="60"/>
      <c r="L69" s="38"/>
      <c r="M69" s="42" t="str">
        <f>B36</f>
        <v>Energy</v>
      </c>
      <c r="N69" s="29"/>
      <c r="O69" s="29"/>
      <c r="P69" s="39"/>
    </row>
    <row r="70" spans="2:16">
      <c r="B70" s="228" t="s">
        <v>299</v>
      </c>
      <c r="F70" s="38"/>
      <c r="G70" s="42"/>
      <c r="H70" s="29"/>
      <c r="I70" s="18">
        <f>F36</f>
        <v>0</v>
      </c>
      <c r="J70" s="60">
        <f>I36</f>
        <v>0</v>
      </c>
      <c r="L70" s="38"/>
      <c r="M70" s="42"/>
      <c r="N70" s="61">
        <f>D36</f>
        <v>25</v>
      </c>
      <c r="O70" s="62">
        <f>H36</f>
        <v>0</v>
      </c>
      <c r="P70" s="63">
        <f>K36</f>
        <v>0</v>
      </c>
    </row>
    <row r="71" spans="2:16">
      <c r="B71" s="228" t="s">
        <v>300</v>
      </c>
      <c r="C71" s="1" t="str">
        <f>IF(ISBLANK(Energy!F5),"Not met","Met")</f>
        <v>Met</v>
      </c>
      <c r="F71" s="38"/>
      <c r="G71" s="42" t="str">
        <f>B37</f>
        <v>Transport</v>
      </c>
      <c r="H71" s="18">
        <f>E37</f>
        <v>18</v>
      </c>
      <c r="I71" s="29"/>
      <c r="J71" s="60"/>
      <c r="L71" s="38"/>
      <c r="M71" s="42" t="str">
        <f>B37</f>
        <v>Transport</v>
      </c>
      <c r="N71" s="29"/>
      <c r="O71" s="29"/>
      <c r="P71" s="39"/>
    </row>
    <row r="72" spans="2:16">
      <c r="B72" s="19" t="s">
        <v>301</v>
      </c>
      <c r="C72" s="1" t="str">
        <f>IF(ISBLANK('Land Use &amp; Ecology'!F5),"Not met","Met")</f>
        <v>Not met</v>
      </c>
      <c r="D72" s="29"/>
      <c r="F72" s="38"/>
      <c r="G72" s="42"/>
      <c r="H72" s="29"/>
      <c r="I72" s="18">
        <f>F37</f>
        <v>0</v>
      </c>
      <c r="J72" s="60">
        <f>I37</f>
        <v>0</v>
      </c>
      <c r="L72" s="38"/>
      <c r="M72" s="42"/>
      <c r="N72" s="61">
        <f>D37</f>
        <v>9</v>
      </c>
      <c r="O72" s="62">
        <f>H37</f>
        <v>0</v>
      </c>
      <c r="P72" s="63">
        <f>K37</f>
        <v>0</v>
      </c>
    </row>
    <row r="73" spans="2:16">
      <c r="D73" s="58"/>
      <c r="F73" s="38"/>
      <c r="G73" s="42" t="str">
        <f>B38</f>
        <v>Water</v>
      </c>
      <c r="H73" s="18">
        <f>E38</f>
        <v>15</v>
      </c>
      <c r="I73" s="29"/>
      <c r="J73" s="60"/>
      <c r="L73" s="38"/>
      <c r="M73" s="42" t="str">
        <f>B38</f>
        <v>Water</v>
      </c>
      <c r="N73" s="29"/>
      <c r="O73" s="29"/>
      <c r="P73" s="39"/>
    </row>
    <row r="74" spans="2:16">
      <c r="D74" s="58"/>
      <c r="F74" s="38"/>
      <c r="G74" s="42"/>
      <c r="H74" s="29"/>
      <c r="I74" s="18">
        <f>F38</f>
        <v>0</v>
      </c>
      <c r="J74" s="60">
        <f>I38</f>
        <v>0</v>
      </c>
      <c r="L74" s="38"/>
      <c r="M74" s="42"/>
      <c r="N74" s="61">
        <f>D38</f>
        <v>14.000000000000002</v>
      </c>
      <c r="O74" s="62">
        <f>H38</f>
        <v>0</v>
      </c>
      <c r="P74" s="63">
        <f>K38</f>
        <v>0</v>
      </c>
    </row>
    <row r="75" spans="2:16">
      <c r="F75" s="38"/>
      <c r="G75" s="42" t="str">
        <f>B39</f>
        <v>Materials</v>
      </c>
      <c r="H75" s="18">
        <f>E39</f>
        <v>24</v>
      </c>
      <c r="I75" s="29"/>
      <c r="J75" s="60"/>
      <c r="L75" s="38"/>
      <c r="M75" s="42" t="str">
        <f>B39</f>
        <v>Materials</v>
      </c>
      <c r="N75" s="29"/>
      <c r="O75" s="29"/>
      <c r="P75" s="39"/>
    </row>
    <row r="76" spans="2:16">
      <c r="B76" s="68"/>
      <c r="C76" s="69"/>
      <c r="F76" s="38"/>
      <c r="G76" s="42"/>
      <c r="H76" s="29"/>
      <c r="I76" s="18">
        <f>F39</f>
        <v>0</v>
      </c>
      <c r="J76" s="60">
        <f>I39</f>
        <v>0</v>
      </c>
      <c r="L76" s="38"/>
      <c r="M76" s="42"/>
      <c r="N76" s="61">
        <f>D39</f>
        <v>13</v>
      </c>
      <c r="O76" s="62">
        <f>H39</f>
        <v>0</v>
      </c>
      <c r="P76" s="63">
        <f>K39</f>
        <v>0</v>
      </c>
    </row>
    <row r="77" spans="2:16">
      <c r="F77" s="38"/>
      <c r="G77" s="42" t="str">
        <f>B40</f>
        <v>Land use &amp; Ecology</v>
      </c>
      <c r="H77" s="18">
        <f>E40</f>
        <v>12</v>
      </c>
      <c r="I77" s="29"/>
      <c r="J77" s="60"/>
      <c r="L77" s="38"/>
      <c r="M77" s="42" t="str">
        <f>B40</f>
        <v>Land use &amp; Ecology</v>
      </c>
      <c r="N77" s="29"/>
      <c r="O77" s="29"/>
      <c r="P77" s="39"/>
    </row>
    <row r="78" spans="2:16">
      <c r="F78" s="38"/>
      <c r="G78" s="42"/>
      <c r="H78" s="29"/>
      <c r="I78" s="18">
        <f>F40</f>
        <v>0</v>
      </c>
      <c r="J78" s="66">
        <f>I40</f>
        <v>0</v>
      </c>
      <c r="L78" s="38"/>
      <c r="M78" s="42"/>
      <c r="N78" s="61">
        <f>D40</f>
        <v>7.0000000000000009</v>
      </c>
      <c r="O78" s="62">
        <f>H40</f>
        <v>0</v>
      </c>
      <c r="P78" s="63">
        <f>K40</f>
        <v>0</v>
      </c>
    </row>
    <row r="79" spans="2:16">
      <c r="F79" s="38"/>
      <c r="G79" s="40" t="str">
        <f>B41</f>
        <v>Emissions</v>
      </c>
      <c r="H79" s="18">
        <f>E41</f>
        <v>17</v>
      </c>
      <c r="I79" s="29"/>
      <c r="J79" s="60"/>
      <c r="L79" s="38"/>
      <c r="M79" s="42" t="str">
        <f>B41</f>
        <v>Emissions</v>
      </c>
      <c r="N79" s="29"/>
      <c r="O79" s="29"/>
      <c r="P79" s="39"/>
    </row>
    <row r="80" spans="2:16">
      <c r="F80" s="38"/>
      <c r="G80" s="18"/>
      <c r="H80" s="40"/>
      <c r="I80" s="18">
        <f>F41</f>
        <v>0</v>
      </c>
      <c r="J80" s="60">
        <f>I41</f>
        <v>0</v>
      </c>
      <c r="L80" s="38"/>
      <c r="M80" s="42"/>
      <c r="N80" s="61">
        <f>D41</f>
        <v>8</v>
      </c>
      <c r="O80" s="62">
        <f>H41</f>
        <v>0</v>
      </c>
      <c r="P80" s="63">
        <f>K41</f>
        <v>0</v>
      </c>
    </row>
    <row r="81" spans="6:16" ht="13.5" thickBot="1">
      <c r="F81" s="50"/>
      <c r="G81" s="52"/>
      <c r="H81" s="52"/>
      <c r="I81" s="52"/>
      <c r="J81" s="53"/>
      <c r="L81" s="50"/>
      <c r="M81" s="52"/>
      <c r="N81" s="52"/>
      <c r="O81" s="52"/>
      <c r="P81" s="53"/>
    </row>
  </sheetData>
  <sheetProtection selectLockedCells="1" selectUnlockedCells="1"/>
  <mergeCells count="2">
    <mergeCell ref="L27:M27"/>
    <mergeCell ref="K31:L31"/>
  </mergeCells>
  <phoneticPr fontId="12" type="noConversion"/>
  <pageMargins left="0.39370078740157483" right="0.39370078740157483" top="0.39370078740157483" bottom="0.78740157480314965" header="0.39370078740157483" footer="0.39370078740157483"/>
  <pageSetup paperSize="9" scale="58" fitToHeight="2" orientation="landscape" blackAndWhite="1" horizontalDpi="300" verticalDpi="300" r:id="rId1"/>
  <headerFooter alignWithMargins="0">
    <oddFooter>&amp;L&amp;F&amp;C&amp;P&amp;N&amp;R&amp;A</oddFooter>
  </headerFooter>
  <rowBreaks count="1" manualBreakCount="1">
    <brk id="45" max="16383" man="1"/>
  </rowBreaks>
  <colBreaks count="1" manualBreakCount="1">
    <brk id="1"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D99"/>
  <sheetViews>
    <sheetView topLeftCell="A17" zoomScaleNormal="100" workbookViewId="0">
      <selection activeCell="I29" sqref="I29"/>
    </sheetView>
  </sheetViews>
  <sheetFormatPr defaultColWidth="7.875" defaultRowHeight="12.75"/>
  <cols>
    <col min="1" max="1" width="10.875" style="1" customWidth="1"/>
    <col min="2" max="2" width="22.75" style="1" customWidth="1"/>
    <col min="3" max="3" width="14" style="1" customWidth="1"/>
    <col min="4" max="4" width="10.625" style="1" customWidth="1"/>
    <col min="5" max="5" width="11.25" style="3" customWidth="1"/>
    <col min="6" max="6" width="9.625" style="1" customWidth="1"/>
    <col min="7" max="7" width="10.625" style="1" customWidth="1"/>
    <col min="8" max="8" width="12.125" style="1" customWidth="1"/>
    <col min="9" max="9" width="10.625" style="1" customWidth="1"/>
    <col min="10" max="11" width="12.125" style="1" customWidth="1"/>
    <col min="12" max="12" width="9.625" style="1" customWidth="1"/>
    <col min="13" max="13" width="10.625" style="1" customWidth="1"/>
    <col min="14" max="16" width="9.625" style="1" customWidth="1"/>
    <col min="17" max="20" width="7.875" style="1"/>
    <col min="21" max="21" width="20.125" style="1" customWidth="1"/>
    <col min="22" max="29" width="7.875" style="3"/>
    <col min="30" max="16384" width="7.875" style="1"/>
  </cols>
  <sheetData>
    <row r="1" spans="1:18" ht="23.25">
      <c r="A1" s="268" t="str">
        <f>'Building Input'!B1</f>
        <v>Green Star SA - Public &amp; Education Building v1</v>
      </c>
      <c r="B1" s="2"/>
      <c r="G1" s="184" t="str">
        <f>N25</f>
        <v>New Building</v>
      </c>
    </row>
    <row r="2" spans="1:18" ht="18.75">
      <c r="A2" s="4" t="s">
        <v>1037</v>
      </c>
      <c r="C2" s="5" t="str">
        <f>IF('Building Input'!C5=0,"",'Building Input'!C5)</f>
        <v/>
      </c>
    </row>
    <row r="3" spans="1:18" ht="15">
      <c r="B3" s="6"/>
    </row>
    <row r="4" spans="1:18" ht="20.25">
      <c r="B4" s="183"/>
      <c r="C4" s="7"/>
      <c r="D4" s="8"/>
      <c r="E4" s="9"/>
      <c r="F4" s="8"/>
      <c r="G4" s="8"/>
      <c r="H4" s="8"/>
      <c r="I4" s="8"/>
      <c r="J4" s="8"/>
      <c r="K4" s="8"/>
      <c r="L4" s="8"/>
      <c r="M4" s="8"/>
      <c r="N4" s="8"/>
      <c r="O4" s="8"/>
      <c r="P4" s="8"/>
    </row>
    <row r="6" spans="1:18" s="10" customFormat="1" ht="25.5">
      <c r="A6" s="199" t="s">
        <v>411</v>
      </c>
      <c r="B6" s="203"/>
      <c r="C6" s="185"/>
      <c r="D6" s="185"/>
      <c r="E6" s="185"/>
      <c r="F6" s="185"/>
      <c r="G6" s="185"/>
      <c r="H6" s="185"/>
      <c r="I6" s="185"/>
      <c r="J6" s="186"/>
      <c r="K6" s="1"/>
      <c r="L6" s="1"/>
      <c r="M6" s="1"/>
      <c r="N6" s="1"/>
      <c r="O6" s="1"/>
      <c r="P6" s="1"/>
      <c r="Q6" s="1"/>
      <c r="R6" s="3"/>
    </row>
    <row r="7" spans="1:18" ht="16.5" thickBot="1">
      <c r="A7" s="200"/>
      <c r="B7" s="204"/>
      <c r="C7" s="187" t="s">
        <v>623</v>
      </c>
      <c r="D7" s="259"/>
      <c r="E7" s="259"/>
      <c r="F7" s="259"/>
      <c r="G7" s="259"/>
      <c r="H7" s="259"/>
      <c r="I7" s="259"/>
      <c r="J7" s="259"/>
      <c r="K7" s="226"/>
      <c r="L7" s="10"/>
      <c r="M7" s="10"/>
      <c r="N7" s="10"/>
      <c r="O7" s="10"/>
      <c r="P7" s="10"/>
      <c r="Q7" s="10"/>
      <c r="R7" s="10"/>
    </row>
    <row r="8" spans="1:18" ht="31.5" thickTop="1" thickBot="1">
      <c r="A8" s="201"/>
      <c r="B8" s="101" t="s">
        <v>408</v>
      </c>
      <c r="C8" s="189" t="s">
        <v>220</v>
      </c>
      <c r="D8" s="190" t="s">
        <v>221</v>
      </c>
      <c r="E8" s="190" t="s">
        <v>222</v>
      </c>
      <c r="F8" s="190" t="s">
        <v>224</v>
      </c>
      <c r="G8" s="190" t="s">
        <v>223</v>
      </c>
      <c r="H8" s="190" t="s">
        <v>225</v>
      </c>
      <c r="I8" s="190" t="s">
        <v>226</v>
      </c>
      <c r="J8" s="190" t="s">
        <v>227</v>
      </c>
      <c r="K8" s="191" t="s">
        <v>302</v>
      </c>
      <c r="L8" s="12" t="s">
        <v>30</v>
      </c>
      <c r="M8" s="10"/>
      <c r="N8" s="10"/>
      <c r="R8" s="3"/>
    </row>
    <row r="9" spans="1:18" ht="13.5" thickTop="1">
      <c r="A9" s="260" t="s">
        <v>314</v>
      </c>
      <c r="B9" s="181">
        <f>'Credit Summary'!J19</f>
        <v>0.11</v>
      </c>
      <c r="C9" s="261">
        <f t="shared" ref="C9:K9" si="0">B9</f>
        <v>0.11</v>
      </c>
      <c r="D9" s="261">
        <f t="shared" si="0"/>
        <v>0.11</v>
      </c>
      <c r="E9" s="261">
        <f t="shared" si="0"/>
        <v>0.11</v>
      </c>
      <c r="F9" s="261">
        <f t="shared" si="0"/>
        <v>0.11</v>
      </c>
      <c r="G9" s="261">
        <f t="shared" si="0"/>
        <v>0.11</v>
      </c>
      <c r="H9" s="261">
        <f t="shared" si="0"/>
        <v>0.11</v>
      </c>
      <c r="I9" s="261">
        <f t="shared" si="0"/>
        <v>0.11</v>
      </c>
      <c r="J9" s="261">
        <f t="shared" si="0"/>
        <v>0.11</v>
      </c>
      <c r="K9" s="261">
        <f t="shared" si="0"/>
        <v>0.11</v>
      </c>
      <c r="L9" s="205">
        <v>1</v>
      </c>
      <c r="M9" s="206" t="s">
        <v>220</v>
      </c>
      <c r="N9" s="19"/>
      <c r="R9" s="3"/>
    </row>
    <row r="10" spans="1:18" ht="38.25">
      <c r="A10" s="260" t="s">
        <v>315</v>
      </c>
      <c r="B10" s="209">
        <f>'Credit Summary'!J36</f>
        <v>0.15</v>
      </c>
      <c r="C10" s="262">
        <f t="shared" ref="C10:K10" si="1">B10</f>
        <v>0.15</v>
      </c>
      <c r="D10" s="262">
        <f t="shared" si="1"/>
        <v>0.15</v>
      </c>
      <c r="E10" s="262">
        <f t="shared" si="1"/>
        <v>0.15</v>
      </c>
      <c r="F10" s="262">
        <f t="shared" si="1"/>
        <v>0.15</v>
      </c>
      <c r="G10" s="262">
        <f t="shared" si="1"/>
        <v>0.15</v>
      </c>
      <c r="H10" s="262">
        <f t="shared" si="1"/>
        <v>0.15</v>
      </c>
      <c r="I10" s="262">
        <f t="shared" si="1"/>
        <v>0.15</v>
      </c>
      <c r="J10" s="262">
        <f t="shared" si="1"/>
        <v>0.15</v>
      </c>
      <c r="K10" s="262">
        <f t="shared" si="1"/>
        <v>0.15</v>
      </c>
      <c r="L10" s="205">
        <v>2</v>
      </c>
      <c r="M10" s="206" t="s">
        <v>221</v>
      </c>
      <c r="N10" s="19"/>
      <c r="R10" s="3"/>
    </row>
    <row r="11" spans="1:18">
      <c r="A11" s="260" t="s">
        <v>316</v>
      </c>
      <c r="B11" s="181">
        <f>'Credit Summary'!J45</f>
        <v>0.25</v>
      </c>
      <c r="C11" s="262">
        <f t="shared" ref="C11:D16" si="2">B11</f>
        <v>0.25</v>
      </c>
      <c r="D11" s="262">
        <f t="shared" si="2"/>
        <v>0.25</v>
      </c>
      <c r="E11" s="262">
        <f t="shared" ref="E11:K11" si="3">D11</f>
        <v>0.25</v>
      </c>
      <c r="F11" s="262">
        <f t="shared" si="3"/>
        <v>0.25</v>
      </c>
      <c r="G11" s="262">
        <f t="shared" si="3"/>
        <v>0.25</v>
      </c>
      <c r="H11" s="262">
        <f t="shared" si="3"/>
        <v>0.25</v>
      </c>
      <c r="I11" s="262">
        <f t="shared" si="3"/>
        <v>0.25</v>
      </c>
      <c r="J11" s="262">
        <f t="shared" si="3"/>
        <v>0.25</v>
      </c>
      <c r="K11" s="262">
        <f t="shared" si="3"/>
        <v>0.25</v>
      </c>
      <c r="L11" s="205">
        <v>3</v>
      </c>
      <c r="M11" s="206" t="s">
        <v>222</v>
      </c>
      <c r="N11" s="19"/>
      <c r="R11" s="3"/>
    </row>
    <row r="12" spans="1:18">
      <c r="A12" s="263" t="s">
        <v>1038</v>
      </c>
      <c r="B12" s="209">
        <f>'Credit Summary'!J54</f>
        <v>0.11</v>
      </c>
      <c r="C12" s="262">
        <f t="shared" si="2"/>
        <v>0.11</v>
      </c>
      <c r="D12" s="262">
        <f t="shared" si="2"/>
        <v>0.11</v>
      </c>
      <c r="E12" s="262">
        <f t="shared" ref="E12:K12" si="4">D12</f>
        <v>0.11</v>
      </c>
      <c r="F12" s="262">
        <f t="shared" si="4"/>
        <v>0.11</v>
      </c>
      <c r="G12" s="262">
        <f t="shared" si="4"/>
        <v>0.11</v>
      </c>
      <c r="H12" s="262">
        <f t="shared" si="4"/>
        <v>0.11</v>
      </c>
      <c r="I12" s="262">
        <f t="shared" si="4"/>
        <v>0.11</v>
      </c>
      <c r="J12" s="262">
        <f t="shared" si="4"/>
        <v>0.11</v>
      </c>
      <c r="K12" s="262">
        <f t="shared" si="4"/>
        <v>0.11</v>
      </c>
      <c r="L12" s="205">
        <v>4</v>
      </c>
      <c r="M12" s="206" t="s">
        <v>224</v>
      </c>
      <c r="N12" s="19"/>
      <c r="R12" s="3"/>
    </row>
    <row r="13" spans="1:18">
      <c r="A13" s="264" t="s">
        <v>317</v>
      </c>
      <c r="B13" s="181">
        <f>'Credit Summary'!J59</f>
        <v>0.12</v>
      </c>
      <c r="C13" s="262">
        <f t="shared" si="2"/>
        <v>0.12</v>
      </c>
      <c r="D13" s="262">
        <f t="shared" si="2"/>
        <v>0.12</v>
      </c>
      <c r="E13" s="262">
        <f t="shared" ref="E13:K13" si="5">D13</f>
        <v>0.12</v>
      </c>
      <c r="F13" s="262">
        <f t="shared" si="5"/>
        <v>0.12</v>
      </c>
      <c r="G13" s="262">
        <f t="shared" si="5"/>
        <v>0.12</v>
      </c>
      <c r="H13" s="262">
        <f t="shared" si="5"/>
        <v>0.12</v>
      </c>
      <c r="I13" s="262">
        <f t="shared" si="5"/>
        <v>0.12</v>
      </c>
      <c r="J13" s="262">
        <f t="shared" si="5"/>
        <v>0.12</v>
      </c>
      <c r="K13" s="262">
        <f t="shared" si="5"/>
        <v>0.12</v>
      </c>
      <c r="L13" s="205">
        <v>5</v>
      </c>
      <c r="M13" s="206" t="s">
        <v>223</v>
      </c>
      <c r="N13" s="19"/>
      <c r="R13" s="3"/>
    </row>
    <row r="14" spans="1:18">
      <c r="A14" s="264" t="s">
        <v>318</v>
      </c>
      <c r="B14" s="209">
        <f>'Credit Summary'!J72</f>
        <v>0.12</v>
      </c>
      <c r="C14" s="262">
        <f t="shared" si="2"/>
        <v>0.12</v>
      </c>
      <c r="D14" s="262">
        <f t="shared" si="2"/>
        <v>0.12</v>
      </c>
      <c r="E14" s="262">
        <f t="shared" ref="E14:K14" si="6">D14</f>
        <v>0.12</v>
      </c>
      <c r="F14" s="262">
        <f t="shared" si="6"/>
        <v>0.12</v>
      </c>
      <c r="G14" s="262">
        <f t="shared" si="6"/>
        <v>0.12</v>
      </c>
      <c r="H14" s="262">
        <f t="shared" si="6"/>
        <v>0.12</v>
      </c>
      <c r="I14" s="262">
        <f t="shared" si="6"/>
        <v>0.12</v>
      </c>
      <c r="J14" s="262">
        <f t="shared" si="6"/>
        <v>0.12</v>
      </c>
      <c r="K14" s="262">
        <f t="shared" si="6"/>
        <v>0.12</v>
      </c>
      <c r="L14" s="205">
        <v>6</v>
      </c>
      <c r="M14" s="206" t="s">
        <v>225</v>
      </c>
      <c r="N14" s="19"/>
      <c r="R14" s="3"/>
    </row>
    <row r="15" spans="1:18" s="20" customFormat="1" ht="25.5">
      <c r="A15" s="263" t="s">
        <v>31</v>
      </c>
      <c r="B15" s="209">
        <f>'Credit Summary'!J82</f>
        <v>7.0000000000000007E-2</v>
      </c>
      <c r="C15" s="262">
        <f t="shared" si="2"/>
        <v>7.0000000000000007E-2</v>
      </c>
      <c r="D15" s="262">
        <f t="shared" si="2"/>
        <v>7.0000000000000007E-2</v>
      </c>
      <c r="E15" s="262">
        <f t="shared" ref="E15:K15" si="7">D15</f>
        <v>7.0000000000000007E-2</v>
      </c>
      <c r="F15" s="262">
        <f t="shared" si="7"/>
        <v>7.0000000000000007E-2</v>
      </c>
      <c r="G15" s="262">
        <f t="shared" si="7"/>
        <v>7.0000000000000007E-2</v>
      </c>
      <c r="H15" s="262">
        <f t="shared" si="7"/>
        <v>7.0000000000000007E-2</v>
      </c>
      <c r="I15" s="262">
        <f t="shared" si="7"/>
        <v>7.0000000000000007E-2</v>
      </c>
      <c r="J15" s="262">
        <f t="shared" si="7"/>
        <v>7.0000000000000007E-2</v>
      </c>
      <c r="K15" s="262">
        <f t="shared" si="7"/>
        <v>7.0000000000000007E-2</v>
      </c>
      <c r="L15" s="205">
        <v>7</v>
      </c>
      <c r="M15" s="206" t="s">
        <v>226</v>
      </c>
      <c r="N15" s="19"/>
      <c r="O15" s="1"/>
      <c r="P15" s="1"/>
      <c r="Q15" s="1"/>
      <c r="R15" s="3"/>
    </row>
    <row r="16" spans="1:18" s="20" customFormat="1" ht="13.5" thickBot="1">
      <c r="A16" s="264" t="s">
        <v>253</v>
      </c>
      <c r="B16" s="182">
        <f>'Credit Summary'!J91</f>
        <v>7.0000000000000007E-2</v>
      </c>
      <c r="C16" s="262">
        <f t="shared" si="2"/>
        <v>7.0000000000000007E-2</v>
      </c>
      <c r="D16" s="262">
        <f t="shared" si="2"/>
        <v>7.0000000000000007E-2</v>
      </c>
      <c r="E16" s="262">
        <f t="shared" ref="E16:K16" si="8">D16</f>
        <v>7.0000000000000007E-2</v>
      </c>
      <c r="F16" s="262">
        <f t="shared" si="8"/>
        <v>7.0000000000000007E-2</v>
      </c>
      <c r="G16" s="262">
        <f t="shared" si="8"/>
        <v>7.0000000000000007E-2</v>
      </c>
      <c r="H16" s="262">
        <f t="shared" si="8"/>
        <v>7.0000000000000007E-2</v>
      </c>
      <c r="I16" s="262">
        <f t="shared" si="8"/>
        <v>7.0000000000000007E-2</v>
      </c>
      <c r="J16" s="262">
        <f t="shared" si="8"/>
        <v>7.0000000000000007E-2</v>
      </c>
      <c r="K16" s="262">
        <f t="shared" si="8"/>
        <v>7.0000000000000007E-2</v>
      </c>
      <c r="L16" s="205">
        <v>8</v>
      </c>
      <c r="M16" s="206" t="s">
        <v>227</v>
      </c>
      <c r="N16" s="19"/>
    </row>
    <row r="17" spans="1:19" s="20" customFormat="1" ht="13.5" thickTop="1">
      <c r="A17" s="192"/>
      <c r="B17" s="193"/>
      <c r="C17" s="194"/>
      <c r="D17" s="214"/>
      <c r="E17" s="194"/>
      <c r="F17" s="194"/>
      <c r="G17" s="194"/>
      <c r="H17" s="194"/>
      <c r="I17" s="194"/>
      <c r="J17" s="224"/>
      <c r="K17" s="225"/>
      <c r="L17" s="205">
        <v>9</v>
      </c>
      <c r="M17" s="206" t="s">
        <v>302</v>
      </c>
    </row>
    <row r="18" spans="1:19" ht="25.5">
      <c r="A18" s="195"/>
      <c r="B18" s="196">
        <f t="shared" ref="B18:K18" si="9">SUM(B9:B16)</f>
        <v>1</v>
      </c>
      <c r="C18" s="265">
        <f t="shared" si="9"/>
        <v>1</v>
      </c>
      <c r="D18" s="265">
        <f t="shared" si="9"/>
        <v>1</v>
      </c>
      <c r="E18" s="265">
        <f t="shared" si="9"/>
        <v>1</v>
      </c>
      <c r="F18" s="265">
        <f t="shared" si="9"/>
        <v>1</v>
      </c>
      <c r="G18" s="265">
        <f t="shared" si="9"/>
        <v>1</v>
      </c>
      <c r="H18" s="265">
        <f t="shared" si="9"/>
        <v>1</v>
      </c>
      <c r="I18" s="265">
        <f t="shared" si="9"/>
        <v>1</v>
      </c>
      <c r="J18" s="265">
        <f t="shared" si="9"/>
        <v>1</v>
      </c>
      <c r="K18" s="266">
        <f t="shared" si="9"/>
        <v>1</v>
      </c>
      <c r="L18" s="220" t="s">
        <v>33</v>
      </c>
      <c r="M18" s="70">
        <v>1</v>
      </c>
      <c r="N18" s="20" t="str">
        <f>VLOOKUP(M18,L9:M17,2)</f>
        <v>Gauteng</v>
      </c>
      <c r="O18" s="20"/>
      <c r="P18" s="20"/>
      <c r="Q18" s="20"/>
      <c r="R18" s="20"/>
    </row>
    <row r="19" spans="1:19">
      <c r="A19" s="20"/>
      <c r="B19" s="22"/>
      <c r="C19" s="22"/>
      <c r="D19" s="22"/>
      <c r="E19" s="22"/>
      <c r="F19" s="22"/>
      <c r="G19" s="22"/>
      <c r="H19" s="22"/>
      <c r="I19" s="22"/>
      <c r="J19" s="20"/>
      <c r="K19" s="20"/>
      <c r="L19" s="20"/>
      <c r="M19" s="20"/>
      <c r="N19" s="20"/>
      <c r="R19" s="3"/>
    </row>
    <row r="20" spans="1:19">
      <c r="A20" s="215"/>
      <c r="F20" s="3"/>
      <c r="G20" s="3"/>
      <c r="H20" s="3"/>
      <c r="I20" s="3"/>
      <c r="O20" s="72" t="s">
        <v>392</v>
      </c>
      <c r="P20" s="3"/>
      <c r="Q20" s="3"/>
      <c r="R20" s="3"/>
    </row>
    <row r="21" spans="1:19" ht="15.75">
      <c r="A21" s="3"/>
      <c r="F21" s="3"/>
      <c r="G21" s="3"/>
      <c r="H21" s="3"/>
      <c r="I21" s="3"/>
      <c r="L21" s="28" t="s">
        <v>36</v>
      </c>
      <c r="O21" s="72" t="s">
        <v>308</v>
      </c>
      <c r="P21" s="73"/>
      <c r="Q21" s="73"/>
      <c r="R21" s="73"/>
      <c r="S21" s="213"/>
    </row>
    <row r="22" spans="1:19">
      <c r="B22" s="3"/>
      <c r="C22" s="3"/>
      <c r="D22" s="3"/>
      <c r="F22" s="3"/>
      <c r="G22" s="3"/>
      <c r="H22" s="3"/>
      <c r="I22" s="3"/>
      <c r="L22" s="3">
        <v>1</v>
      </c>
      <c r="M22" s="1" t="s">
        <v>39</v>
      </c>
      <c r="R22" s="3"/>
    </row>
    <row r="23" spans="1:19">
      <c r="B23" s="3"/>
      <c r="C23" s="3"/>
      <c r="D23" s="3"/>
      <c r="F23" s="3"/>
      <c r="G23" s="3"/>
      <c r="H23" s="3"/>
      <c r="I23" s="3"/>
      <c r="L23" s="3">
        <v>2</v>
      </c>
      <c r="M23" s="1" t="s">
        <v>41</v>
      </c>
      <c r="R23" s="3"/>
    </row>
    <row r="24" spans="1:19">
      <c r="B24" s="3"/>
      <c r="C24" s="3"/>
      <c r="D24" s="3"/>
      <c r="F24" s="3"/>
      <c r="G24" s="3"/>
      <c r="H24" s="3"/>
      <c r="I24" s="3"/>
      <c r="R24" s="3"/>
    </row>
    <row r="25" spans="1:19">
      <c r="B25" s="3"/>
      <c r="C25" s="3"/>
      <c r="D25" s="3"/>
      <c r="F25" s="3"/>
      <c r="G25" s="3"/>
      <c r="H25" s="3"/>
      <c r="I25" s="3"/>
      <c r="L25" s="45" t="s">
        <v>204</v>
      </c>
      <c r="M25" s="71">
        <v>1</v>
      </c>
      <c r="N25" s="1" t="str">
        <f>VLOOKUP(M25,L22:M23,2)</f>
        <v>New Building</v>
      </c>
      <c r="R25" s="3"/>
    </row>
    <row r="26" spans="1:19" ht="16.5" thickBot="1">
      <c r="B26" s="28" t="s">
        <v>617</v>
      </c>
      <c r="E26" s="1"/>
      <c r="F26" s="3"/>
      <c r="G26" s="3"/>
      <c r="H26" s="3"/>
      <c r="I26" s="3"/>
      <c r="J26" s="3"/>
      <c r="K26" s="3"/>
      <c r="L26" s="3"/>
      <c r="M26" s="3"/>
    </row>
    <row r="27" spans="1:19" ht="15.75">
      <c r="B27" s="85"/>
      <c r="E27" s="1"/>
      <c r="F27" s="3"/>
      <c r="G27" s="3"/>
      <c r="H27" s="3"/>
      <c r="I27" s="3"/>
      <c r="J27" s="3"/>
      <c r="K27" s="3"/>
      <c r="L27" s="2750" t="s">
        <v>323</v>
      </c>
      <c r="M27" s="2750"/>
      <c r="R27" s="1">
        <v>1</v>
      </c>
    </row>
    <row r="28" spans="1:19">
      <c r="B28" s="86"/>
      <c r="E28" s="1"/>
      <c r="F28" s="3"/>
      <c r="G28" s="3"/>
      <c r="H28" s="3"/>
      <c r="I28" s="3"/>
      <c r="J28" s="3"/>
      <c r="K28" s="3"/>
      <c r="L28" s="3">
        <v>1</v>
      </c>
      <c r="M28" s="217"/>
      <c r="N28" s="217" t="s">
        <v>1383</v>
      </c>
    </row>
    <row r="29" spans="1:19" ht="13.5" thickBot="1">
      <c r="B29" s="87"/>
      <c r="E29" s="1"/>
      <c r="F29" s="3"/>
      <c r="G29" s="3"/>
      <c r="H29" s="3"/>
      <c r="I29" s="3"/>
      <c r="J29" s="3"/>
      <c r="K29" s="3"/>
      <c r="L29" s="3">
        <v>2</v>
      </c>
      <c r="M29" s="216" t="s">
        <v>1383</v>
      </c>
      <c r="N29" s="217" t="s">
        <v>1383</v>
      </c>
    </row>
    <row r="30" spans="1:19">
      <c r="B30" s="84" t="s">
        <v>588</v>
      </c>
      <c r="C30" s="81" t="s">
        <v>320</v>
      </c>
      <c r="D30" s="77"/>
      <c r="E30" s="77"/>
      <c r="F30" s="78"/>
      <c r="G30" s="3"/>
      <c r="H30" s="3"/>
      <c r="I30" s="3"/>
      <c r="J30" s="3"/>
      <c r="K30" s="3"/>
      <c r="L30" s="3">
        <v>3</v>
      </c>
      <c r="M30" s="216" t="s">
        <v>1384</v>
      </c>
      <c r="N30" s="217" t="s">
        <v>1384</v>
      </c>
    </row>
    <row r="31" spans="1:19">
      <c r="C31" s="82" t="s">
        <v>1172</v>
      </c>
      <c r="D31" s="79"/>
      <c r="E31" s="79"/>
      <c r="F31" s="80"/>
      <c r="G31" s="3"/>
      <c r="H31" s="3"/>
      <c r="I31" s="3"/>
      <c r="J31" s="3"/>
      <c r="K31" s="2751" t="s">
        <v>254</v>
      </c>
      <c r="L31" s="2751"/>
      <c r="M31" s="219">
        <v>1</v>
      </c>
      <c r="N31" s="218" t="str">
        <f>VLOOKUP(M31,L28:N30,3,)</f>
        <v>Green Star SA - Public Building Design</v>
      </c>
    </row>
    <row r="32" spans="1:19" ht="26.25" thickBot="1">
      <c r="A32" s="210" t="s">
        <v>412</v>
      </c>
      <c r="E32" s="1"/>
      <c r="G32" s="3"/>
      <c r="H32" s="3"/>
      <c r="I32" s="3"/>
      <c r="J32" s="3"/>
      <c r="K32" s="3"/>
      <c r="L32" s="3"/>
      <c r="M32" s="3"/>
      <c r="N32" s="3"/>
    </row>
    <row r="33" spans="1:30" ht="48" thickBot="1">
      <c r="B33" s="133" t="s">
        <v>843</v>
      </c>
      <c r="C33" s="134" t="s">
        <v>844</v>
      </c>
      <c r="D33" s="135" t="s">
        <v>845</v>
      </c>
      <c r="E33" s="136" t="s">
        <v>495</v>
      </c>
      <c r="F33" s="137" t="s">
        <v>119</v>
      </c>
      <c r="G33" s="138" t="s">
        <v>422</v>
      </c>
      <c r="H33" s="139" t="s">
        <v>1179</v>
      </c>
      <c r="I33" s="140" t="s">
        <v>1180</v>
      </c>
      <c r="J33" s="141" t="s">
        <v>1181</v>
      </c>
      <c r="K33" s="142" t="s">
        <v>25</v>
      </c>
      <c r="L33" s="134" t="s">
        <v>26</v>
      </c>
      <c r="M33" s="135" t="s">
        <v>27</v>
      </c>
      <c r="N33" s="136" t="s">
        <v>28</v>
      </c>
      <c r="O33" s="143" t="s">
        <v>29</v>
      </c>
      <c r="P33" s="11"/>
    </row>
    <row r="34" spans="1:30">
      <c r="B34" s="144" t="s">
        <v>314</v>
      </c>
      <c r="C34" s="103">
        <f>VLOOKUP(B34,A9:K9,$M$18+2)</f>
        <v>0.11</v>
      </c>
      <c r="D34" s="104">
        <f t="shared" ref="D34:D41" si="10">C34*100</f>
        <v>11</v>
      </c>
      <c r="E34" s="105">
        <f>Management!E22</f>
        <v>17</v>
      </c>
      <c r="F34" s="112">
        <f>'Credit Summary'!E19</f>
        <v>0</v>
      </c>
      <c r="G34" s="14">
        <f t="shared" ref="G34:G41" si="11">F34/E34</f>
        <v>0</v>
      </c>
      <c r="H34" s="116">
        <f t="shared" ref="H34:H41" si="12">C34*G34*100</f>
        <v>0</v>
      </c>
      <c r="I34" s="145">
        <f>'Credit Summary'!G19</f>
        <v>0</v>
      </c>
      <c r="J34" s="146">
        <f t="shared" ref="J34:J41" si="13">I34/E34</f>
        <v>0</v>
      </c>
      <c r="K34" s="147">
        <f t="shared" ref="K34:K41" si="14">C34*J34*100</f>
        <v>0</v>
      </c>
      <c r="L34" s="148">
        <f t="shared" ref="L34:L41" si="15">F34+I34</f>
        <v>0</v>
      </c>
      <c r="M34" s="149">
        <f t="shared" ref="M34:M41" si="16">L34/E34</f>
        <v>0</v>
      </c>
      <c r="N34" s="150">
        <f t="shared" ref="N34:N41" si="17">C34*M34*100</f>
        <v>0</v>
      </c>
      <c r="O34" s="151">
        <f>Management!I22</f>
        <v>0</v>
      </c>
      <c r="P34" s="18"/>
    </row>
    <row r="35" spans="1:30" ht="25.5">
      <c r="B35" s="152" t="s">
        <v>315</v>
      </c>
      <c r="C35" s="106">
        <f t="shared" ref="C35:C41" si="18">VLOOKUP(B35,A10:K10,$M$18+2)</f>
        <v>0.15</v>
      </c>
      <c r="D35" s="13">
        <f t="shared" si="10"/>
        <v>15</v>
      </c>
      <c r="E35" s="107">
        <f>'Credit Summary'!D36</f>
        <v>23</v>
      </c>
      <c r="F35" s="115">
        <f>'Credit Summary'!E36</f>
        <v>0</v>
      </c>
      <c r="G35" s="14">
        <f t="shared" si="11"/>
        <v>0</v>
      </c>
      <c r="H35" s="116">
        <f t="shared" si="12"/>
        <v>0</v>
      </c>
      <c r="I35" s="126">
        <f>'Credit Summary'!G36</f>
        <v>0</v>
      </c>
      <c r="J35" s="15">
        <f t="shared" si="13"/>
        <v>0</v>
      </c>
      <c r="K35" s="127">
        <f t="shared" si="14"/>
        <v>0</v>
      </c>
      <c r="L35" s="131">
        <f t="shared" si="15"/>
        <v>0</v>
      </c>
      <c r="M35" s="16">
        <f t="shared" si="16"/>
        <v>0</v>
      </c>
      <c r="N35" s="132">
        <f t="shared" si="17"/>
        <v>0</v>
      </c>
      <c r="O35" s="17">
        <f>IEQ!I32</f>
        <v>0</v>
      </c>
      <c r="P35" s="18"/>
    </row>
    <row r="36" spans="1:30">
      <c r="B36" s="152" t="s">
        <v>316</v>
      </c>
      <c r="C36" s="106">
        <f t="shared" si="18"/>
        <v>0.25</v>
      </c>
      <c r="D36" s="13">
        <f t="shared" si="10"/>
        <v>25</v>
      </c>
      <c r="E36" s="107">
        <f>'Credit Summary'!D45</f>
        <v>30</v>
      </c>
      <c r="F36" s="269">
        <f>'Credit Summary'!E45</f>
        <v>0</v>
      </c>
      <c r="G36" s="14">
        <f t="shared" si="11"/>
        <v>0</v>
      </c>
      <c r="H36" s="116">
        <f t="shared" si="12"/>
        <v>0</v>
      </c>
      <c r="I36" s="126">
        <f>'Credit Summary'!G45</f>
        <v>0</v>
      </c>
      <c r="J36" s="15">
        <f t="shared" si="13"/>
        <v>0</v>
      </c>
      <c r="K36" s="127">
        <f t="shared" si="14"/>
        <v>0</v>
      </c>
      <c r="L36" s="131">
        <f t="shared" si="15"/>
        <v>0</v>
      </c>
      <c r="M36" s="16">
        <f t="shared" si="16"/>
        <v>0</v>
      </c>
      <c r="N36" s="132">
        <f t="shared" si="17"/>
        <v>0</v>
      </c>
      <c r="O36" s="17">
        <f>Energy!I20</f>
        <v>0</v>
      </c>
      <c r="P36" s="18"/>
    </row>
    <row r="37" spans="1:30">
      <c r="B37" s="153" t="s">
        <v>1038</v>
      </c>
      <c r="C37" s="106">
        <f t="shared" si="18"/>
        <v>0.11</v>
      </c>
      <c r="D37" s="13">
        <f t="shared" si="10"/>
        <v>11</v>
      </c>
      <c r="E37" s="107">
        <f>'Credit Summary'!D54</f>
        <v>18</v>
      </c>
      <c r="F37" s="115">
        <f>'Credit Summary'!E54</f>
        <v>0</v>
      </c>
      <c r="G37" s="14">
        <f t="shared" si="11"/>
        <v>0</v>
      </c>
      <c r="H37" s="116">
        <f t="shared" si="12"/>
        <v>0</v>
      </c>
      <c r="I37" s="126">
        <f>'Credit Summary'!G54</f>
        <v>0</v>
      </c>
      <c r="J37" s="15">
        <f t="shared" si="13"/>
        <v>0</v>
      </c>
      <c r="K37" s="127">
        <f t="shared" si="14"/>
        <v>0</v>
      </c>
      <c r="L37" s="131">
        <f t="shared" si="15"/>
        <v>0</v>
      </c>
      <c r="M37" s="16">
        <f t="shared" si="16"/>
        <v>0</v>
      </c>
      <c r="N37" s="132">
        <f t="shared" si="17"/>
        <v>0</v>
      </c>
      <c r="O37" s="17">
        <f>Transport!I16</f>
        <v>0</v>
      </c>
      <c r="P37" s="18"/>
    </row>
    <row r="38" spans="1:30">
      <c r="B38" s="153" t="s">
        <v>317</v>
      </c>
      <c r="C38" s="106">
        <f t="shared" si="18"/>
        <v>0.12</v>
      </c>
      <c r="D38" s="13">
        <f t="shared" si="10"/>
        <v>12</v>
      </c>
      <c r="E38" s="107">
        <f>'Credit Summary'!D59</f>
        <v>15</v>
      </c>
      <c r="F38" s="115">
        <f>'Credit Summary'!E59</f>
        <v>0</v>
      </c>
      <c r="G38" s="14">
        <f t="shared" si="11"/>
        <v>0</v>
      </c>
      <c r="H38" s="116">
        <f t="shared" si="12"/>
        <v>0</v>
      </c>
      <c r="I38" s="126">
        <f>'Credit Summary'!G59</f>
        <v>0</v>
      </c>
      <c r="J38" s="15">
        <f t="shared" si="13"/>
        <v>0</v>
      </c>
      <c r="K38" s="127">
        <f t="shared" si="14"/>
        <v>0</v>
      </c>
      <c r="L38" s="131">
        <f t="shared" si="15"/>
        <v>0</v>
      </c>
      <c r="M38" s="16">
        <f t="shared" si="16"/>
        <v>0</v>
      </c>
      <c r="N38" s="132">
        <f t="shared" si="17"/>
        <v>0</v>
      </c>
      <c r="O38" s="17">
        <f>Water!I16</f>
        <v>0</v>
      </c>
      <c r="P38" s="18"/>
    </row>
    <row r="39" spans="1:30">
      <c r="B39" s="153" t="s">
        <v>318</v>
      </c>
      <c r="C39" s="106">
        <f t="shared" si="18"/>
        <v>0.12</v>
      </c>
      <c r="D39" s="13">
        <f t="shared" si="10"/>
        <v>12</v>
      </c>
      <c r="E39" s="107">
        <f>'Credit Summary'!D72</f>
        <v>24</v>
      </c>
      <c r="F39" s="115">
        <f>'Credit Summary'!E72</f>
        <v>0</v>
      </c>
      <c r="G39" s="14">
        <f t="shared" si="11"/>
        <v>0</v>
      </c>
      <c r="H39" s="116">
        <f t="shared" si="12"/>
        <v>0</v>
      </c>
      <c r="I39" s="126">
        <f>'Credit Summary'!G72</f>
        <v>0</v>
      </c>
      <c r="J39" s="15">
        <f t="shared" si="13"/>
        <v>0</v>
      </c>
      <c r="K39" s="127">
        <f t="shared" si="14"/>
        <v>0</v>
      </c>
      <c r="L39" s="131">
        <f t="shared" si="15"/>
        <v>0</v>
      </c>
      <c r="M39" s="16">
        <f t="shared" si="16"/>
        <v>0</v>
      </c>
      <c r="N39" s="132">
        <f t="shared" si="17"/>
        <v>0</v>
      </c>
      <c r="O39" s="17">
        <f>Materials!I26</f>
        <v>0</v>
      </c>
      <c r="P39" s="18"/>
    </row>
    <row r="40" spans="1:30">
      <c r="B40" s="153" t="s">
        <v>31</v>
      </c>
      <c r="C40" s="106">
        <f t="shared" si="18"/>
        <v>7.0000000000000007E-2</v>
      </c>
      <c r="D40" s="13">
        <f t="shared" si="10"/>
        <v>7.0000000000000009</v>
      </c>
      <c r="E40" s="108">
        <f>'Credit Summary'!D82</f>
        <v>12</v>
      </c>
      <c r="F40" s="117">
        <f>'Credit Summary'!E82</f>
        <v>0</v>
      </c>
      <c r="G40" s="14">
        <f t="shared" si="11"/>
        <v>0</v>
      </c>
      <c r="H40" s="116">
        <f t="shared" si="12"/>
        <v>0</v>
      </c>
      <c r="I40" s="128">
        <f>'Credit Summary'!G82</f>
        <v>0</v>
      </c>
      <c r="J40" s="15">
        <f t="shared" si="13"/>
        <v>0</v>
      </c>
      <c r="K40" s="127">
        <f t="shared" si="14"/>
        <v>0</v>
      </c>
      <c r="L40" s="131">
        <f t="shared" si="15"/>
        <v>0</v>
      </c>
      <c r="M40" s="16">
        <f t="shared" si="16"/>
        <v>0</v>
      </c>
      <c r="N40" s="132">
        <f t="shared" si="17"/>
        <v>0</v>
      </c>
      <c r="O40" s="17">
        <f>'Land Use &amp; Ecology'!I17</f>
        <v>0</v>
      </c>
      <c r="P40" s="18"/>
    </row>
    <row r="41" spans="1:30" ht="13.5" thickBot="1">
      <c r="B41" s="154" t="s">
        <v>253</v>
      </c>
      <c r="C41" s="155">
        <f t="shared" si="18"/>
        <v>7.0000000000000007E-2</v>
      </c>
      <c r="D41" s="156">
        <f t="shared" si="10"/>
        <v>7.0000000000000009</v>
      </c>
      <c r="E41" s="157">
        <f>'Credit Summary'!D91</f>
        <v>17</v>
      </c>
      <c r="F41" s="158">
        <f>'Credit Summary'!E91</f>
        <v>0</v>
      </c>
      <c r="G41" s="159">
        <f t="shared" si="11"/>
        <v>0</v>
      </c>
      <c r="H41" s="160">
        <f t="shared" si="12"/>
        <v>0</v>
      </c>
      <c r="I41" s="161">
        <f>'Credit Summary'!G91</f>
        <v>0</v>
      </c>
      <c r="J41" s="162">
        <f t="shared" si="13"/>
        <v>0</v>
      </c>
      <c r="K41" s="163">
        <f t="shared" si="14"/>
        <v>0</v>
      </c>
      <c r="L41" s="164">
        <f t="shared" si="15"/>
        <v>0</v>
      </c>
      <c r="M41" s="165">
        <f t="shared" si="16"/>
        <v>0</v>
      </c>
      <c r="N41" s="166">
        <f t="shared" si="17"/>
        <v>0</v>
      </c>
      <c r="O41" s="167">
        <f>Emissions!I21</f>
        <v>0</v>
      </c>
      <c r="P41" s="18"/>
    </row>
    <row r="42" spans="1:30" ht="18.75" thickBot="1">
      <c r="B42" s="168" t="s">
        <v>32</v>
      </c>
      <c r="C42" s="169">
        <f>SUM(C34:C41)</f>
        <v>1</v>
      </c>
      <c r="D42" s="170">
        <f>SUM(D34:D41)</f>
        <v>100</v>
      </c>
      <c r="E42" s="171">
        <f>SUM(E34:E41)</f>
        <v>156</v>
      </c>
      <c r="F42" s="172">
        <f>SUM(F34:F41)</f>
        <v>0</v>
      </c>
      <c r="G42" s="173"/>
      <c r="H42" s="174">
        <f>SUM(H34:H41)</f>
        <v>0</v>
      </c>
      <c r="I42" s="175">
        <f>SUM(I34:I41)</f>
        <v>0</v>
      </c>
      <c r="J42" s="176"/>
      <c r="K42" s="177">
        <f>SUM(K34:K41)</f>
        <v>0</v>
      </c>
      <c r="L42" s="175">
        <f>SUM(L34:L41)</f>
        <v>0</v>
      </c>
      <c r="M42" s="176"/>
      <c r="N42" s="177">
        <f>SUM(N34:N41)</f>
        <v>0</v>
      </c>
      <c r="O42" s="178"/>
      <c r="P42" s="21"/>
    </row>
    <row r="43" spans="1:30">
      <c r="B43" s="179" t="s">
        <v>313</v>
      </c>
      <c r="C43" s="121"/>
      <c r="D43" s="102"/>
      <c r="E43" s="122">
        <f>Innovation!E8</f>
        <v>5</v>
      </c>
      <c r="F43" s="124">
        <f>Innovation!F8</f>
        <v>0</v>
      </c>
      <c r="G43" s="102"/>
      <c r="H43" s="125">
        <f>F43</f>
        <v>0</v>
      </c>
      <c r="I43" s="129">
        <f>Innovation!G8</f>
        <v>0</v>
      </c>
      <c r="J43" s="24"/>
      <c r="K43" s="130">
        <f>I43</f>
        <v>0</v>
      </c>
      <c r="L43" s="129">
        <f>F43+I43</f>
        <v>0</v>
      </c>
      <c r="M43" s="23"/>
      <c r="N43" s="130">
        <f>L43</f>
        <v>0</v>
      </c>
      <c r="O43" s="25">
        <f>Innovation!I8</f>
        <v>0</v>
      </c>
      <c r="P43" s="26"/>
    </row>
    <row r="44" spans="1:30" ht="18.75" thickBot="1">
      <c r="A44" s="29"/>
      <c r="B44" s="180" t="s">
        <v>34</v>
      </c>
      <c r="C44" s="109"/>
      <c r="D44" s="123"/>
      <c r="E44" s="111"/>
      <c r="F44" s="118"/>
      <c r="G44" s="119"/>
      <c r="H44" s="120">
        <f>H42+H43</f>
        <v>0</v>
      </c>
      <c r="I44" s="118"/>
      <c r="J44" s="110"/>
      <c r="K44" s="120">
        <f>K42+K43</f>
        <v>0</v>
      </c>
      <c r="L44" s="118">
        <f>L42+L43</f>
        <v>0</v>
      </c>
      <c r="M44" s="110"/>
      <c r="N44" s="120">
        <f>N42+N43</f>
        <v>0</v>
      </c>
      <c r="O44" s="27">
        <f>SUM(O34:O43)</f>
        <v>0</v>
      </c>
      <c r="P44" s="21"/>
    </row>
    <row r="45" spans="1:30">
      <c r="A45" s="29"/>
    </row>
    <row r="46" spans="1:30" ht="13.5" thickBot="1">
      <c r="C46" s="49" t="s">
        <v>35</v>
      </c>
      <c r="F46" s="83" t="s">
        <v>410</v>
      </c>
      <c r="G46" s="29"/>
      <c r="H46" s="29"/>
      <c r="I46" s="29"/>
      <c r="J46" s="29"/>
      <c r="K46" s="83" t="s">
        <v>410</v>
      </c>
      <c r="N46" s="29"/>
      <c r="O46" s="29"/>
      <c r="P46" s="29"/>
    </row>
    <row r="47" spans="1:30">
      <c r="C47" s="30">
        <v>0</v>
      </c>
      <c r="D47" s="31" t="s">
        <v>37</v>
      </c>
      <c r="F47" s="32" t="s">
        <v>38</v>
      </c>
      <c r="G47" s="33"/>
      <c r="H47" s="33"/>
      <c r="I47" s="34"/>
      <c r="J47" s="35"/>
      <c r="K47" s="29"/>
      <c r="L47" s="32" t="s">
        <v>303</v>
      </c>
      <c r="M47" s="76" t="s">
        <v>312</v>
      </c>
      <c r="N47" s="54" t="s">
        <v>201</v>
      </c>
      <c r="O47" s="29"/>
      <c r="P47" s="29"/>
      <c r="Q47" s="29"/>
      <c r="V47" s="1"/>
      <c r="AD47" s="3"/>
    </row>
    <row r="48" spans="1:30">
      <c r="C48" s="36">
        <v>10</v>
      </c>
      <c r="D48" s="37" t="s">
        <v>40</v>
      </c>
      <c r="F48" s="235"/>
      <c r="G48" s="236"/>
      <c r="H48" s="236"/>
      <c r="I48" s="29"/>
      <c r="J48" s="39"/>
      <c r="K48" s="29"/>
      <c r="L48" s="57" t="s">
        <v>37</v>
      </c>
      <c r="M48" s="58">
        <f t="shared" ref="M48:M53" si="19">C48-C47</f>
        <v>10</v>
      </c>
      <c r="N48" s="74">
        <f t="shared" ref="N48:N54" si="20">MAX(0,MIN($M48,$H$44-$C47))</f>
        <v>0</v>
      </c>
      <c r="O48" s="29"/>
      <c r="P48" s="29"/>
      <c r="Q48" s="29"/>
      <c r="V48" s="1"/>
      <c r="AD48" s="3"/>
    </row>
    <row r="49" spans="2:30">
      <c r="C49" s="36">
        <v>20</v>
      </c>
      <c r="D49" s="37" t="s">
        <v>42</v>
      </c>
      <c r="F49" s="38"/>
      <c r="G49" s="29"/>
      <c r="H49" s="237" t="s">
        <v>306</v>
      </c>
      <c r="I49" s="40" t="s">
        <v>201</v>
      </c>
      <c r="J49" s="41" t="s">
        <v>202</v>
      </c>
      <c r="K49" s="29"/>
      <c r="L49" s="59" t="s">
        <v>40</v>
      </c>
      <c r="M49" s="58">
        <f t="shared" si="19"/>
        <v>10</v>
      </c>
      <c r="N49" s="74">
        <f t="shared" si="20"/>
        <v>0</v>
      </c>
      <c r="O49" s="40"/>
      <c r="P49" s="40"/>
      <c r="Q49" s="40"/>
      <c r="V49" s="1"/>
      <c r="AD49" s="3"/>
    </row>
    <row r="50" spans="2:30">
      <c r="C50" s="36">
        <v>30</v>
      </c>
      <c r="D50" s="37" t="s">
        <v>203</v>
      </c>
      <c r="F50" s="38"/>
      <c r="G50" s="42" t="str">
        <f t="shared" ref="G50:G57" si="21">B34</f>
        <v>Management</v>
      </c>
      <c r="H50" s="238">
        <v>1</v>
      </c>
      <c r="I50" s="43">
        <f t="shared" ref="I50:I57" si="22">G34</f>
        <v>0</v>
      </c>
      <c r="J50" s="44">
        <f t="shared" ref="J50:J57" si="23">J34</f>
        <v>0</v>
      </c>
      <c r="K50" s="29"/>
      <c r="L50" s="59" t="s">
        <v>42</v>
      </c>
      <c r="M50" s="58">
        <f t="shared" si="19"/>
        <v>10</v>
      </c>
      <c r="N50" s="74">
        <f t="shared" si="20"/>
        <v>0</v>
      </c>
      <c r="O50" s="29"/>
      <c r="P50" s="29"/>
      <c r="Q50" s="29"/>
      <c r="V50" s="1"/>
      <c r="AD50" s="3"/>
    </row>
    <row r="51" spans="2:30">
      <c r="C51" s="46">
        <v>45</v>
      </c>
      <c r="D51" s="47" t="s">
        <v>205</v>
      </c>
      <c r="F51" s="38"/>
      <c r="G51" s="42" t="str">
        <f t="shared" si="21"/>
        <v>Indoor Environment Quality</v>
      </c>
      <c r="H51" s="238">
        <v>1</v>
      </c>
      <c r="I51" s="43">
        <f t="shared" si="22"/>
        <v>0</v>
      </c>
      <c r="J51" s="44">
        <f t="shared" si="23"/>
        <v>0</v>
      </c>
      <c r="K51" s="29"/>
      <c r="L51" s="59" t="s">
        <v>203</v>
      </c>
      <c r="M51" s="58">
        <f t="shared" si="19"/>
        <v>15</v>
      </c>
      <c r="N51" s="74">
        <f t="shared" si="20"/>
        <v>0</v>
      </c>
      <c r="O51" s="29"/>
      <c r="P51" s="29"/>
      <c r="Q51" s="29"/>
      <c r="V51" s="1"/>
      <c r="AD51" s="3"/>
    </row>
    <row r="52" spans="2:30">
      <c r="C52" s="46">
        <v>60</v>
      </c>
      <c r="D52" s="47" t="s">
        <v>615</v>
      </c>
      <c r="F52" s="38"/>
      <c r="G52" s="42" t="str">
        <f t="shared" si="21"/>
        <v>Energy</v>
      </c>
      <c r="H52" s="238">
        <v>1</v>
      </c>
      <c r="I52" s="43">
        <f t="shared" si="22"/>
        <v>0</v>
      </c>
      <c r="J52" s="44">
        <f t="shared" si="23"/>
        <v>0</v>
      </c>
      <c r="K52" s="29"/>
      <c r="L52" s="64" t="s">
        <v>205</v>
      </c>
      <c r="M52" s="58">
        <f t="shared" si="19"/>
        <v>15</v>
      </c>
      <c r="N52" s="74">
        <f t="shared" si="20"/>
        <v>0</v>
      </c>
      <c r="O52" s="29"/>
      <c r="P52" s="29"/>
      <c r="Q52" s="29"/>
      <c r="V52" s="1"/>
      <c r="AD52" s="3"/>
    </row>
    <row r="53" spans="2:30" ht="13.5" thickBot="1">
      <c r="C53" s="211">
        <v>75</v>
      </c>
      <c r="D53" s="48" t="s">
        <v>414</v>
      </c>
      <c r="F53" s="38"/>
      <c r="G53" s="42" t="str">
        <f t="shared" si="21"/>
        <v>Transport</v>
      </c>
      <c r="H53" s="238">
        <v>1</v>
      </c>
      <c r="I53" s="43">
        <f t="shared" si="22"/>
        <v>0</v>
      </c>
      <c r="J53" s="44">
        <f t="shared" si="23"/>
        <v>0</v>
      </c>
      <c r="K53" s="29"/>
      <c r="L53" s="64" t="s">
        <v>615</v>
      </c>
      <c r="M53" s="58">
        <f t="shared" si="19"/>
        <v>15</v>
      </c>
      <c r="N53" s="74">
        <f t="shared" si="20"/>
        <v>0</v>
      </c>
      <c r="O53" s="29"/>
      <c r="P53" s="29"/>
      <c r="Q53" s="29"/>
      <c r="V53" s="1"/>
      <c r="AD53" s="3"/>
    </row>
    <row r="54" spans="2:30">
      <c r="B54" s="94" t="s">
        <v>413</v>
      </c>
      <c r="C54" s="212"/>
      <c r="F54" s="38"/>
      <c r="G54" s="42" t="str">
        <f t="shared" si="21"/>
        <v>Water</v>
      </c>
      <c r="H54" s="238">
        <v>1</v>
      </c>
      <c r="I54" s="43">
        <f t="shared" si="22"/>
        <v>0</v>
      </c>
      <c r="J54" s="44">
        <f t="shared" si="23"/>
        <v>0</v>
      </c>
      <c r="K54" s="29"/>
      <c r="L54" s="65" t="s">
        <v>616</v>
      </c>
      <c r="M54" s="58">
        <f>100-C53</f>
        <v>25</v>
      </c>
      <c r="N54" s="74">
        <f t="shared" si="20"/>
        <v>0</v>
      </c>
      <c r="O54" s="29"/>
      <c r="P54" s="29"/>
      <c r="Q54" s="29"/>
      <c r="V54" s="1"/>
      <c r="AD54" s="3"/>
    </row>
    <row r="55" spans="2:30">
      <c r="B55" s="267" t="s">
        <v>228</v>
      </c>
      <c r="C55" s="271" t="str">
        <f>IF(O44&gt;0,"ERROR - Check category sheets","")</f>
        <v/>
      </c>
      <c r="F55" s="38"/>
      <c r="G55" s="42" t="str">
        <f t="shared" si="21"/>
        <v>Materials</v>
      </c>
      <c r="H55" s="238">
        <v>1</v>
      </c>
      <c r="I55" s="43">
        <f t="shared" si="22"/>
        <v>0</v>
      </c>
      <c r="J55" s="44">
        <f t="shared" si="23"/>
        <v>0</v>
      </c>
      <c r="K55" s="29"/>
      <c r="L55" s="38"/>
      <c r="M55" s="29"/>
      <c r="N55" s="60"/>
      <c r="O55" s="29"/>
      <c r="P55" s="29"/>
      <c r="Q55" s="29"/>
      <c r="V55" s="1"/>
      <c r="AD55" s="3"/>
    </row>
    <row r="56" spans="2:30" ht="13.5" thickBot="1">
      <c r="B56" s="97"/>
      <c r="C56" s="98"/>
      <c r="F56" s="38"/>
      <c r="G56" s="42" t="str">
        <f t="shared" si="21"/>
        <v>Land use &amp; Ecology</v>
      </c>
      <c r="H56" s="238">
        <v>1</v>
      </c>
      <c r="I56" s="43">
        <f t="shared" si="22"/>
        <v>0</v>
      </c>
      <c r="J56" s="44">
        <f t="shared" si="23"/>
        <v>0</v>
      </c>
      <c r="K56" s="29"/>
      <c r="L56" s="75" t="s">
        <v>307</v>
      </c>
      <c r="M56" s="52"/>
      <c r="N56" s="67">
        <f>$K$44</f>
        <v>0</v>
      </c>
      <c r="O56" s="29"/>
      <c r="P56" s="29"/>
      <c r="Q56" s="29"/>
      <c r="V56" s="1"/>
      <c r="AD56" s="3"/>
    </row>
    <row r="57" spans="2:30">
      <c r="B57" s="267" t="s">
        <v>409</v>
      </c>
      <c r="C57" s="98"/>
      <c r="F57" s="38"/>
      <c r="G57" s="42" t="str">
        <f t="shared" si="21"/>
        <v>Emissions</v>
      </c>
      <c r="H57" s="238">
        <v>1</v>
      </c>
      <c r="I57" s="43">
        <f t="shared" si="22"/>
        <v>0</v>
      </c>
      <c r="J57" s="44">
        <f t="shared" si="23"/>
        <v>0</v>
      </c>
      <c r="K57" s="29"/>
      <c r="L57" s="29"/>
      <c r="M57" s="29"/>
      <c r="N57" s="29"/>
      <c r="O57" s="29"/>
      <c r="P57" s="29"/>
      <c r="Q57" s="29"/>
      <c r="V57" s="1"/>
      <c r="AD57" s="3"/>
    </row>
    <row r="58" spans="2:30" ht="13.5" thickBot="1">
      <c r="B58" s="270" t="str">
        <f>IF(B30="Yes","","Mandatory Requirements not met, Green Star SA Certified Rating not possible")</f>
        <v/>
      </c>
      <c r="C58" s="100"/>
      <c r="F58" s="50"/>
      <c r="G58" s="51"/>
      <c r="H58" s="52"/>
      <c r="I58" s="52"/>
      <c r="J58" s="53"/>
      <c r="K58" s="29"/>
      <c r="L58" s="29"/>
      <c r="M58" s="29"/>
      <c r="N58" s="29"/>
      <c r="O58" s="29"/>
      <c r="P58" s="29"/>
    </row>
    <row r="59" spans="2:30">
      <c r="J59" s="29"/>
      <c r="K59" s="29"/>
      <c r="L59" s="29"/>
      <c r="M59" s="29"/>
      <c r="N59" s="29"/>
      <c r="O59" s="29"/>
      <c r="P59" s="29"/>
    </row>
    <row r="60" spans="2:30">
      <c r="B60" s="88" t="s">
        <v>309</v>
      </c>
      <c r="C60" s="89"/>
      <c r="J60" s="29"/>
      <c r="K60" s="29"/>
      <c r="L60" s="29"/>
      <c r="M60" s="29"/>
      <c r="N60" s="29"/>
      <c r="O60" s="29"/>
      <c r="P60" s="29"/>
    </row>
    <row r="61" spans="2:30" ht="13.5" thickBot="1">
      <c r="B61" s="90" t="s">
        <v>310</v>
      </c>
      <c r="C61" s="91" t="str">
        <f>VLOOKUP($H$44,$C$47:$D$53,2)</f>
        <v>No Rating</v>
      </c>
      <c r="F61" s="83" t="s">
        <v>410</v>
      </c>
      <c r="G61" s="29"/>
      <c r="H61" s="29"/>
      <c r="I61" s="29"/>
      <c r="J61" s="29"/>
      <c r="K61" s="29"/>
      <c r="L61" s="83" t="s">
        <v>410</v>
      </c>
      <c r="M61" s="29"/>
      <c r="N61" s="29"/>
      <c r="O61" s="29"/>
      <c r="P61" s="29"/>
    </row>
    <row r="62" spans="2:30">
      <c r="B62" s="92" t="s">
        <v>311</v>
      </c>
      <c r="C62" s="93" t="str">
        <f>VLOOKUP($N$44,$C$47:$D$53,2)</f>
        <v>No Rating</v>
      </c>
      <c r="F62" s="55" t="s">
        <v>304</v>
      </c>
      <c r="G62" s="56"/>
      <c r="H62" s="34"/>
      <c r="I62" s="34"/>
      <c r="J62" s="35"/>
      <c r="L62" s="32" t="s">
        <v>305</v>
      </c>
      <c r="M62" s="34"/>
      <c r="N62" s="34"/>
      <c r="O62" s="34"/>
      <c r="P62" s="35"/>
    </row>
    <row r="63" spans="2:30">
      <c r="F63" s="38"/>
      <c r="G63" s="18"/>
      <c r="H63" s="29"/>
      <c r="I63" s="29"/>
      <c r="J63" s="41"/>
      <c r="L63" s="38"/>
      <c r="M63" s="29"/>
      <c r="N63" s="29"/>
      <c r="O63" s="29"/>
      <c r="P63" s="39"/>
    </row>
    <row r="64" spans="2:30">
      <c r="B64" s="49" t="s">
        <v>415</v>
      </c>
      <c r="F64" s="38"/>
      <c r="G64" s="18"/>
      <c r="H64" s="40" t="s">
        <v>306</v>
      </c>
      <c r="I64" s="40" t="s">
        <v>201</v>
      </c>
      <c r="J64" s="41" t="s">
        <v>202</v>
      </c>
      <c r="L64" s="38"/>
      <c r="M64" s="29"/>
      <c r="N64" s="40" t="s">
        <v>306</v>
      </c>
      <c r="O64" s="40" t="s">
        <v>201</v>
      </c>
      <c r="P64" s="41" t="s">
        <v>202</v>
      </c>
    </row>
    <row r="65" spans="2:16">
      <c r="B65" s="1" t="str">
        <f>IF(OR(ISBLANK(Energy!F5), ISBLANK('Land Use &amp; Ecology'!F5)),"Conditional requirements not met.",IF(H44&lt;C51,"Minimal standards for Green Star SA certification not met.","Once certified, this score would equate to a " &amp; C61 &amp; " rating."))</f>
        <v>Conditional requirements not met.</v>
      </c>
      <c r="F65" s="38"/>
      <c r="G65" s="42" t="str">
        <f>B34</f>
        <v>Management</v>
      </c>
      <c r="H65" s="18">
        <f>E34</f>
        <v>17</v>
      </c>
      <c r="I65" s="29"/>
      <c r="J65" s="60"/>
      <c r="L65" s="38"/>
      <c r="M65" s="42" t="str">
        <f>B34</f>
        <v>Management</v>
      </c>
      <c r="O65" s="29"/>
      <c r="P65" s="39"/>
    </row>
    <row r="66" spans="2:16">
      <c r="F66" s="38"/>
      <c r="G66" s="42"/>
      <c r="H66" s="29"/>
      <c r="I66" s="18">
        <f>F34</f>
        <v>0</v>
      </c>
      <c r="J66" s="60">
        <f>I34</f>
        <v>0</v>
      </c>
      <c r="L66" s="38"/>
      <c r="M66" s="42"/>
      <c r="N66" s="61">
        <f>D34</f>
        <v>11</v>
      </c>
      <c r="O66" s="62">
        <f>H34</f>
        <v>0</v>
      </c>
      <c r="P66" s="63">
        <f>K34</f>
        <v>0</v>
      </c>
    </row>
    <row r="67" spans="2:16">
      <c r="F67" s="38"/>
      <c r="G67" s="42" t="s">
        <v>319</v>
      </c>
      <c r="H67" s="18">
        <f>E35</f>
        <v>23</v>
      </c>
      <c r="I67" s="29"/>
      <c r="J67" s="60"/>
      <c r="L67" s="38"/>
      <c r="M67" s="42" t="s">
        <v>319</v>
      </c>
      <c r="N67" s="29"/>
      <c r="O67" s="29"/>
      <c r="P67" s="39"/>
    </row>
    <row r="68" spans="2:16">
      <c r="F68" s="38"/>
      <c r="G68" s="42"/>
      <c r="H68" s="29"/>
      <c r="I68" s="18">
        <f>F35</f>
        <v>0</v>
      </c>
      <c r="J68" s="60">
        <f>I35</f>
        <v>0</v>
      </c>
      <c r="L68" s="38"/>
      <c r="M68" s="42"/>
      <c r="N68" s="61">
        <f>D35</f>
        <v>15</v>
      </c>
      <c r="O68" s="62">
        <f>H35</f>
        <v>0</v>
      </c>
      <c r="P68" s="63">
        <f>K35</f>
        <v>0</v>
      </c>
    </row>
    <row r="69" spans="2:16">
      <c r="F69" s="38"/>
      <c r="G69" s="42" t="str">
        <f>B36</f>
        <v>Energy</v>
      </c>
      <c r="H69" s="18">
        <f>E36</f>
        <v>30</v>
      </c>
      <c r="I69" s="29"/>
      <c r="J69" s="60"/>
      <c r="L69" s="38"/>
      <c r="M69" s="42" t="str">
        <f>B36</f>
        <v>Energy</v>
      </c>
      <c r="N69" s="29"/>
      <c r="O69" s="29"/>
      <c r="P69" s="39"/>
    </row>
    <row r="70" spans="2:16">
      <c r="B70" s="228" t="s">
        <v>299</v>
      </c>
      <c r="F70" s="38"/>
      <c r="G70" s="42"/>
      <c r="H70" s="29"/>
      <c r="I70" s="18">
        <f>F36</f>
        <v>0</v>
      </c>
      <c r="J70" s="60">
        <f>I36</f>
        <v>0</v>
      </c>
      <c r="L70" s="38"/>
      <c r="M70" s="42"/>
      <c r="N70" s="61">
        <f>D36</f>
        <v>25</v>
      </c>
      <c r="O70" s="62">
        <f>H36</f>
        <v>0</v>
      </c>
      <c r="P70" s="63">
        <f>K36</f>
        <v>0</v>
      </c>
    </row>
    <row r="71" spans="2:16">
      <c r="B71" s="228" t="s">
        <v>300</v>
      </c>
      <c r="C71" s="1" t="str">
        <f>IF(ISBLANK(Energy!F5),"Not met","Met")</f>
        <v>Met</v>
      </c>
      <c r="F71" s="38"/>
      <c r="G71" s="42" t="str">
        <f>B37</f>
        <v>Transport</v>
      </c>
      <c r="H71" s="18">
        <f>E37</f>
        <v>18</v>
      </c>
      <c r="I71" s="29"/>
      <c r="J71" s="60"/>
      <c r="L71" s="38"/>
      <c r="M71" s="42" t="str">
        <f>B37</f>
        <v>Transport</v>
      </c>
      <c r="N71" s="29"/>
      <c r="O71" s="29"/>
      <c r="P71" s="39"/>
    </row>
    <row r="72" spans="2:16">
      <c r="B72" s="19" t="s">
        <v>301</v>
      </c>
      <c r="C72" s="1" t="str">
        <f>IF(ISBLANK('Land Use &amp; Ecology'!F5),"Not met","Met")</f>
        <v>Not met</v>
      </c>
      <c r="D72" s="29"/>
      <c r="F72" s="38"/>
      <c r="G72" s="42"/>
      <c r="H72" s="29"/>
      <c r="I72" s="18">
        <f>F37</f>
        <v>0</v>
      </c>
      <c r="J72" s="60">
        <f>I37</f>
        <v>0</v>
      </c>
      <c r="L72" s="38"/>
      <c r="M72" s="42"/>
      <c r="N72" s="61">
        <f>D37</f>
        <v>11</v>
      </c>
      <c r="O72" s="62">
        <f>H37</f>
        <v>0</v>
      </c>
      <c r="P72" s="63">
        <f>K37</f>
        <v>0</v>
      </c>
    </row>
    <row r="73" spans="2:16">
      <c r="D73" s="58"/>
      <c r="F73" s="38"/>
      <c r="G73" s="42" t="str">
        <f>B38</f>
        <v>Water</v>
      </c>
      <c r="H73" s="18">
        <f>E38</f>
        <v>15</v>
      </c>
      <c r="I73" s="29"/>
      <c r="J73" s="60"/>
      <c r="L73" s="38"/>
      <c r="M73" s="42" t="str">
        <f>B38</f>
        <v>Water</v>
      </c>
      <c r="N73" s="29"/>
      <c r="O73" s="29"/>
      <c r="P73" s="39"/>
    </row>
    <row r="74" spans="2:16">
      <c r="D74" s="58"/>
      <c r="F74" s="38"/>
      <c r="G74" s="42"/>
      <c r="H74" s="29"/>
      <c r="I74" s="18">
        <f>F38</f>
        <v>0</v>
      </c>
      <c r="J74" s="60">
        <f>I38</f>
        <v>0</v>
      </c>
      <c r="L74" s="38"/>
      <c r="M74" s="42"/>
      <c r="N74" s="61">
        <f>D38</f>
        <v>12</v>
      </c>
      <c r="O74" s="62">
        <f>H38</f>
        <v>0</v>
      </c>
      <c r="P74" s="63">
        <f>K38</f>
        <v>0</v>
      </c>
    </row>
    <row r="75" spans="2:16">
      <c r="B75" s="465" t="s">
        <v>627</v>
      </c>
      <c r="F75" s="38"/>
      <c r="G75" s="42" t="str">
        <f>B39</f>
        <v>Materials</v>
      </c>
      <c r="H75" s="18">
        <f>E39</f>
        <v>24</v>
      </c>
      <c r="I75" s="29"/>
      <c r="J75" s="60"/>
      <c r="L75" s="38"/>
      <c r="M75" s="42" t="str">
        <f>B39</f>
        <v>Materials</v>
      </c>
      <c r="N75" s="29"/>
      <c r="O75" s="29"/>
      <c r="P75" s="39"/>
    </row>
    <row r="76" spans="2:16">
      <c r="B76" s="217" t="s">
        <v>628</v>
      </c>
      <c r="C76" s="69"/>
      <c r="F76" s="38"/>
      <c r="G76" s="42"/>
      <c r="H76" s="29"/>
      <c r="I76" s="18">
        <f>F39</f>
        <v>0</v>
      </c>
      <c r="J76" s="60">
        <f>I39</f>
        <v>0</v>
      </c>
      <c r="L76" s="38"/>
      <c r="M76" s="42"/>
      <c r="N76" s="61">
        <f>D39</f>
        <v>12</v>
      </c>
      <c r="O76" s="62">
        <f>H39</f>
        <v>0</v>
      </c>
      <c r="P76" s="63">
        <f>K39</f>
        <v>0</v>
      </c>
    </row>
    <row r="77" spans="2:16">
      <c r="B77" s="228" t="s">
        <v>629</v>
      </c>
      <c r="F77" s="38"/>
      <c r="G77" s="42" t="str">
        <f>B40</f>
        <v>Land use &amp; Ecology</v>
      </c>
      <c r="H77" s="18">
        <f>E40</f>
        <v>12</v>
      </c>
      <c r="I77" s="29"/>
      <c r="J77" s="60"/>
      <c r="L77" s="38"/>
      <c r="M77" s="42" t="str">
        <f>B40</f>
        <v>Land use &amp; Ecology</v>
      </c>
      <c r="N77" s="29"/>
      <c r="O77" s="29"/>
      <c r="P77" s="39"/>
    </row>
    <row r="78" spans="2:16">
      <c r="B78" s="228" t="s">
        <v>630</v>
      </c>
      <c r="F78" s="38"/>
      <c r="G78" s="42"/>
      <c r="H78" s="29"/>
      <c r="I78" s="18">
        <f>F40</f>
        <v>0</v>
      </c>
      <c r="J78" s="66">
        <f>I40</f>
        <v>0</v>
      </c>
      <c r="L78" s="38"/>
      <c r="M78" s="42"/>
      <c r="N78" s="61">
        <f>D40</f>
        <v>7.0000000000000009</v>
      </c>
      <c r="O78" s="62">
        <f>H40</f>
        <v>0</v>
      </c>
      <c r="P78" s="63">
        <f>K40</f>
        <v>0</v>
      </c>
    </row>
    <row r="79" spans="2:16">
      <c r="F79" s="38"/>
      <c r="G79" s="40" t="str">
        <f>B41</f>
        <v>Emissions</v>
      </c>
      <c r="H79" s="18">
        <f>E41</f>
        <v>17</v>
      </c>
      <c r="I79" s="29"/>
      <c r="J79" s="60"/>
      <c r="L79" s="38"/>
      <c r="M79" s="42" t="str">
        <f>B41</f>
        <v>Emissions</v>
      </c>
      <c r="N79" s="29"/>
      <c r="O79" s="29"/>
      <c r="P79" s="39"/>
    </row>
    <row r="80" spans="2:16">
      <c r="F80" s="38"/>
      <c r="G80" s="18"/>
      <c r="H80" s="40"/>
      <c r="I80" s="18">
        <f>F41</f>
        <v>0</v>
      </c>
      <c r="J80" s="60">
        <f>I41</f>
        <v>0</v>
      </c>
      <c r="L80" s="38"/>
      <c r="M80" s="42"/>
      <c r="N80" s="61">
        <f>D41</f>
        <v>7.0000000000000009</v>
      </c>
      <c r="O80" s="62">
        <f>H41</f>
        <v>0</v>
      </c>
      <c r="P80" s="63">
        <f>K41</f>
        <v>0</v>
      </c>
    </row>
    <row r="81" spans="1:16" ht="13.5" thickBot="1">
      <c r="F81" s="50"/>
      <c r="G81" s="52"/>
      <c r="H81" s="52"/>
      <c r="I81" s="52"/>
      <c r="J81" s="53"/>
      <c r="L81" s="50"/>
      <c r="M81" s="52"/>
      <c r="N81" s="52"/>
      <c r="O81" s="52"/>
      <c r="P81" s="53"/>
    </row>
    <row r="83" spans="1:16">
      <c r="B83" s="465" t="s">
        <v>715</v>
      </c>
    </row>
    <row r="84" spans="1:16">
      <c r="A84" s="1">
        <v>1</v>
      </c>
      <c r="B84" s="1" t="s">
        <v>714</v>
      </c>
    </row>
    <row r="85" spans="1:16">
      <c r="A85" s="1">
        <v>2</v>
      </c>
      <c r="B85" s="1" t="s">
        <v>716</v>
      </c>
    </row>
    <row r="86" spans="1:16">
      <c r="A86" s="1">
        <v>3</v>
      </c>
      <c r="B86" s="1" t="s">
        <v>717</v>
      </c>
    </row>
    <row r="87" spans="1:16">
      <c r="A87" s="1">
        <v>4</v>
      </c>
      <c r="B87" s="228" t="s">
        <v>710</v>
      </c>
    </row>
    <row r="89" spans="1:16">
      <c r="B89" s="465" t="s">
        <v>978</v>
      </c>
    </row>
    <row r="93" spans="1:16">
      <c r="A93" s="1">
        <v>1</v>
      </c>
      <c r="B93" s="1" t="s">
        <v>1385</v>
      </c>
    </row>
    <row r="94" spans="1:16">
      <c r="A94" s="1">
        <v>2</v>
      </c>
      <c r="B94" s="1" t="s">
        <v>389</v>
      </c>
    </row>
    <row r="95" spans="1:16">
      <c r="A95" s="1">
        <v>3</v>
      </c>
      <c r="B95" s="1" t="s">
        <v>402</v>
      </c>
    </row>
    <row r="96" spans="1:16">
      <c r="A96" s="1">
        <v>4</v>
      </c>
      <c r="B96" s="1" t="s">
        <v>403</v>
      </c>
    </row>
    <row r="97" spans="1:2">
      <c r="A97" s="1">
        <v>5</v>
      </c>
      <c r="B97" s="1" t="s">
        <v>404</v>
      </c>
    </row>
    <row r="98" spans="1:2">
      <c r="A98" s="1">
        <v>6</v>
      </c>
      <c r="B98" s="1" t="s">
        <v>405</v>
      </c>
    </row>
    <row r="99" spans="1:2">
      <c r="A99" s="1">
        <v>7</v>
      </c>
      <c r="B99" s="1" t="s">
        <v>406</v>
      </c>
    </row>
  </sheetData>
  <sheetProtection selectLockedCells="1" selectUnlockedCells="1"/>
  <mergeCells count="2">
    <mergeCell ref="L27:M27"/>
    <mergeCell ref="K31:L31"/>
  </mergeCells>
  <phoneticPr fontId="12" type="noConversion"/>
  <pageMargins left="0.39370078740157483" right="0.39370078740157483" top="0.39370078740157483" bottom="0.78740157480314965" header="0.39370078740157483" footer="0.39370078740157483"/>
  <pageSetup paperSize="9" scale="58" fitToHeight="2" orientation="landscape" blackAndWhite="1" horizontalDpi="300" verticalDpi="300" r:id="rId1"/>
  <headerFooter alignWithMargins="0">
    <oddFooter>&amp;L&amp;F&amp;C&amp;P&amp;N&amp;R&amp;A</oddFooter>
  </headerFooter>
  <rowBreaks count="1" manualBreakCount="1">
    <brk id="45" max="16383" man="1"/>
  </rowBreaks>
  <colBreaks count="1" manualBreakCount="1">
    <brk id="1"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29"/>
  <sheetViews>
    <sheetView zoomScaleNormal="100" zoomScaleSheetLayoutView="80" workbookViewId="0">
      <selection activeCell="B62" sqref="B62"/>
    </sheetView>
  </sheetViews>
  <sheetFormatPr defaultColWidth="7.875" defaultRowHeight="12.75"/>
  <cols>
    <col min="1" max="1" width="3.375" style="772" customWidth="1"/>
    <col min="2" max="2" width="103" style="772" customWidth="1"/>
    <col min="3" max="3" width="1.25" style="772" customWidth="1"/>
    <col min="4" max="4" width="10.375" style="772" customWidth="1"/>
    <col min="5" max="16384" width="7.875" style="772"/>
  </cols>
  <sheetData>
    <row r="1" spans="1:7" s="756" customFormat="1" ht="44.25" customHeight="1">
      <c r="A1" s="1980"/>
      <c r="B1" s="757"/>
      <c r="C1" s="1980"/>
    </row>
    <row r="2" spans="1:7" s="756" customFormat="1">
      <c r="A2" s="1980"/>
      <c r="B2" s="1980"/>
      <c r="C2" s="1980"/>
    </row>
    <row r="3" spans="1:7" s="756" customFormat="1">
      <c r="A3" s="1980"/>
      <c r="B3" s="922" t="s">
        <v>2105</v>
      </c>
      <c r="C3" s="758"/>
      <c r="E3" s="758"/>
      <c r="G3" s="758"/>
    </row>
    <row r="4" spans="1:7" s="756" customFormat="1" ht="6.75" customHeight="1">
      <c r="A4" s="1980"/>
      <c r="B4" s="1980"/>
      <c r="C4" s="1980"/>
    </row>
    <row r="5" spans="1:7" s="756" customFormat="1" ht="8.25" customHeight="1">
      <c r="A5" s="1351"/>
      <c r="B5" s="1351"/>
      <c r="C5" s="1980"/>
    </row>
    <row r="6" spans="1:7" s="756" customFormat="1" ht="6.75" customHeight="1">
      <c r="A6" s="2176"/>
      <c r="B6" s="2176"/>
      <c r="C6" s="2176"/>
    </row>
    <row r="7" spans="1:7" s="756" customFormat="1" ht="54.75" customHeight="1">
      <c r="A7" s="759"/>
      <c r="B7" s="760" t="s">
        <v>567</v>
      </c>
      <c r="C7" s="1980"/>
    </row>
    <row r="8" spans="1:7" ht="12.75" customHeight="1">
      <c r="B8" s="773"/>
    </row>
    <row r="9" spans="1:7" ht="12.75" customHeight="1">
      <c r="A9" s="774" t="s">
        <v>907</v>
      </c>
      <c r="B9" s="775" t="s">
        <v>1002</v>
      </c>
    </row>
    <row r="10" spans="1:7" ht="9" customHeight="1">
      <c r="A10" s="774"/>
      <c r="B10" s="775"/>
    </row>
    <row r="11" spans="1:7" ht="25.5" customHeight="1">
      <c r="A11" s="774" t="s">
        <v>908</v>
      </c>
      <c r="B11" s="775" t="s">
        <v>1003</v>
      </c>
    </row>
    <row r="12" spans="1:7" ht="7.5" customHeight="1">
      <c r="A12" s="774"/>
      <c r="B12" s="775"/>
    </row>
    <row r="13" spans="1:7">
      <c r="A13" s="774" t="s">
        <v>766</v>
      </c>
      <c r="B13" s="775" t="s">
        <v>1080</v>
      </c>
    </row>
    <row r="14" spans="1:7" ht="9" customHeight="1">
      <c r="A14" s="774"/>
      <c r="B14" s="775"/>
    </row>
    <row r="15" spans="1:7" ht="25.5">
      <c r="A15" s="774" t="s">
        <v>335</v>
      </c>
      <c r="B15" s="775" t="s">
        <v>709</v>
      </c>
    </row>
    <row r="16" spans="1:7" ht="8.25" customHeight="1">
      <c r="A16" s="774"/>
      <c r="B16" s="775"/>
    </row>
    <row r="17" spans="1:3" ht="25.5">
      <c r="A17" s="774" t="s">
        <v>749</v>
      </c>
      <c r="B17" s="775" t="s">
        <v>862</v>
      </c>
    </row>
    <row r="18" spans="1:3" ht="8.25" customHeight="1">
      <c r="B18" s="775"/>
    </row>
    <row r="19" spans="1:3" ht="15.75" customHeight="1" thickBot="1">
      <c r="A19" s="776"/>
      <c r="B19" s="777" t="s">
        <v>863</v>
      </c>
      <c r="C19" s="778"/>
    </row>
    <row r="20" spans="1:3" ht="44.25" customHeight="1">
      <c r="A20" s="776"/>
      <c r="B20" s="779" t="s">
        <v>2126</v>
      </c>
      <c r="C20" s="776"/>
    </row>
    <row r="21" spans="1:3" ht="3.75" customHeight="1">
      <c r="A21" s="776"/>
      <c r="B21" s="780"/>
      <c r="C21" s="781"/>
    </row>
    <row r="22" spans="1:3" ht="34.5" customHeight="1" thickBot="1">
      <c r="A22" s="776"/>
      <c r="B22" s="782" t="s">
        <v>2127</v>
      </c>
      <c r="C22" s="776"/>
    </row>
    <row r="23" spans="1:3">
      <c r="A23" s="776"/>
      <c r="B23" s="783"/>
    </row>
    <row r="24" spans="1:3" ht="8.25" customHeight="1">
      <c r="A24" s="1354"/>
      <c r="B24" s="1351"/>
    </row>
    <row r="25" spans="1:3" ht="8.25" customHeight="1">
      <c r="B25" s="1980"/>
    </row>
    <row r="26" spans="1:3">
      <c r="B26" s="756"/>
    </row>
    <row r="27" spans="1:3">
      <c r="B27" s="756"/>
    </row>
    <row r="28" spans="1:3">
      <c r="B28" s="756"/>
    </row>
    <row r="29" spans="1:3">
      <c r="B29" s="756"/>
    </row>
  </sheetData>
  <sheetProtection password="AD9B" sheet="1" objects="1" scenarios="1"/>
  <mergeCells count="1">
    <mergeCell ref="A6:C6"/>
  </mergeCells>
  <phoneticPr fontId="103" type="noConversion"/>
  <printOptions horizontalCentered="1"/>
  <pageMargins left="0.59055118110236227" right="0.59055118110236227" top="0.47244094488188981" bottom="0.47244094488188981" header="0.23622047244094491" footer="0.35433070866141736"/>
  <pageSetup paperSize="9" scale="70" orientation="portrait" r:id="rId1"/>
  <headerFooter alignWithMargins="0">
    <oddHeader>&amp;LGreen Building Council of South Africa&amp;R&amp;T   &amp;D</oddHeader>
    <oddFooter>&amp;L&amp;F&amp;CPage &amp;P of &amp;N&amp;R&amp;A</oddFooter>
  </headerFooter>
  <ignoredErrors>
    <ignoredError sqref="A9 A11 A13 A15" numberStoredAsText="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G271"/>
  <sheetViews>
    <sheetView topLeftCell="A7" workbookViewId="0">
      <selection activeCell="B15" sqref="B15"/>
    </sheetView>
  </sheetViews>
  <sheetFormatPr defaultColWidth="7.875" defaultRowHeight="12.75"/>
  <cols>
    <col min="1" max="1" width="3.375" style="771" customWidth="1"/>
    <col min="2" max="2" width="103" style="771" customWidth="1"/>
    <col min="3" max="16384" width="7.875" style="771"/>
  </cols>
  <sheetData>
    <row r="1" spans="1:7" s="756" customFormat="1" ht="44.25" customHeight="1">
      <c r="A1" s="1980"/>
      <c r="B1" s="757"/>
      <c r="C1" s="1980"/>
    </row>
    <row r="2" spans="1:7" s="756" customFormat="1">
      <c r="A2" s="1980"/>
      <c r="B2" s="1980"/>
      <c r="C2" s="1980"/>
    </row>
    <row r="3" spans="1:7" s="756" customFormat="1">
      <c r="A3" s="1980"/>
      <c r="B3" s="922" t="s">
        <v>2105</v>
      </c>
      <c r="C3" s="758"/>
      <c r="E3" s="758"/>
      <c r="G3" s="758"/>
    </row>
    <row r="4" spans="1:7" s="756" customFormat="1" ht="6.75" customHeight="1">
      <c r="A4" s="1980"/>
      <c r="B4" s="1980"/>
      <c r="C4" s="1980"/>
    </row>
    <row r="5" spans="1:7" s="756" customFormat="1" ht="8.25" customHeight="1">
      <c r="A5" s="1351"/>
      <c r="B5" s="1351"/>
      <c r="C5" s="1980"/>
    </row>
    <row r="6" spans="1:7" s="756" customFormat="1" ht="6.75" customHeight="1">
      <c r="A6" s="1980"/>
      <c r="B6" s="1980"/>
      <c r="C6" s="1980"/>
    </row>
    <row r="7" spans="1:7" s="756" customFormat="1" ht="54.75" customHeight="1">
      <c r="A7" s="759"/>
      <c r="B7" s="760" t="s">
        <v>864</v>
      </c>
      <c r="C7" s="1980"/>
    </row>
    <row r="8" spans="1:7" s="761" customFormat="1" ht="12.75" customHeight="1"/>
    <row r="9" spans="1:7" s="761" customFormat="1" ht="12.75" customHeight="1"/>
    <row r="10" spans="1:7" s="761" customFormat="1" ht="12.75" customHeight="1">
      <c r="B10" s="762" t="s">
        <v>865</v>
      </c>
    </row>
    <row r="11" spans="1:7" s="761" customFormat="1" ht="75.75" customHeight="1">
      <c r="B11" s="927" t="s">
        <v>2128</v>
      </c>
    </row>
    <row r="12" spans="1:7" s="761" customFormat="1" ht="8.1" customHeight="1">
      <c r="B12" s="763"/>
    </row>
    <row r="13" spans="1:7" s="761" customFormat="1" ht="28.5" customHeight="1">
      <c r="B13" s="927" t="s">
        <v>2129</v>
      </c>
    </row>
    <row r="14" spans="1:7" s="761" customFormat="1" ht="8.1" customHeight="1">
      <c r="B14" s="763"/>
    </row>
    <row r="15" spans="1:7" s="761" customFormat="1" ht="66.75" customHeight="1">
      <c r="B15" s="927" t="s">
        <v>2130</v>
      </c>
    </row>
    <row r="16" spans="1:7" s="761" customFormat="1" ht="8.1" customHeight="1">
      <c r="B16" s="763"/>
    </row>
    <row r="17" spans="1:2" s="761" customFormat="1" ht="47.25" customHeight="1">
      <c r="B17" s="928" t="s">
        <v>2131</v>
      </c>
    </row>
    <row r="18" spans="1:2" s="761" customFormat="1" ht="8.1" customHeight="1">
      <c r="B18" s="763"/>
    </row>
    <row r="19" spans="1:2" s="761" customFormat="1" ht="22.5">
      <c r="B19" s="927" t="s">
        <v>2132</v>
      </c>
    </row>
    <row r="20" spans="1:2" s="761" customFormat="1" ht="8.1" customHeight="1">
      <c r="B20" s="763"/>
    </row>
    <row r="21" spans="1:2" s="761" customFormat="1" ht="45">
      <c r="B21" s="927" t="s">
        <v>2133</v>
      </c>
    </row>
    <row r="22" spans="1:2" s="761" customFormat="1" ht="8.1" customHeight="1">
      <c r="B22" s="764"/>
    </row>
    <row r="23" spans="1:2" s="761" customFormat="1" ht="56.25">
      <c r="B23" s="765" t="s">
        <v>2134</v>
      </c>
    </row>
    <row r="24" spans="1:2" s="761" customFormat="1" ht="8.1" customHeight="1">
      <c r="B24" s="766"/>
    </row>
    <row r="25" spans="1:2" s="761" customFormat="1" ht="45">
      <c r="B25" s="765" t="s">
        <v>2135</v>
      </c>
    </row>
    <row r="26" spans="1:2" s="761" customFormat="1" ht="8.1" customHeight="1">
      <c r="B26" s="767"/>
    </row>
    <row r="27" spans="1:2" s="761" customFormat="1">
      <c r="B27" s="768" t="s">
        <v>2136</v>
      </c>
    </row>
    <row r="28" spans="1:2" s="761" customFormat="1" ht="8.1" customHeight="1">
      <c r="B28" s="769"/>
    </row>
    <row r="29" spans="1:2" s="761" customFormat="1">
      <c r="B29" s="1085" t="s">
        <v>1455</v>
      </c>
    </row>
    <row r="30" spans="1:2" s="761" customFormat="1">
      <c r="B30" s="769"/>
    </row>
    <row r="31" spans="1:2" s="761" customFormat="1" ht="8.25" customHeight="1">
      <c r="A31" s="1352"/>
      <c r="B31" s="1353"/>
    </row>
    <row r="32" spans="1:2" s="761" customFormat="1" ht="8.25" customHeight="1">
      <c r="B32" s="770"/>
    </row>
    <row r="33" s="761" customFormat="1"/>
    <row r="34" s="761" customFormat="1"/>
    <row r="35" s="761" customFormat="1"/>
    <row r="36" s="761" customFormat="1"/>
    <row r="37" s="761" customFormat="1"/>
    <row r="38" s="761" customFormat="1"/>
    <row r="39" s="761" customFormat="1"/>
    <row r="40" s="761" customFormat="1"/>
    <row r="41" s="761" customFormat="1"/>
    <row r="42" s="761" customFormat="1"/>
    <row r="43" s="761" customFormat="1"/>
    <row r="44" s="761" customFormat="1"/>
    <row r="45" s="761" customFormat="1"/>
    <row r="46" s="761" customFormat="1"/>
    <row r="47" s="761" customFormat="1"/>
    <row r="48" s="761" customFormat="1"/>
    <row r="49" s="761" customFormat="1"/>
    <row r="50" s="761" customFormat="1"/>
    <row r="51" s="761" customFormat="1"/>
    <row r="52" s="761" customFormat="1"/>
    <row r="53" s="761" customFormat="1"/>
    <row r="54" s="761" customFormat="1"/>
    <row r="55" s="761" customFormat="1"/>
    <row r="56" s="761" customFormat="1"/>
    <row r="57" s="761" customFormat="1"/>
    <row r="58" s="761" customFormat="1"/>
    <row r="59" s="761" customFormat="1"/>
    <row r="60" s="761" customFormat="1"/>
    <row r="61" s="761" customFormat="1"/>
    <row r="62" s="761" customFormat="1"/>
    <row r="63" s="761" customFormat="1"/>
    <row r="64" s="761" customFormat="1"/>
    <row r="65" s="761" customFormat="1"/>
    <row r="66" s="761" customFormat="1"/>
    <row r="67" s="761" customFormat="1"/>
    <row r="68" s="761" customFormat="1"/>
    <row r="69" s="761" customFormat="1"/>
    <row r="70" s="761" customFormat="1"/>
    <row r="71" s="761" customFormat="1"/>
    <row r="72" s="761" customFormat="1"/>
    <row r="73" s="761" customFormat="1"/>
    <row r="74" s="761" customFormat="1"/>
    <row r="75" s="761" customFormat="1"/>
    <row r="76" s="761" customFormat="1"/>
    <row r="77" s="761" customFormat="1"/>
    <row r="78" s="761" customFormat="1"/>
    <row r="79" s="761" customFormat="1"/>
    <row r="80" s="761" customFormat="1"/>
    <row r="81" s="761" customFormat="1"/>
    <row r="82" s="761" customFormat="1"/>
    <row r="83" s="761" customFormat="1"/>
    <row r="84" s="761" customFormat="1"/>
    <row r="85" s="761" customFormat="1"/>
    <row r="86" s="761" customFormat="1"/>
    <row r="87" s="761" customFormat="1"/>
    <row r="88" s="761" customFormat="1"/>
    <row r="89" s="761" customFormat="1"/>
    <row r="90" s="761" customFormat="1"/>
    <row r="91" s="761" customFormat="1"/>
    <row r="92" s="761" customFormat="1"/>
    <row r="93" s="761" customFormat="1"/>
    <row r="94" s="761" customFormat="1"/>
    <row r="95" s="761" customFormat="1"/>
    <row r="96" s="761" customFormat="1"/>
    <row r="97" s="761" customFormat="1"/>
    <row r="98" s="761" customFormat="1"/>
    <row r="99" s="761" customFormat="1"/>
    <row r="100" s="761" customFormat="1"/>
    <row r="101" s="761" customFormat="1"/>
    <row r="102" s="761" customFormat="1"/>
    <row r="103" s="761" customFormat="1"/>
    <row r="104" s="761" customFormat="1"/>
    <row r="105" s="761" customFormat="1"/>
    <row r="106" s="761" customFormat="1"/>
    <row r="107" s="761" customFormat="1"/>
    <row r="108" s="761" customFormat="1"/>
    <row r="109" s="761" customFormat="1"/>
    <row r="110" s="761" customFormat="1"/>
    <row r="111" s="761" customFormat="1"/>
    <row r="112" s="761" customFormat="1"/>
    <row r="113" s="761" customFormat="1"/>
    <row r="114" s="761" customFormat="1"/>
    <row r="115" s="761" customFormat="1"/>
    <row r="116" s="761" customFormat="1"/>
    <row r="117" s="761" customFormat="1"/>
    <row r="118" s="761" customFormat="1"/>
    <row r="119" s="761" customFormat="1"/>
    <row r="120" s="761" customFormat="1"/>
    <row r="121" s="761" customFormat="1"/>
    <row r="122" s="761" customFormat="1"/>
    <row r="123" s="761" customFormat="1"/>
    <row r="124" s="761" customFormat="1"/>
    <row r="125" s="761" customFormat="1"/>
    <row r="126" s="761" customFormat="1"/>
    <row r="127" s="761" customFormat="1"/>
    <row r="128" s="761" customFormat="1"/>
    <row r="129" s="761" customFormat="1"/>
    <row r="130" s="761" customFormat="1"/>
    <row r="131" s="761" customFormat="1"/>
    <row r="132" s="761" customFormat="1"/>
    <row r="133" s="761" customFormat="1"/>
    <row r="134" s="761" customFormat="1"/>
    <row r="135" s="761" customFormat="1"/>
    <row r="136" s="761" customFormat="1"/>
    <row r="137" s="761" customFormat="1"/>
    <row r="138" s="761" customFormat="1"/>
    <row r="139" s="761" customFormat="1"/>
    <row r="140" s="761" customFormat="1"/>
    <row r="141" s="761" customFormat="1"/>
    <row r="142" s="761" customFormat="1"/>
    <row r="143" s="761" customFormat="1"/>
    <row r="144" s="761" customFormat="1"/>
    <row r="145" s="761" customFormat="1"/>
    <row r="146" s="761" customFormat="1"/>
    <row r="147" s="761" customFormat="1"/>
    <row r="148" s="761" customFormat="1"/>
    <row r="149" s="761" customFormat="1"/>
    <row r="150" s="761" customFormat="1"/>
    <row r="151" s="761" customFormat="1"/>
    <row r="152" s="761" customFormat="1"/>
    <row r="153" s="761" customFormat="1"/>
    <row r="154" s="761" customFormat="1"/>
    <row r="155" s="761" customFormat="1"/>
    <row r="156" s="761" customFormat="1"/>
    <row r="157" s="761" customFormat="1"/>
    <row r="158" s="761" customFormat="1"/>
    <row r="159" s="761" customFormat="1"/>
    <row r="160" s="761" customFormat="1"/>
    <row r="161" s="761" customFormat="1"/>
    <row r="162" s="761" customFormat="1"/>
    <row r="163" s="761" customFormat="1"/>
    <row r="164" s="761" customFormat="1"/>
    <row r="165" s="761" customFormat="1"/>
    <row r="166" s="761" customFormat="1"/>
    <row r="167" s="761" customFormat="1"/>
    <row r="168" s="761" customFormat="1"/>
    <row r="169" s="761" customFormat="1"/>
    <row r="170" s="761" customFormat="1"/>
    <row r="171" s="761" customFormat="1"/>
    <row r="172" s="761" customFormat="1"/>
    <row r="173" s="761" customFormat="1"/>
    <row r="174" s="761" customFormat="1"/>
    <row r="175" s="761" customFormat="1"/>
    <row r="176" s="761" customFormat="1"/>
    <row r="177" s="761" customFormat="1"/>
    <row r="178" s="761" customFormat="1"/>
    <row r="179" s="761" customFormat="1"/>
    <row r="180" s="761" customFormat="1"/>
    <row r="181" s="761" customFormat="1"/>
    <row r="182" s="761" customFormat="1"/>
    <row r="183" s="761" customFormat="1"/>
    <row r="184" s="761" customFormat="1"/>
    <row r="185" s="761" customFormat="1"/>
    <row r="186" s="761" customFormat="1"/>
    <row r="187" s="761" customFormat="1"/>
    <row r="188" s="761" customFormat="1"/>
    <row r="189" s="761" customFormat="1"/>
    <row r="190" s="761" customFormat="1"/>
    <row r="191" s="761" customFormat="1"/>
    <row r="192" s="761" customFormat="1"/>
    <row r="193" s="761" customFormat="1"/>
    <row r="194" s="761" customFormat="1"/>
    <row r="195" s="761" customFormat="1"/>
    <row r="196" s="761" customFormat="1"/>
    <row r="197" s="761" customFormat="1"/>
    <row r="198" s="761" customFormat="1"/>
    <row r="199" s="761" customFormat="1"/>
    <row r="200" s="761" customFormat="1"/>
    <row r="201" s="761" customFormat="1"/>
    <row r="202" s="761" customFormat="1"/>
    <row r="203" s="761" customFormat="1"/>
    <row r="204" s="761" customFormat="1"/>
    <row r="205" s="761" customFormat="1"/>
    <row r="206" s="761" customFormat="1"/>
    <row r="207" s="761" customFormat="1"/>
    <row r="208" s="761" customFormat="1"/>
    <row r="209" s="761" customFormat="1"/>
    <row r="210" s="761" customFormat="1"/>
    <row r="211" s="761" customFormat="1"/>
    <row r="212" s="761" customFormat="1"/>
    <row r="213" s="761" customFormat="1"/>
    <row r="214" s="761" customFormat="1"/>
    <row r="215" s="761" customFormat="1"/>
    <row r="216" s="761" customFormat="1"/>
    <row r="217" s="761" customFormat="1"/>
    <row r="218" s="761" customFormat="1"/>
    <row r="219" s="761" customFormat="1"/>
    <row r="220" s="761" customFormat="1"/>
    <row r="221" s="761" customFormat="1"/>
    <row r="222" s="761" customFormat="1"/>
    <row r="223" s="761" customFormat="1"/>
    <row r="224" s="761" customFormat="1"/>
    <row r="225" s="761" customFormat="1"/>
    <row r="226" s="761" customFormat="1"/>
    <row r="227" s="761" customFormat="1"/>
    <row r="228" s="761" customFormat="1"/>
    <row r="229" s="761" customFormat="1"/>
    <row r="230" s="761" customFormat="1"/>
    <row r="231" s="761" customFormat="1"/>
    <row r="232" s="761" customFormat="1"/>
    <row r="233" s="761" customFormat="1"/>
    <row r="234" s="761" customFormat="1"/>
    <row r="235" s="761" customFormat="1"/>
    <row r="236" s="761" customFormat="1"/>
    <row r="237" s="761" customFormat="1"/>
    <row r="238" s="761" customFormat="1"/>
    <row r="239" s="761" customFormat="1"/>
    <row r="240" s="761" customFormat="1"/>
    <row r="241" s="761" customFormat="1"/>
    <row r="242" s="761" customFormat="1"/>
    <row r="243" s="761" customFormat="1"/>
    <row r="244" s="761" customFormat="1"/>
    <row r="245" s="761" customFormat="1"/>
    <row r="246" s="761" customFormat="1"/>
    <row r="247" s="761" customFormat="1"/>
    <row r="248" s="761" customFormat="1"/>
    <row r="249" s="761" customFormat="1"/>
    <row r="250" s="761" customFormat="1"/>
    <row r="251" s="761" customFormat="1"/>
    <row r="252" s="761" customFormat="1"/>
    <row r="253" s="761" customFormat="1"/>
    <row r="254" s="761" customFormat="1"/>
    <row r="255" s="761" customFormat="1"/>
    <row r="256" s="761" customFormat="1"/>
    <row r="257" s="761" customFormat="1"/>
    <row r="258" s="761" customFormat="1"/>
    <row r="259" s="761" customFormat="1"/>
    <row r="260" s="761" customFormat="1"/>
    <row r="261" s="761" customFormat="1"/>
    <row r="262" s="761" customFormat="1"/>
    <row r="263" s="761" customFormat="1"/>
    <row r="264" s="761" customFormat="1"/>
    <row r="265" s="761" customFormat="1"/>
    <row r="266" s="761" customFormat="1"/>
    <row r="267" s="761" customFormat="1"/>
    <row r="268" s="761" customFormat="1"/>
    <row r="269" s="761" customFormat="1"/>
    <row r="270" s="761" customFormat="1"/>
    <row r="271" s="761" customFormat="1"/>
  </sheetData>
  <sheetProtection password="AD9B" sheet="1" objects="1" scenarios="1"/>
  <phoneticPr fontId="103" type="noConversion"/>
  <printOptions horizontalCentered="1"/>
  <pageMargins left="0.59055118110236227" right="0.59055118110236227" top="0.47244094488188981" bottom="0.47244094488188981" header="0.23622047244094491" footer="0.35433070866141736"/>
  <pageSetup paperSize="9" scale="70" orientation="portrait" r:id="rId1"/>
  <headerFooter alignWithMargins="0">
    <oddHeader>&amp;LGreen Building Council of South Africa&amp;R&amp;T   &amp;D</oddHeader>
    <oddFooter>&amp;L&amp;F&amp;CPage &amp;P of &amp;N&amp;R&amp;A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5056" r:id="rId4" name="Button 32">
              <controlPr defaultSize="0" print="0" autoFill="0" autoPict="0" macro="[0]!BackToTop">
                <anchor moveWithCells="1" sizeWithCells="1">
                  <from>
                    <xdr:col>1</xdr:col>
                    <xdr:colOff>6686550</xdr:colOff>
                    <xdr:row>28</xdr:row>
                    <xdr:rowOff>57150</xdr:rowOff>
                  </from>
                  <to>
                    <xdr:col>1</xdr:col>
                    <xdr:colOff>7639050</xdr:colOff>
                    <xdr:row>29</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L276"/>
  <sheetViews>
    <sheetView topLeftCell="A34" zoomScale="70" zoomScaleNormal="70" workbookViewId="0">
      <selection activeCell="B84" sqref="B84"/>
    </sheetView>
  </sheetViews>
  <sheetFormatPr defaultColWidth="7.875" defaultRowHeight="12.75"/>
  <cols>
    <col min="1" max="1" width="3.375" style="1385" customWidth="1"/>
    <col min="2" max="2" width="9.125" style="1385" customWidth="1"/>
    <col min="3" max="3" width="85.625" style="1385" customWidth="1"/>
    <col min="4" max="4" width="12.625" style="1385" bestFit="1" customWidth="1"/>
    <col min="5" max="6" width="7.875" style="1385"/>
    <col min="7" max="7" width="12.375" style="1385" hidden="1" customWidth="1"/>
    <col min="8" max="256" width="7.875" style="1385"/>
    <col min="257" max="257" width="3.375" style="1385" customWidth="1"/>
    <col min="258" max="258" width="9.125" style="1385" customWidth="1"/>
    <col min="259" max="259" width="85.625" style="1385" customWidth="1"/>
    <col min="260" max="260" width="12.625" style="1385" bestFit="1" customWidth="1"/>
    <col min="261" max="512" width="7.875" style="1385"/>
    <col min="513" max="513" width="3.375" style="1385" customWidth="1"/>
    <col min="514" max="514" width="9.125" style="1385" customWidth="1"/>
    <col min="515" max="515" width="85.625" style="1385" customWidth="1"/>
    <col min="516" max="516" width="12.625" style="1385" bestFit="1" customWidth="1"/>
    <col min="517" max="768" width="7.875" style="1385"/>
    <col min="769" max="769" width="3.375" style="1385" customWidth="1"/>
    <col min="770" max="770" width="9.125" style="1385" customWidth="1"/>
    <col min="771" max="771" width="85.625" style="1385" customWidth="1"/>
    <col min="772" max="772" width="12.625" style="1385" bestFit="1" customWidth="1"/>
    <col min="773" max="1024" width="7.875" style="1385"/>
    <col min="1025" max="1025" width="3.375" style="1385" customWidth="1"/>
    <col min="1026" max="1026" width="9.125" style="1385" customWidth="1"/>
    <col min="1027" max="1027" width="85.625" style="1385" customWidth="1"/>
    <col min="1028" max="1028" width="12.625" style="1385" bestFit="1" customWidth="1"/>
    <col min="1029" max="1280" width="7.875" style="1385"/>
    <col min="1281" max="1281" width="3.375" style="1385" customWidth="1"/>
    <col min="1282" max="1282" width="9.125" style="1385" customWidth="1"/>
    <col min="1283" max="1283" width="85.625" style="1385" customWidth="1"/>
    <col min="1284" max="1284" width="12.625" style="1385" bestFit="1" customWidth="1"/>
    <col min="1285" max="1536" width="7.875" style="1385"/>
    <col min="1537" max="1537" width="3.375" style="1385" customWidth="1"/>
    <col min="1538" max="1538" width="9.125" style="1385" customWidth="1"/>
    <col min="1539" max="1539" width="85.625" style="1385" customWidth="1"/>
    <col min="1540" max="1540" width="12.625" style="1385" bestFit="1" customWidth="1"/>
    <col min="1541" max="1792" width="7.875" style="1385"/>
    <col min="1793" max="1793" width="3.375" style="1385" customWidth="1"/>
    <col min="1794" max="1794" width="9.125" style="1385" customWidth="1"/>
    <col min="1795" max="1795" width="85.625" style="1385" customWidth="1"/>
    <col min="1796" max="1796" width="12.625" style="1385" bestFit="1" customWidth="1"/>
    <col min="1797" max="2048" width="7.875" style="1385"/>
    <col min="2049" max="2049" width="3.375" style="1385" customWidth="1"/>
    <col min="2050" max="2050" width="9.125" style="1385" customWidth="1"/>
    <col min="2051" max="2051" width="85.625" style="1385" customWidth="1"/>
    <col min="2052" max="2052" width="12.625" style="1385" bestFit="1" customWidth="1"/>
    <col min="2053" max="2304" width="7.875" style="1385"/>
    <col min="2305" max="2305" width="3.375" style="1385" customWidth="1"/>
    <col min="2306" max="2306" width="9.125" style="1385" customWidth="1"/>
    <col min="2307" max="2307" width="85.625" style="1385" customWidth="1"/>
    <col min="2308" max="2308" width="12.625" style="1385" bestFit="1" customWidth="1"/>
    <col min="2309" max="2560" width="7.875" style="1385"/>
    <col min="2561" max="2561" width="3.375" style="1385" customWidth="1"/>
    <col min="2562" max="2562" width="9.125" style="1385" customWidth="1"/>
    <col min="2563" max="2563" width="85.625" style="1385" customWidth="1"/>
    <col min="2564" max="2564" width="12.625" style="1385" bestFit="1" customWidth="1"/>
    <col min="2565" max="2816" width="7.875" style="1385"/>
    <col min="2817" max="2817" width="3.375" style="1385" customWidth="1"/>
    <col min="2818" max="2818" width="9.125" style="1385" customWidth="1"/>
    <col min="2819" max="2819" width="85.625" style="1385" customWidth="1"/>
    <col min="2820" max="2820" width="12.625" style="1385" bestFit="1" customWidth="1"/>
    <col min="2821" max="3072" width="7.875" style="1385"/>
    <col min="3073" max="3073" width="3.375" style="1385" customWidth="1"/>
    <col min="3074" max="3074" width="9.125" style="1385" customWidth="1"/>
    <col min="3075" max="3075" width="85.625" style="1385" customWidth="1"/>
    <col min="3076" max="3076" width="12.625" style="1385" bestFit="1" customWidth="1"/>
    <col min="3077" max="3328" width="7.875" style="1385"/>
    <col min="3329" max="3329" width="3.375" style="1385" customWidth="1"/>
    <col min="3330" max="3330" width="9.125" style="1385" customWidth="1"/>
    <col min="3331" max="3331" width="85.625" style="1385" customWidth="1"/>
    <col min="3332" max="3332" width="12.625" style="1385" bestFit="1" customWidth="1"/>
    <col min="3333" max="3584" width="7.875" style="1385"/>
    <col min="3585" max="3585" width="3.375" style="1385" customWidth="1"/>
    <col min="3586" max="3586" width="9.125" style="1385" customWidth="1"/>
    <col min="3587" max="3587" width="85.625" style="1385" customWidth="1"/>
    <col min="3588" max="3588" width="12.625" style="1385" bestFit="1" customWidth="1"/>
    <col min="3589" max="3840" width="7.875" style="1385"/>
    <col min="3841" max="3841" width="3.375" style="1385" customWidth="1"/>
    <col min="3842" max="3842" width="9.125" style="1385" customWidth="1"/>
    <col min="3843" max="3843" width="85.625" style="1385" customWidth="1"/>
    <col min="3844" max="3844" width="12.625" style="1385" bestFit="1" customWidth="1"/>
    <col min="3845" max="4096" width="7.875" style="1385"/>
    <col min="4097" max="4097" width="3.375" style="1385" customWidth="1"/>
    <col min="4098" max="4098" width="9.125" style="1385" customWidth="1"/>
    <col min="4099" max="4099" width="85.625" style="1385" customWidth="1"/>
    <col min="4100" max="4100" width="12.625" style="1385" bestFit="1" customWidth="1"/>
    <col min="4101" max="4352" width="7.875" style="1385"/>
    <col min="4353" max="4353" width="3.375" style="1385" customWidth="1"/>
    <col min="4354" max="4354" width="9.125" style="1385" customWidth="1"/>
    <col min="4355" max="4355" width="85.625" style="1385" customWidth="1"/>
    <col min="4356" max="4356" width="12.625" style="1385" bestFit="1" customWidth="1"/>
    <col min="4357" max="4608" width="7.875" style="1385"/>
    <col min="4609" max="4609" width="3.375" style="1385" customWidth="1"/>
    <col min="4610" max="4610" width="9.125" style="1385" customWidth="1"/>
    <col min="4611" max="4611" width="85.625" style="1385" customWidth="1"/>
    <col min="4612" max="4612" width="12.625" style="1385" bestFit="1" customWidth="1"/>
    <col min="4613" max="4864" width="7.875" style="1385"/>
    <col min="4865" max="4865" width="3.375" style="1385" customWidth="1"/>
    <col min="4866" max="4866" width="9.125" style="1385" customWidth="1"/>
    <col min="4867" max="4867" width="85.625" style="1385" customWidth="1"/>
    <col min="4868" max="4868" width="12.625" style="1385" bestFit="1" customWidth="1"/>
    <col min="4869" max="5120" width="7.875" style="1385"/>
    <col min="5121" max="5121" width="3.375" style="1385" customWidth="1"/>
    <col min="5122" max="5122" width="9.125" style="1385" customWidth="1"/>
    <col min="5123" max="5123" width="85.625" style="1385" customWidth="1"/>
    <col min="5124" max="5124" width="12.625" style="1385" bestFit="1" customWidth="1"/>
    <col min="5125" max="5376" width="7.875" style="1385"/>
    <col min="5377" max="5377" width="3.375" style="1385" customWidth="1"/>
    <col min="5378" max="5378" width="9.125" style="1385" customWidth="1"/>
    <col min="5379" max="5379" width="85.625" style="1385" customWidth="1"/>
    <col min="5380" max="5380" width="12.625" style="1385" bestFit="1" customWidth="1"/>
    <col min="5381" max="5632" width="7.875" style="1385"/>
    <col min="5633" max="5633" width="3.375" style="1385" customWidth="1"/>
    <col min="5634" max="5634" width="9.125" style="1385" customWidth="1"/>
    <col min="5635" max="5635" width="85.625" style="1385" customWidth="1"/>
    <col min="5636" max="5636" width="12.625" style="1385" bestFit="1" customWidth="1"/>
    <col min="5637" max="5888" width="7.875" style="1385"/>
    <col min="5889" max="5889" width="3.375" style="1385" customWidth="1"/>
    <col min="5890" max="5890" width="9.125" style="1385" customWidth="1"/>
    <col min="5891" max="5891" width="85.625" style="1385" customWidth="1"/>
    <col min="5892" max="5892" width="12.625" style="1385" bestFit="1" customWidth="1"/>
    <col min="5893" max="6144" width="7.875" style="1385"/>
    <col min="6145" max="6145" width="3.375" style="1385" customWidth="1"/>
    <col min="6146" max="6146" width="9.125" style="1385" customWidth="1"/>
    <col min="6147" max="6147" width="85.625" style="1385" customWidth="1"/>
    <col min="6148" max="6148" width="12.625" style="1385" bestFit="1" customWidth="1"/>
    <col min="6149" max="6400" width="7.875" style="1385"/>
    <col min="6401" max="6401" width="3.375" style="1385" customWidth="1"/>
    <col min="6402" max="6402" width="9.125" style="1385" customWidth="1"/>
    <col min="6403" max="6403" width="85.625" style="1385" customWidth="1"/>
    <col min="6404" max="6404" width="12.625" style="1385" bestFit="1" customWidth="1"/>
    <col min="6405" max="6656" width="7.875" style="1385"/>
    <col min="6657" max="6657" width="3.375" style="1385" customWidth="1"/>
    <col min="6658" max="6658" width="9.125" style="1385" customWidth="1"/>
    <col min="6659" max="6659" width="85.625" style="1385" customWidth="1"/>
    <col min="6660" max="6660" width="12.625" style="1385" bestFit="1" customWidth="1"/>
    <col min="6661" max="6912" width="7.875" style="1385"/>
    <col min="6913" max="6913" width="3.375" style="1385" customWidth="1"/>
    <col min="6914" max="6914" width="9.125" style="1385" customWidth="1"/>
    <col min="6915" max="6915" width="85.625" style="1385" customWidth="1"/>
    <col min="6916" max="6916" width="12.625" style="1385" bestFit="1" customWidth="1"/>
    <col min="6917" max="7168" width="7.875" style="1385"/>
    <col min="7169" max="7169" width="3.375" style="1385" customWidth="1"/>
    <col min="7170" max="7170" width="9.125" style="1385" customWidth="1"/>
    <col min="7171" max="7171" width="85.625" style="1385" customWidth="1"/>
    <col min="7172" max="7172" width="12.625" style="1385" bestFit="1" customWidth="1"/>
    <col min="7173" max="7424" width="7.875" style="1385"/>
    <col min="7425" max="7425" width="3.375" style="1385" customWidth="1"/>
    <col min="7426" max="7426" width="9.125" style="1385" customWidth="1"/>
    <col min="7427" max="7427" width="85.625" style="1385" customWidth="1"/>
    <col min="7428" max="7428" width="12.625" style="1385" bestFit="1" customWidth="1"/>
    <col min="7429" max="7680" width="7.875" style="1385"/>
    <col min="7681" max="7681" width="3.375" style="1385" customWidth="1"/>
    <col min="7682" max="7682" width="9.125" style="1385" customWidth="1"/>
    <col min="7683" max="7683" width="85.625" style="1385" customWidth="1"/>
    <col min="7684" max="7684" width="12.625" style="1385" bestFit="1" customWidth="1"/>
    <col min="7685" max="7936" width="7.875" style="1385"/>
    <col min="7937" max="7937" width="3.375" style="1385" customWidth="1"/>
    <col min="7938" max="7938" width="9.125" style="1385" customWidth="1"/>
    <col min="7939" max="7939" width="85.625" style="1385" customWidth="1"/>
    <col min="7940" max="7940" width="12.625" style="1385" bestFit="1" customWidth="1"/>
    <col min="7941" max="8192" width="7.875" style="1385"/>
    <col min="8193" max="8193" width="3.375" style="1385" customWidth="1"/>
    <col min="8194" max="8194" width="9.125" style="1385" customWidth="1"/>
    <col min="8195" max="8195" width="85.625" style="1385" customWidth="1"/>
    <col min="8196" max="8196" width="12.625" style="1385" bestFit="1" customWidth="1"/>
    <col min="8197" max="8448" width="7.875" style="1385"/>
    <col min="8449" max="8449" width="3.375" style="1385" customWidth="1"/>
    <col min="8450" max="8450" width="9.125" style="1385" customWidth="1"/>
    <col min="8451" max="8451" width="85.625" style="1385" customWidth="1"/>
    <col min="8452" max="8452" width="12.625" style="1385" bestFit="1" customWidth="1"/>
    <col min="8453" max="8704" width="7.875" style="1385"/>
    <col min="8705" max="8705" width="3.375" style="1385" customWidth="1"/>
    <col min="8706" max="8706" width="9.125" style="1385" customWidth="1"/>
    <col min="8707" max="8707" width="85.625" style="1385" customWidth="1"/>
    <col min="8708" max="8708" width="12.625" style="1385" bestFit="1" customWidth="1"/>
    <col min="8709" max="8960" width="7.875" style="1385"/>
    <col min="8961" max="8961" width="3.375" style="1385" customWidth="1"/>
    <col min="8962" max="8962" width="9.125" style="1385" customWidth="1"/>
    <col min="8963" max="8963" width="85.625" style="1385" customWidth="1"/>
    <col min="8964" max="8964" width="12.625" style="1385" bestFit="1" customWidth="1"/>
    <col min="8965" max="9216" width="7.875" style="1385"/>
    <col min="9217" max="9217" width="3.375" style="1385" customWidth="1"/>
    <col min="9218" max="9218" width="9.125" style="1385" customWidth="1"/>
    <col min="9219" max="9219" width="85.625" style="1385" customWidth="1"/>
    <col min="9220" max="9220" width="12.625" style="1385" bestFit="1" customWidth="1"/>
    <col min="9221" max="9472" width="7.875" style="1385"/>
    <col min="9473" max="9473" width="3.375" style="1385" customWidth="1"/>
    <col min="9474" max="9474" width="9.125" style="1385" customWidth="1"/>
    <col min="9475" max="9475" width="85.625" style="1385" customWidth="1"/>
    <col min="9476" max="9476" width="12.625" style="1385" bestFit="1" customWidth="1"/>
    <col min="9477" max="9728" width="7.875" style="1385"/>
    <col min="9729" max="9729" width="3.375" style="1385" customWidth="1"/>
    <col min="9730" max="9730" width="9.125" style="1385" customWidth="1"/>
    <col min="9731" max="9731" width="85.625" style="1385" customWidth="1"/>
    <col min="9732" max="9732" width="12.625" style="1385" bestFit="1" customWidth="1"/>
    <col min="9733" max="9984" width="7.875" style="1385"/>
    <col min="9985" max="9985" width="3.375" style="1385" customWidth="1"/>
    <col min="9986" max="9986" width="9.125" style="1385" customWidth="1"/>
    <col min="9987" max="9987" width="85.625" style="1385" customWidth="1"/>
    <col min="9988" max="9988" width="12.625" style="1385" bestFit="1" customWidth="1"/>
    <col min="9989" max="10240" width="7.875" style="1385"/>
    <col min="10241" max="10241" width="3.375" style="1385" customWidth="1"/>
    <col min="10242" max="10242" width="9.125" style="1385" customWidth="1"/>
    <col min="10243" max="10243" width="85.625" style="1385" customWidth="1"/>
    <col min="10244" max="10244" width="12.625" style="1385" bestFit="1" customWidth="1"/>
    <col min="10245" max="10496" width="7.875" style="1385"/>
    <col min="10497" max="10497" width="3.375" style="1385" customWidth="1"/>
    <col min="10498" max="10498" width="9.125" style="1385" customWidth="1"/>
    <col min="10499" max="10499" width="85.625" style="1385" customWidth="1"/>
    <col min="10500" max="10500" width="12.625" style="1385" bestFit="1" customWidth="1"/>
    <col min="10501" max="10752" width="7.875" style="1385"/>
    <col min="10753" max="10753" width="3.375" style="1385" customWidth="1"/>
    <col min="10754" max="10754" width="9.125" style="1385" customWidth="1"/>
    <col min="10755" max="10755" width="85.625" style="1385" customWidth="1"/>
    <col min="10756" max="10756" width="12.625" style="1385" bestFit="1" customWidth="1"/>
    <col min="10757" max="11008" width="7.875" style="1385"/>
    <col min="11009" max="11009" width="3.375" style="1385" customWidth="1"/>
    <col min="11010" max="11010" width="9.125" style="1385" customWidth="1"/>
    <col min="11011" max="11011" width="85.625" style="1385" customWidth="1"/>
    <col min="11012" max="11012" width="12.625" style="1385" bestFit="1" customWidth="1"/>
    <col min="11013" max="11264" width="7.875" style="1385"/>
    <col min="11265" max="11265" width="3.375" style="1385" customWidth="1"/>
    <col min="11266" max="11266" width="9.125" style="1385" customWidth="1"/>
    <col min="11267" max="11267" width="85.625" style="1385" customWidth="1"/>
    <col min="11268" max="11268" width="12.625" style="1385" bestFit="1" customWidth="1"/>
    <col min="11269" max="11520" width="7.875" style="1385"/>
    <col min="11521" max="11521" width="3.375" style="1385" customWidth="1"/>
    <col min="11522" max="11522" width="9.125" style="1385" customWidth="1"/>
    <col min="11523" max="11523" width="85.625" style="1385" customWidth="1"/>
    <col min="11524" max="11524" width="12.625" style="1385" bestFit="1" customWidth="1"/>
    <col min="11525" max="11776" width="7.875" style="1385"/>
    <col min="11777" max="11777" width="3.375" style="1385" customWidth="1"/>
    <col min="11778" max="11778" width="9.125" style="1385" customWidth="1"/>
    <col min="11779" max="11779" width="85.625" style="1385" customWidth="1"/>
    <col min="11780" max="11780" width="12.625" style="1385" bestFit="1" customWidth="1"/>
    <col min="11781" max="12032" width="7.875" style="1385"/>
    <col min="12033" max="12033" width="3.375" style="1385" customWidth="1"/>
    <col min="12034" max="12034" width="9.125" style="1385" customWidth="1"/>
    <col min="12035" max="12035" width="85.625" style="1385" customWidth="1"/>
    <col min="12036" max="12036" width="12.625" style="1385" bestFit="1" customWidth="1"/>
    <col min="12037" max="12288" width="7.875" style="1385"/>
    <col min="12289" max="12289" width="3.375" style="1385" customWidth="1"/>
    <col min="12290" max="12290" width="9.125" style="1385" customWidth="1"/>
    <col min="12291" max="12291" width="85.625" style="1385" customWidth="1"/>
    <col min="12292" max="12292" width="12.625" style="1385" bestFit="1" customWidth="1"/>
    <col min="12293" max="12544" width="7.875" style="1385"/>
    <col min="12545" max="12545" width="3.375" style="1385" customWidth="1"/>
    <col min="12546" max="12546" width="9.125" style="1385" customWidth="1"/>
    <col min="12547" max="12547" width="85.625" style="1385" customWidth="1"/>
    <col min="12548" max="12548" width="12.625" style="1385" bestFit="1" customWidth="1"/>
    <col min="12549" max="12800" width="7.875" style="1385"/>
    <col min="12801" max="12801" width="3.375" style="1385" customWidth="1"/>
    <col min="12802" max="12802" width="9.125" style="1385" customWidth="1"/>
    <col min="12803" max="12803" width="85.625" style="1385" customWidth="1"/>
    <col min="12804" max="12804" width="12.625" style="1385" bestFit="1" customWidth="1"/>
    <col min="12805" max="13056" width="7.875" style="1385"/>
    <col min="13057" max="13057" width="3.375" style="1385" customWidth="1"/>
    <col min="13058" max="13058" width="9.125" style="1385" customWidth="1"/>
    <col min="13059" max="13059" width="85.625" style="1385" customWidth="1"/>
    <col min="13060" max="13060" width="12.625" style="1385" bestFit="1" customWidth="1"/>
    <col min="13061" max="13312" width="7.875" style="1385"/>
    <col min="13313" max="13313" width="3.375" style="1385" customWidth="1"/>
    <col min="13314" max="13314" width="9.125" style="1385" customWidth="1"/>
    <col min="13315" max="13315" width="85.625" style="1385" customWidth="1"/>
    <col min="13316" max="13316" width="12.625" style="1385" bestFit="1" customWidth="1"/>
    <col min="13317" max="13568" width="7.875" style="1385"/>
    <col min="13569" max="13569" width="3.375" style="1385" customWidth="1"/>
    <col min="13570" max="13570" width="9.125" style="1385" customWidth="1"/>
    <col min="13571" max="13571" width="85.625" style="1385" customWidth="1"/>
    <col min="13572" max="13572" width="12.625" style="1385" bestFit="1" customWidth="1"/>
    <col min="13573" max="13824" width="7.875" style="1385"/>
    <col min="13825" max="13825" width="3.375" style="1385" customWidth="1"/>
    <col min="13826" max="13826" width="9.125" style="1385" customWidth="1"/>
    <col min="13827" max="13827" width="85.625" style="1385" customWidth="1"/>
    <col min="13828" max="13828" width="12.625" style="1385" bestFit="1" customWidth="1"/>
    <col min="13829" max="14080" width="7.875" style="1385"/>
    <col min="14081" max="14081" width="3.375" style="1385" customWidth="1"/>
    <col min="14082" max="14082" width="9.125" style="1385" customWidth="1"/>
    <col min="14083" max="14083" width="85.625" style="1385" customWidth="1"/>
    <col min="14084" max="14084" width="12.625" style="1385" bestFit="1" customWidth="1"/>
    <col min="14085" max="14336" width="7.875" style="1385"/>
    <col min="14337" max="14337" width="3.375" style="1385" customWidth="1"/>
    <col min="14338" max="14338" width="9.125" style="1385" customWidth="1"/>
    <col min="14339" max="14339" width="85.625" style="1385" customWidth="1"/>
    <col min="14340" max="14340" width="12.625" style="1385" bestFit="1" customWidth="1"/>
    <col min="14341" max="14592" width="7.875" style="1385"/>
    <col min="14593" max="14593" width="3.375" style="1385" customWidth="1"/>
    <col min="14594" max="14594" width="9.125" style="1385" customWidth="1"/>
    <col min="14595" max="14595" width="85.625" style="1385" customWidth="1"/>
    <col min="14596" max="14596" width="12.625" style="1385" bestFit="1" customWidth="1"/>
    <col min="14597" max="14848" width="7.875" style="1385"/>
    <col min="14849" max="14849" width="3.375" style="1385" customWidth="1"/>
    <col min="14850" max="14850" width="9.125" style="1385" customWidth="1"/>
    <col min="14851" max="14851" width="85.625" style="1385" customWidth="1"/>
    <col min="14852" max="14852" width="12.625" style="1385" bestFit="1" customWidth="1"/>
    <col min="14853" max="15104" width="7.875" style="1385"/>
    <col min="15105" max="15105" width="3.375" style="1385" customWidth="1"/>
    <col min="15106" max="15106" width="9.125" style="1385" customWidth="1"/>
    <col min="15107" max="15107" width="85.625" style="1385" customWidth="1"/>
    <col min="15108" max="15108" width="12.625" style="1385" bestFit="1" customWidth="1"/>
    <col min="15109" max="15360" width="7.875" style="1385"/>
    <col min="15361" max="15361" width="3.375" style="1385" customWidth="1"/>
    <col min="15362" max="15362" width="9.125" style="1385" customWidth="1"/>
    <col min="15363" max="15363" width="85.625" style="1385" customWidth="1"/>
    <col min="15364" max="15364" width="12.625" style="1385" bestFit="1" customWidth="1"/>
    <col min="15365" max="15616" width="7.875" style="1385"/>
    <col min="15617" max="15617" width="3.375" style="1385" customWidth="1"/>
    <col min="15618" max="15618" width="9.125" style="1385" customWidth="1"/>
    <col min="15619" max="15619" width="85.625" style="1385" customWidth="1"/>
    <col min="15620" max="15620" width="12.625" style="1385" bestFit="1" customWidth="1"/>
    <col min="15621" max="15872" width="7.875" style="1385"/>
    <col min="15873" max="15873" width="3.375" style="1385" customWidth="1"/>
    <col min="15874" max="15874" width="9.125" style="1385" customWidth="1"/>
    <col min="15875" max="15875" width="85.625" style="1385" customWidth="1"/>
    <col min="15876" max="15876" width="12.625" style="1385" bestFit="1" customWidth="1"/>
    <col min="15877" max="16128" width="7.875" style="1385"/>
    <col min="16129" max="16129" width="3.375" style="1385" customWidth="1"/>
    <col min="16130" max="16130" width="9.125" style="1385" customWidth="1"/>
    <col min="16131" max="16131" width="85.625" style="1385" customWidth="1"/>
    <col min="16132" max="16132" width="12.625" style="1385" bestFit="1" customWidth="1"/>
    <col min="16133" max="16384" width="7.875" style="1385"/>
  </cols>
  <sheetData>
    <row r="1" spans="1:12" s="756" customFormat="1" ht="44.25" customHeight="1">
      <c r="A1" s="1980"/>
      <c r="B1" s="1980"/>
      <c r="C1" s="1980"/>
      <c r="D1" s="1980"/>
      <c r="E1" s="1980"/>
      <c r="F1" s="1980"/>
      <c r="G1" s="1980"/>
      <c r="H1" s="1980"/>
      <c r="I1" s="1980"/>
      <c r="J1" s="1980"/>
      <c r="K1" s="1980"/>
      <c r="L1" s="1980"/>
    </row>
    <row r="2" spans="1:12" s="756" customFormat="1">
      <c r="A2" s="1980"/>
      <c r="B2" s="1980"/>
      <c r="C2" s="1980"/>
      <c r="D2" s="1980"/>
      <c r="E2" s="1980"/>
      <c r="F2" s="1980"/>
      <c r="G2" s="1980"/>
      <c r="H2" s="1980"/>
      <c r="I2" s="1980"/>
      <c r="J2" s="1980"/>
      <c r="K2" s="1980"/>
      <c r="L2" s="1980"/>
    </row>
    <row r="3" spans="1:12" s="756" customFormat="1">
      <c r="A3" s="1980"/>
      <c r="B3" s="922" t="s">
        <v>2105</v>
      </c>
      <c r="C3" s="922"/>
      <c r="D3" s="1980"/>
      <c r="E3" s="922"/>
      <c r="F3" s="1980"/>
      <c r="G3" s="922"/>
      <c r="H3" s="1980"/>
      <c r="I3" s="1980"/>
      <c r="J3" s="1980"/>
      <c r="K3" s="1980"/>
      <c r="L3" s="1980"/>
    </row>
    <row r="4" spans="1:12" s="756" customFormat="1" ht="6.75" customHeight="1">
      <c r="A4" s="1980"/>
      <c r="B4" s="1980"/>
      <c r="C4" s="1980"/>
      <c r="D4" s="1980"/>
      <c r="E4" s="1980"/>
      <c r="F4" s="1980"/>
      <c r="G4" s="1980"/>
      <c r="H4" s="1980"/>
      <c r="I4" s="1980"/>
      <c r="J4" s="1980"/>
      <c r="K4" s="1980"/>
      <c r="L4" s="1980"/>
    </row>
    <row r="5" spans="1:12" s="756" customFormat="1" ht="8.25" customHeight="1">
      <c r="A5" s="1351"/>
      <c r="B5" s="1351"/>
      <c r="C5" s="1351"/>
      <c r="D5" s="1351"/>
      <c r="E5" s="1351"/>
      <c r="F5" s="1980"/>
      <c r="G5" s="1980"/>
      <c r="H5" s="1980"/>
      <c r="I5" s="1980"/>
      <c r="J5" s="1980"/>
      <c r="K5" s="1980"/>
      <c r="L5" s="1980"/>
    </row>
    <row r="6" spans="1:12" s="756" customFormat="1" ht="6.75" customHeight="1">
      <c r="A6" s="1980"/>
      <c r="B6" s="1980"/>
      <c r="C6" s="1980"/>
      <c r="D6" s="1980"/>
      <c r="E6" s="1980"/>
      <c r="F6" s="1980"/>
      <c r="G6" s="1980"/>
      <c r="H6" s="1980"/>
      <c r="I6" s="1980"/>
      <c r="J6" s="1980"/>
      <c r="K6" s="1980"/>
      <c r="L6" s="1980"/>
    </row>
    <row r="7" spans="1:12" s="756" customFormat="1" ht="54.75" customHeight="1">
      <c r="A7" s="759"/>
      <c r="B7" s="760" t="s">
        <v>2149</v>
      </c>
      <c r="C7" s="759"/>
      <c r="D7" s="759"/>
      <c r="E7" s="759"/>
      <c r="F7" s="1980"/>
      <c r="G7" s="1980"/>
      <c r="H7" s="1980"/>
      <c r="I7" s="1980"/>
      <c r="J7" s="1980"/>
      <c r="K7" s="1980"/>
      <c r="L7" s="1980"/>
    </row>
    <row r="8" spans="1:12" s="756" customFormat="1" ht="12.75" customHeight="1">
      <c r="A8" s="1980"/>
      <c r="B8" s="2177" t="s">
        <v>2150</v>
      </c>
      <c r="C8" s="2178"/>
      <c r="D8" s="2178"/>
      <c r="E8" s="2178"/>
      <c r="F8" s="1980"/>
      <c r="G8" s="1980"/>
      <c r="H8" s="1980"/>
      <c r="I8" s="1980"/>
      <c r="J8" s="1980"/>
      <c r="K8" s="1980"/>
      <c r="L8" s="1980"/>
    </row>
    <row r="9" spans="1:12" s="756" customFormat="1" ht="8.25" customHeight="1">
      <c r="A9" s="1351"/>
      <c r="B9" s="1351"/>
      <c r="C9" s="1351"/>
      <c r="D9" s="1351"/>
      <c r="E9" s="1351"/>
      <c r="F9" s="1980"/>
      <c r="G9" s="1980"/>
      <c r="H9" s="1980"/>
      <c r="I9" s="1980"/>
      <c r="J9" s="1980"/>
      <c r="K9" s="1980"/>
      <c r="L9" s="1980"/>
    </row>
    <row r="10" spans="1:12" s="756" customFormat="1" ht="12.75" customHeight="1">
      <c r="A10" s="1980"/>
      <c r="B10" s="1980"/>
      <c r="C10" s="1980"/>
      <c r="D10" s="1980"/>
      <c r="E10" s="1980"/>
      <c r="F10" s="1980"/>
      <c r="G10" s="1980"/>
      <c r="H10" s="1980"/>
      <c r="I10" s="1980"/>
      <c r="J10" s="1980"/>
      <c r="K10" s="1980"/>
      <c r="L10" s="1980"/>
    </row>
    <row r="11" spans="1:12" s="756" customFormat="1" ht="15">
      <c r="A11" s="1980"/>
      <c r="B11" s="1361"/>
      <c r="C11" s="1362" t="s">
        <v>2151</v>
      </c>
      <c r="D11" s="1361"/>
      <c r="E11" s="1361"/>
      <c r="F11" s="1980"/>
      <c r="G11" s="1980"/>
      <c r="H11" s="1980"/>
      <c r="I11" s="1980"/>
      <c r="J11" s="1980"/>
      <c r="K11" s="1980"/>
      <c r="L11" s="1980"/>
    </row>
    <row r="12" spans="1:12" s="756" customFormat="1" ht="16.5">
      <c r="A12" s="1363"/>
      <c r="B12" s="1364">
        <v>1</v>
      </c>
      <c r="C12" s="1365" t="s">
        <v>2152</v>
      </c>
      <c r="D12" s="2119" t="s">
        <v>2153</v>
      </c>
      <c r="E12" s="1366"/>
      <c r="F12" s="1980"/>
      <c r="G12" s="1980"/>
      <c r="H12" s="1980"/>
      <c r="I12" s="1980"/>
      <c r="J12" s="1980"/>
      <c r="K12" s="1980"/>
      <c r="L12" s="1980"/>
    </row>
    <row r="13" spans="1:12" s="756" customFormat="1" ht="16.5">
      <c r="A13" s="1363"/>
      <c r="B13" s="1364">
        <v>2</v>
      </c>
      <c r="C13" s="1367" t="s">
        <v>2154</v>
      </c>
      <c r="D13" s="2119" t="s">
        <v>2153</v>
      </c>
      <c r="E13" s="1368"/>
      <c r="F13" s="1980"/>
      <c r="G13" s="1980" t="s">
        <v>2153</v>
      </c>
      <c r="H13" s="1980"/>
      <c r="I13" s="1980"/>
      <c r="J13" s="1980"/>
      <c r="K13" s="1980"/>
      <c r="L13" s="1980"/>
    </row>
    <row r="14" spans="1:12" s="756" customFormat="1" ht="16.5">
      <c r="A14" s="1363"/>
      <c r="B14" s="1364">
        <v>3</v>
      </c>
      <c r="C14" s="1367" t="s">
        <v>2155</v>
      </c>
      <c r="D14" s="2119" t="s">
        <v>2153</v>
      </c>
      <c r="E14" s="1368"/>
      <c r="F14" s="1980"/>
      <c r="G14" s="1980" t="s">
        <v>2312</v>
      </c>
      <c r="H14" s="1980"/>
      <c r="I14" s="1980"/>
      <c r="J14" s="1980"/>
      <c r="K14" s="1980"/>
      <c r="L14" s="1980"/>
    </row>
    <row r="15" spans="1:12" s="756" customFormat="1" ht="16.5">
      <c r="A15" s="1363"/>
      <c r="B15" s="1364">
        <v>4</v>
      </c>
      <c r="C15" s="1367" t="s">
        <v>2156</v>
      </c>
      <c r="D15" s="2119" t="s">
        <v>2153</v>
      </c>
      <c r="E15" s="1368"/>
      <c r="F15" s="1980"/>
      <c r="G15" s="1980" t="s">
        <v>2313</v>
      </c>
      <c r="H15" s="1980"/>
      <c r="I15" s="1980"/>
      <c r="J15" s="1980"/>
      <c r="K15" s="1980"/>
      <c r="L15" s="1980"/>
    </row>
    <row r="16" spans="1:12" s="756" customFormat="1">
      <c r="A16" s="1363"/>
      <c r="B16" s="1369"/>
      <c r="C16" s="1370"/>
      <c r="D16" s="1370"/>
      <c r="E16" s="1370"/>
      <c r="F16" s="1980"/>
      <c r="G16" s="1980"/>
      <c r="H16" s="1980"/>
      <c r="I16" s="1980"/>
      <c r="J16" s="1980"/>
      <c r="K16" s="1980"/>
      <c r="L16" s="1980"/>
    </row>
    <row r="17" spans="1:12" s="756" customFormat="1" ht="15">
      <c r="A17" s="1363"/>
      <c r="B17" s="1371"/>
      <c r="C17" s="1362" t="s">
        <v>2157</v>
      </c>
      <c r="D17" s="1372"/>
      <c r="E17" s="1372"/>
      <c r="F17" s="1980"/>
      <c r="G17" s="1980"/>
      <c r="H17" s="1980"/>
      <c r="I17" s="1980"/>
      <c r="J17" s="1980"/>
      <c r="K17" s="1980"/>
      <c r="L17" s="1980"/>
    </row>
    <row r="18" spans="1:12" s="834" customFormat="1" ht="16.5">
      <c r="A18" s="1373"/>
      <c r="B18" s="1364"/>
      <c r="C18" s="1365" t="s">
        <v>2158</v>
      </c>
      <c r="D18" s="1366"/>
      <c r="E18" s="1366"/>
    </row>
    <row r="19" spans="1:12" s="756" customFormat="1" ht="16.5">
      <c r="A19" s="1363"/>
      <c r="B19" s="1374">
        <v>5</v>
      </c>
      <c r="C19" s="1367" t="s">
        <v>2159</v>
      </c>
      <c r="D19" s="2119" t="s">
        <v>2153</v>
      </c>
      <c r="E19" s="1368"/>
      <c r="F19" s="1980"/>
      <c r="G19" s="1980"/>
      <c r="H19" s="1980"/>
      <c r="I19" s="1980"/>
      <c r="J19" s="1980"/>
      <c r="K19" s="1980"/>
      <c r="L19" s="1980"/>
    </row>
    <row r="20" spans="1:12" s="756" customFormat="1" ht="16.5">
      <c r="A20" s="1363"/>
      <c r="B20" s="1374">
        <v>6</v>
      </c>
      <c r="C20" s="1367" t="s">
        <v>2160</v>
      </c>
      <c r="D20" s="2119" t="s">
        <v>2153</v>
      </c>
      <c r="E20" s="1368"/>
      <c r="F20" s="1980"/>
      <c r="G20" s="1980"/>
      <c r="H20" s="1980"/>
      <c r="I20" s="1980"/>
      <c r="J20" s="1980"/>
      <c r="K20" s="1980"/>
      <c r="L20" s="1980"/>
    </row>
    <row r="21" spans="1:12" s="756" customFormat="1" ht="16.5">
      <c r="A21" s="1363"/>
      <c r="B21" s="1374">
        <v>7</v>
      </c>
      <c r="C21" s="1367" t="s">
        <v>2161</v>
      </c>
      <c r="D21" s="2119" t="s">
        <v>2153</v>
      </c>
      <c r="E21" s="1368"/>
      <c r="F21" s="1980"/>
      <c r="G21" s="1980"/>
      <c r="H21" s="1980"/>
      <c r="I21" s="1980"/>
      <c r="J21" s="1980"/>
      <c r="K21" s="1980"/>
      <c r="L21" s="1980"/>
    </row>
    <row r="22" spans="1:12" s="756" customFormat="1" ht="16.5">
      <c r="A22" s="1363"/>
      <c r="B22" s="1374">
        <v>8</v>
      </c>
      <c r="C22" s="1367" t="s">
        <v>2162</v>
      </c>
      <c r="D22" s="2119" t="s">
        <v>2153</v>
      </c>
      <c r="E22" s="1368"/>
      <c r="F22" s="1980"/>
      <c r="G22" s="1980"/>
      <c r="H22" s="1980"/>
      <c r="I22" s="1980"/>
      <c r="J22" s="1980"/>
      <c r="K22" s="1980"/>
      <c r="L22" s="1980"/>
    </row>
    <row r="23" spans="1:12" s="756" customFormat="1">
      <c r="A23" s="1363"/>
      <c r="B23" s="1369" t="s">
        <v>1733</v>
      </c>
      <c r="C23" s="1370"/>
      <c r="D23" s="1370"/>
      <c r="E23" s="1370"/>
      <c r="F23" s="1980"/>
      <c r="G23" s="1980"/>
      <c r="H23" s="1980"/>
      <c r="I23" s="1980"/>
      <c r="J23" s="1980"/>
      <c r="K23" s="1980"/>
      <c r="L23" s="1980"/>
    </row>
    <row r="24" spans="1:12" s="756" customFormat="1" ht="15">
      <c r="A24" s="1363"/>
      <c r="B24" s="1371" t="s">
        <v>1733</v>
      </c>
      <c r="C24" s="1362" t="s">
        <v>2163</v>
      </c>
      <c r="D24" s="1372"/>
      <c r="E24" s="1372"/>
      <c r="F24" s="1980"/>
      <c r="G24" s="1980"/>
      <c r="H24" s="1980"/>
      <c r="I24" s="1980"/>
      <c r="J24" s="1980"/>
      <c r="K24" s="1980"/>
      <c r="L24" s="1980"/>
    </row>
    <row r="25" spans="1:12" s="756" customFormat="1" ht="16.5">
      <c r="A25" s="1363"/>
      <c r="B25" s="1364">
        <v>9</v>
      </c>
      <c r="C25" s="1375" t="s">
        <v>2164</v>
      </c>
      <c r="D25" s="2120" t="s">
        <v>2153</v>
      </c>
      <c r="E25" s="1366"/>
      <c r="F25" s="1980"/>
      <c r="G25" s="1980"/>
      <c r="H25" s="1980"/>
      <c r="I25" s="1980"/>
      <c r="J25" s="1980"/>
      <c r="K25" s="1980"/>
      <c r="L25" s="1980"/>
    </row>
    <row r="26" spans="1:12" s="756" customFormat="1" ht="16.5">
      <c r="A26" s="1363"/>
      <c r="B26" s="1364">
        <v>10</v>
      </c>
      <c r="C26" s="1376" t="s">
        <v>2165</v>
      </c>
      <c r="D26" s="2120" t="s">
        <v>2153</v>
      </c>
      <c r="E26" s="1366"/>
      <c r="F26" s="1980"/>
      <c r="G26" s="1980"/>
      <c r="H26" s="1980"/>
      <c r="I26" s="1980"/>
      <c r="J26" s="1980"/>
      <c r="K26" s="1980"/>
      <c r="L26" s="1980"/>
    </row>
    <row r="27" spans="1:12" s="756" customFormat="1" ht="16.5">
      <c r="A27" s="1363"/>
      <c r="B27" s="1364">
        <v>11</v>
      </c>
      <c r="C27" s="1367" t="s">
        <v>2166</v>
      </c>
      <c r="D27" s="2120" t="s">
        <v>2153</v>
      </c>
      <c r="E27" s="1366"/>
      <c r="F27" s="1980"/>
      <c r="G27" s="1980"/>
      <c r="H27" s="1980"/>
      <c r="I27" s="1980"/>
      <c r="J27" s="1980"/>
      <c r="K27" s="1980"/>
      <c r="L27" s="1980"/>
    </row>
    <row r="28" spans="1:12" s="2098" customFormat="1" ht="18.75" customHeight="1">
      <c r="A28" s="2099"/>
      <c r="B28" s="2103">
        <v>12</v>
      </c>
      <c r="C28" s="2104" t="s">
        <v>2331</v>
      </c>
      <c r="D28" s="2120"/>
      <c r="E28" s="2100"/>
    </row>
    <row r="29" spans="1:12" s="756" customFormat="1" ht="33">
      <c r="A29" s="1363"/>
      <c r="B29" s="2102">
        <v>13</v>
      </c>
      <c r="C29" s="1367" t="s">
        <v>2167</v>
      </c>
      <c r="D29" s="2120" t="s">
        <v>2153</v>
      </c>
      <c r="E29" s="1368"/>
      <c r="F29" s="1980"/>
      <c r="G29" s="1980"/>
      <c r="H29" s="1980"/>
      <c r="I29" s="1980"/>
      <c r="J29" s="1980"/>
      <c r="K29" s="1980"/>
      <c r="L29" s="1980"/>
    </row>
    <row r="30" spans="1:12" s="756" customFormat="1" ht="33">
      <c r="A30" s="1363"/>
      <c r="B30" s="2102">
        <v>14</v>
      </c>
      <c r="C30" s="1367" t="s">
        <v>2168</v>
      </c>
      <c r="D30" s="2120" t="s">
        <v>2153</v>
      </c>
      <c r="E30" s="1368"/>
      <c r="F30" s="1980"/>
      <c r="G30" s="1980"/>
      <c r="H30" s="1980"/>
      <c r="I30" s="1980"/>
      <c r="J30" s="1980"/>
      <c r="K30" s="1980"/>
      <c r="L30" s="1980"/>
    </row>
    <row r="31" spans="1:12" s="756" customFormat="1" ht="16.5">
      <c r="A31" s="1363"/>
      <c r="B31" s="2102">
        <v>15</v>
      </c>
      <c r="C31" s="1377" t="s">
        <v>2169</v>
      </c>
      <c r="D31" s="2120" t="s">
        <v>2153</v>
      </c>
      <c r="E31" s="1378"/>
      <c r="F31" s="1980"/>
      <c r="G31" s="1980"/>
      <c r="H31" s="1980"/>
      <c r="I31" s="1980"/>
      <c r="J31" s="1980"/>
      <c r="K31" s="1980"/>
      <c r="L31" s="1980"/>
    </row>
    <row r="32" spans="1:12" s="756" customFormat="1" ht="16.5">
      <c r="A32" s="1363"/>
      <c r="B32" s="2103">
        <v>16</v>
      </c>
      <c r="C32" s="1377" t="s">
        <v>2170</v>
      </c>
      <c r="D32" s="2120" t="s">
        <v>2153</v>
      </c>
      <c r="E32" s="1368"/>
      <c r="F32" s="1980"/>
      <c r="G32" s="1980"/>
      <c r="H32" s="1980"/>
      <c r="I32" s="1980"/>
      <c r="J32" s="1980"/>
      <c r="K32" s="1980"/>
      <c r="L32" s="1980"/>
    </row>
    <row r="33" spans="1:12" s="756" customFormat="1" ht="33">
      <c r="A33" s="1363"/>
      <c r="B33" s="2102">
        <v>17</v>
      </c>
      <c r="C33" s="1367" t="s">
        <v>2171</v>
      </c>
      <c r="D33" s="2120" t="s">
        <v>2153</v>
      </c>
      <c r="E33" s="1368"/>
      <c r="F33" s="1980"/>
      <c r="G33" s="1980"/>
      <c r="H33" s="1980"/>
      <c r="I33" s="1980"/>
      <c r="J33" s="1980"/>
      <c r="K33" s="1980"/>
      <c r="L33" s="1980"/>
    </row>
    <row r="34" spans="1:12" s="756" customFormat="1" ht="16.5">
      <c r="A34" s="1363"/>
      <c r="B34" s="2102">
        <v>18</v>
      </c>
      <c r="C34" s="1367" t="s">
        <v>2172</v>
      </c>
      <c r="D34" s="2120" t="s">
        <v>2153</v>
      </c>
      <c r="E34" s="1368"/>
      <c r="F34" s="1980"/>
      <c r="G34" s="1980"/>
      <c r="H34" s="1980"/>
      <c r="I34" s="1980"/>
      <c r="J34" s="1980"/>
      <c r="K34" s="1980"/>
      <c r="L34" s="1980"/>
    </row>
    <row r="35" spans="1:12" s="756" customFormat="1" ht="16.5">
      <c r="A35" s="1363"/>
      <c r="B35" s="2102">
        <v>19</v>
      </c>
      <c r="C35" s="1377" t="s">
        <v>2173</v>
      </c>
      <c r="D35" s="2120" t="s">
        <v>2153</v>
      </c>
      <c r="E35" s="1368"/>
      <c r="F35" s="1980"/>
      <c r="G35" s="1980"/>
      <c r="H35" s="1980"/>
      <c r="I35" s="1980"/>
      <c r="J35" s="1980"/>
      <c r="K35" s="1980"/>
      <c r="L35" s="1980"/>
    </row>
    <row r="36" spans="1:12" s="756" customFormat="1" ht="33">
      <c r="A36" s="1363"/>
      <c r="B36" s="2103">
        <v>20</v>
      </c>
      <c r="C36" s="1367" t="s">
        <v>2174</v>
      </c>
      <c r="D36" s="2120" t="s">
        <v>2153</v>
      </c>
      <c r="E36" s="1368"/>
      <c r="F36" s="1980"/>
      <c r="G36" s="1980"/>
      <c r="H36" s="1980"/>
      <c r="I36" s="1980"/>
      <c r="J36" s="1980"/>
      <c r="K36" s="1980"/>
      <c r="L36" s="1980"/>
    </row>
    <row r="37" spans="1:12" s="756" customFormat="1" ht="33">
      <c r="A37" s="1363"/>
      <c r="B37" s="2102">
        <v>21</v>
      </c>
      <c r="C37" s="1367" t="s">
        <v>2175</v>
      </c>
      <c r="D37" s="2120" t="s">
        <v>2153</v>
      </c>
      <c r="E37" s="1368"/>
      <c r="F37" s="1980"/>
      <c r="G37" s="1980"/>
      <c r="H37" s="1980"/>
      <c r="I37" s="1980"/>
      <c r="J37" s="1980"/>
      <c r="K37" s="1980"/>
      <c r="L37" s="1980"/>
    </row>
    <row r="38" spans="1:12" s="756" customFormat="1" ht="16.5">
      <c r="A38" s="1363"/>
      <c r="B38" s="2102">
        <v>22</v>
      </c>
      <c r="C38" s="1367" t="s">
        <v>2176</v>
      </c>
      <c r="D38" s="2120" t="s">
        <v>2153</v>
      </c>
      <c r="E38" s="1368"/>
      <c r="F38" s="1980"/>
      <c r="G38" s="1980"/>
      <c r="H38" s="1980"/>
      <c r="I38" s="1980"/>
      <c r="J38" s="1980"/>
      <c r="K38" s="1980"/>
      <c r="L38" s="1980"/>
    </row>
    <row r="39" spans="1:12" s="756" customFormat="1" ht="49.5">
      <c r="A39" s="1363"/>
      <c r="B39" s="2102">
        <v>23</v>
      </c>
      <c r="C39" s="1367" t="s">
        <v>2177</v>
      </c>
      <c r="D39" s="2120" t="s">
        <v>2153</v>
      </c>
      <c r="E39" s="1368"/>
      <c r="F39" s="1980"/>
      <c r="G39" s="1980"/>
      <c r="H39" s="1980"/>
      <c r="I39" s="1980"/>
      <c r="J39" s="1980"/>
      <c r="K39" s="1980"/>
      <c r="L39" s="1980"/>
    </row>
    <row r="40" spans="1:12" s="756" customFormat="1" ht="33">
      <c r="A40" s="1363"/>
      <c r="B40" s="2103">
        <v>24</v>
      </c>
      <c r="C40" s="1367" t="s">
        <v>2178</v>
      </c>
      <c r="D40" s="2120" t="s">
        <v>2153</v>
      </c>
      <c r="E40" s="1368"/>
      <c r="F40" s="1980"/>
      <c r="G40" s="1980"/>
      <c r="H40" s="1980"/>
      <c r="I40" s="1980"/>
      <c r="J40" s="1980"/>
      <c r="K40" s="1980"/>
      <c r="L40" s="1980"/>
    </row>
    <row r="41" spans="1:12" s="756" customFormat="1" ht="16.5">
      <c r="A41" s="1363"/>
      <c r="B41" s="2102">
        <v>25</v>
      </c>
      <c r="C41" s="1377" t="s">
        <v>2179</v>
      </c>
      <c r="D41" s="2120" t="s">
        <v>2153</v>
      </c>
      <c r="E41" s="1368"/>
      <c r="F41" s="1980"/>
      <c r="G41" s="1980"/>
      <c r="H41" s="1980"/>
      <c r="I41" s="1980"/>
      <c r="J41" s="1980"/>
      <c r="K41" s="1980"/>
      <c r="L41" s="1980"/>
    </row>
    <row r="42" spans="1:12" s="756" customFormat="1" ht="33">
      <c r="A42" s="1363"/>
      <c r="B42" s="2102">
        <v>26</v>
      </c>
      <c r="C42" s="1379" t="s">
        <v>2180</v>
      </c>
      <c r="D42" s="2120" t="s">
        <v>2153</v>
      </c>
      <c r="E42" s="1368"/>
      <c r="F42" s="1980"/>
      <c r="G42" s="1980"/>
      <c r="H42" s="1980"/>
      <c r="I42" s="1980"/>
      <c r="J42" s="1980"/>
      <c r="K42" s="1980"/>
      <c r="L42" s="1980"/>
    </row>
    <row r="43" spans="1:12" s="756" customFormat="1" ht="33">
      <c r="A43" s="1363"/>
      <c r="B43" s="2102">
        <v>27</v>
      </c>
      <c r="C43" s="1367" t="s">
        <v>2181</v>
      </c>
      <c r="D43" s="2120" t="s">
        <v>2153</v>
      </c>
      <c r="E43" s="1368"/>
      <c r="F43" s="1980"/>
      <c r="G43" s="1980"/>
      <c r="H43" s="1980"/>
      <c r="I43" s="1980"/>
      <c r="J43" s="1980"/>
      <c r="K43" s="1980"/>
      <c r="L43" s="1980"/>
    </row>
    <row r="44" spans="1:12" s="756" customFormat="1" ht="16.5">
      <c r="A44" s="1363"/>
      <c r="B44" s="2103">
        <v>28</v>
      </c>
      <c r="C44" s="1377" t="s">
        <v>2182</v>
      </c>
      <c r="D44" s="2120" t="s">
        <v>2153</v>
      </c>
      <c r="E44" s="1368"/>
      <c r="F44" s="1980"/>
      <c r="G44" s="1980"/>
      <c r="H44" s="1980"/>
      <c r="I44" s="1980"/>
      <c r="J44" s="1980"/>
      <c r="K44" s="1980"/>
      <c r="L44" s="1980"/>
    </row>
    <row r="45" spans="1:12" s="756" customFormat="1" ht="16.5">
      <c r="A45" s="1363"/>
      <c r="B45" s="2102">
        <v>29</v>
      </c>
      <c r="C45" s="1377" t="s">
        <v>2183</v>
      </c>
      <c r="D45" s="2120" t="s">
        <v>2153</v>
      </c>
      <c r="E45" s="1368"/>
      <c r="F45" s="1980"/>
      <c r="G45" s="1980"/>
      <c r="H45" s="1980"/>
      <c r="I45" s="1980"/>
      <c r="J45" s="1980"/>
      <c r="K45" s="1980"/>
      <c r="L45" s="1980"/>
    </row>
    <row r="46" spans="1:12" s="756" customFormat="1">
      <c r="A46" s="1363"/>
      <c r="B46" s="1369"/>
      <c r="C46" s="1370"/>
      <c r="D46" s="1370"/>
      <c r="E46" s="1370"/>
      <c r="F46" s="1980"/>
      <c r="G46" s="1980"/>
      <c r="H46" s="1980"/>
      <c r="I46" s="1980"/>
      <c r="J46" s="1980"/>
      <c r="K46" s="1980"/>
      <c r="L46" s="1980"/>
    </row>
    <row r="47" spans="1:12" s="756" customFormat="1" ht="15">
      <c r="A47" s="1363"/>
      <c r="B47" s="1371"/>
      <c r="C47" s="1380" t="s">
        <v>2184</v>
      </c>
      <c r="D47" s="1372"/>
      <c r="E47" s="1372"/>
      <c r="F47" s="1980"/>
      <c r="G47" s="1980"/>
      <c r="H47" s="1980"/>
      <c r="I47" s="1980"/>
      <c r="J47" s="1980"/>
      <c r="K47" s="1980"/>
      <c r="L47" s="1980"/>
    </row>
    <row r="48" spans="1:12" s="756" customFormat="1" ht="16.5">
      <c r="A48" s="1363"/>
      <c r="B48" s="1364">
        <v>30</v>
      </c>
      <c r="C48" s="1375" t="s">
        <v>2185</v>
      </c>
      <c r="D48" s="2121" t="s">
        <v>2153</v>
      </c>
      <c r="E48" s="1366"/>
      <c r="F48" s="1980"/>
      <c r="G48" s="1980"/>
      <c r="H48" s="1980"/>
      <c r="I48" s="1980"/>
      <c r="J48" s="1980"/>
      <c r="K48" s="1980"/>
      <c r="L48" s="1980"/>
    </row>
    <row r="49" spans="1:12" s="756" customFormat="1">
      <c r="A49" s="1363"/>
      <c r="B49" s="1369"/>
      <c r="C49" s="1370"/>
      <c r="D49" s="1381"/>
      <c r="E49" s="1370"/>
      <c r="F49" s="1980"/>
      <c r="G49" s="1980"/>
      <c r="H49" s="1980"/>
      <c r="I49" s="1980"/>
      <c r="J49" s="1980"/>
      <c r="K49" s="1980"/>
      <c r="L49" s="1980"/>
    </row>
    <row r="50" spans="1:12" s="756" customFormat="1">
      <c r="A50" s="1363"/>
      <c r="B50" s="1382"/>
      <c r="C50" s="1383"/>
      <c r="D50" s="1980"/>
      <c r="E50" s="1980"/>
      <c r="F50" s="1980"/>
      <c r="G50" s="1980"/>
      <c r="H50" s="1980"/>
      <c r="I50" s="1980"/>
      <c r="J50" s="1980"/>
      <c r="K50" s="1980"/>
      <c r="L50" s="1980"/>
    </row>
    <row r="51" spans="1:12" s="756" customFormat="1">
      <c r="A51" s="1363"/>
      <c r="B51" s="2179" t="s">
        <v>2186</v>
      </c>
      <c r="C51" s="2180"/>
      <c r="D51" s="2180"/>
      <c r="E51" s="2180"/>
      <c r="F51" s="1980"/>
      <c r="G51" s="1980"/>
      <c r="H51" s="1980"/>
      <c r="I51" s="1980"/>
      <c r="J51" s="1980"/>
      <c r="K51" s="1980"/>
      <c r="L51" s="1980"/>
    </row>
    <row r="52" spans="1:12" s="756" customFormat="1">
      <c r="A52" s="1363"/>
      <c r="B52" s="2122"/>
      <c r="C52" s="2122"/>
      <c r="D52" s="2122"/>
      <c r="E52" s="2122"/>
      <c r="F52" s="1980"/>
      <c r="G52" s="1980"/>
      <c r="H52" s="1980"/>
      <c r="I52" s="1980"/>
      <c r="J52" s="1980"/>
      <c r="K52" s="1980"/>
      <c r="L52" s="1980"/>
    </row>
    <row r="53" spans="1:12" s="756" customFormat="1">
      <c r="A53" s="1363"/>
      <c r="B53" s="2179" t="s">
        <v>2187</v>
      </c>
      <c r="C53" s="2180"/>
      <c r="D53" s="2180"/>
      <c r="E53" s="2180"/>
      <c r="F53" s="1980"/>
      <c r="G53" s="1980"/>
      <c r="H53" s="1980"/>
      <c r="I53" s="1980"/>
      <c r="J53" s="1980"/>
      <c r="K53" s="1980"/>
      <c r="L53" s="1980"/>
    </row>
    <row r="54" spans="1:12" s="756" customFormat="1">
      <c r="A54" s="1363"/>
      <c r="B54" s="1980"/>
      <c r="C54" s="1980"/>
      <c r="D54" s="1384"/>
      <c r="E54" s="1980"/>
      <c r="F54" s="1980"/>
      <c r="G54" s="1980"/>
      <c r="H54" s="1980"/>
      <c r="I54" s="1980"/>
      <c r="J54" s="1980"/>
      <c r="K54" s="1980"/>
      <c r="L54" s="1980"/>
    </row>
    <row r="55" spans="1:12" s="756" customFormat="1">
      <c r="A55" s="1363"/>
      <c r="B55" s="2181" t="s">
        <v>2188</v>
      </c>
      <c r="C55" s="2182"/>
      <c r="D55" s="2182"/>
      <c r="E55" s="2182"/>
      <c r="F55" s="1980"/>
      <c r="G55" s="1980"/>
      <c r="H55" s="1980"/>
      <c r="I55" s="1980"/>
      <c r="J55" s="1980"/>
      <c r="K55" s="1980"/>
      <c r="L55" s="1980"/>
    </row>
    <row r="56" spans="1:12" s="756" customFormat="1">
      <c r="A56" s="1363"/>
      <c r="B56" s="1363"/>
      <c r="C56" s="1363"/>
      <c r="D56" s="1980"/>
      <c r="E56" s="1980"/>
      <c r="F56" s="1980"/>
      <c r="G56" s="1980"/>
      <c r="H56" s="1980"/>
      <c r="I56" s="1980"/>
      <c r="J56" s="1980"/>
      <c r="K56" s="1980"/>
      <c r="L56" s="1980"/>
    </row>
    <row r="57" spans="1:12" s="756" customFormat="1">
      <c r="A57" s="1363"/>
      <c r="B57" s="1363"/>
      <c r="C57" s="1363"/>
      <c r="D57" s="1980"/>
      <c r="E57" s="1980"/>
      <c r="F57" s="1980"/>
      <c r="G57" s="1980"/>
      <c r="H57" s="1980"/>
      <c r="I57" s="1980"/>
      <c r="J57" s="1980"/>
      <c r="K57" s="1980"/>
      <c r="L57" s="1980"/>
    </row>
    <row r="58" spans="1:12" s="756" customFormat="1">
      <c r="A58" s="1363"/>
      <c r="B58" s="1363"/>
      <c r="C58" s="1363"/>
      <c r="D58" s="1980"/>
      <c r="E58" s="1980"/>
      <c r="F58" s="1980"/>
      <c r="G58" s="1980"/>
      <c r="H58" s="1980"/>
      <c r="I58" s="1980"/>
      <c r="J58" s="1980"/>
      <c r="K58" s="1980"/>
      <c r="L58" s="1980"/>
    </row>
    <row r="59" spans="1:12" s="756" customFormat="1">
      <c r="A59" s="1363"/>
      <c r="B59" s="1363"/>
      <c r="C59" s="1363"/>
      <c r="D59" s="1980"/>
      <c r="E59" s="1980"/>
      <c r="F59" s="1980"/>
      <c r="G59" s="1980"/>
      <c r="H59" s="1980"/>
      <c r="I59" s="1980"/>
      <c r="J59" s="1980"/>
      <c r="K59" s="1980"/>
      <c r="L59" s="1980"/>
    </row>
    <row r="60" spans="1:12" s="756" customFormat="1">
      <c r="A60" s="1363"/>
      <c r="B60" s="1363"/>
      <c r="C60" s="1363"/>
      <c r="D60" s="1980"/>
      <c r="E60" s="1980"/>
      <c r="F60" s="1980"/>
      <c r="G60" s="1980"/>
      <c r="H60" s="1980"/>
      <c r="I60" s="1980"/>
      <c r="J60" s="1980"/>
      <c r="K60" s="1980"/>
      <c r="L60" s="1980"/>
    </row>
    <row r="61" spans="1:12" s="756" customFormat="1">
      <c r="A61" s="1363"/>
      <c r="B61" s="1363"/>
      <c r="C61" s="1363"/>
      <c r="D61" s="1980"/>
      <c r="E61" s="1980"/>
      <c r="F61" s="1980"/>
      <c r="G61" s="1980"/>
      <c r="H61" s="1980"/>
      <c r="I61" s="1980"/>
      <c r="J61" s="1980"/>
      <c r="K61" s="1980"/>
      <c r="L61" s="1980"/>
    </row>
    <row r="62" spans="1:12" s="756" customFormat="1">
      <c r="A62" s="1363"/>
      <c r="B62" s="2183"/>
      <c r="C62" s="2182"/>
      <c r="D62" s="2182"/>
      <c r="E62" s="2182"/>
      <c r="F62" s="1980"/>
      <c r="G62" s="1980"/>
      <c r="H62" s="1980"/>
      <c r="I62" s="1980"/>
      <c r="J62" s="1980"/>
      <c r="K62" s="1980"/>
      <c r="L62" s="1980"/>
    </row>
    <row r="63" spans="1:12" s="756" customFormat="1">
      <c r="A63" s="1363"/>
      <c r="B63" s="1363"/>
      <c r="C63" s="1363"/>
      <c r="D63" s="1980"/>
      <c r="E63" s="1980"/>
      <c r="F63" s="1980"/>
      <c r="G63" s="1980"/>
      <c r="H63" s="1980"/>
      <c r="I63" s="1980"/>
      <c r="J63" s="1980"/>
      <c r="K63" s="1980"/>
      <c r="L63" s="1980"/>
    </row>
    <row r="64" spans="1:12" s="756" customFormat="1">
      <c r="A64" s="1363"/>
      <c r="B64" s="1363"/>
      <c r="C64" s="1363"/>
      <c r="D64" s="1980"/>
      <c r="E64" s="1980"/>
      <c r="F64" s="1980"/>
      <c r="G64" s="1980"/>
      <c r="H64" s="1980"/>
      <c r="I64" s="1980"/>
      <c r="J64" s="1980"/>
      <c r="K64" s="1980"/>
      <c r="L64" s="1980"/>
    </row>
    <row r="65" spans="1:12" s="756" customFormat="1">
      <c r="A65" s="1363"/>
      <c r="B65" s="1363"/>
      <c r="C65" s="1363"/>
      <c r="D65" s="1980"/>
      <c r="E65" s="1980"/>
      <c r="F65" s="1980"/>
      <c r="G65" s="1980"/>
      <c r="H65" s="1980"/>
      <c r="I65" s="1980"/>
      <c r="J65" s="1980"/>
      <c r="K65" s="1980"/>
      <c r="L65" s="1980"/>
    </row>
    <row r="66" spans="1:12" s="756" customFormat="1">
      <c r="A66" s="1363"/>
      <c r="B66" s="1363"/>
      <c r="C66" s="1363"/>
      <c r="D66" s="1980"/>
      <c r="E66" s="1980"/>
      <c r="F66" s="1980"/>
      <c r="G66" s="1980"/>
      <c r="H66" s="1980"/>
      <c r="I66" s="1980"/>
      <c r="J66" s="1980"/>
      <c r="K66" s="1980"/>
      <c r="L66" s="1980"/>
    </row>
    <row r="67" spans="1:12" s="756" customFormat="1">
      <c r="A67" s="1363"/>
      <c r="B67" s="1363"/>
      <c r="C67" s="1363"/>
      <c r="D67" s="1980"/>
      <c r="E67" s="1980"/>
      <c r="F67" s="1980"/>
      <c r="G67" s="1980"/>
      <c r="H67" s="1980"/>
      <c r="I67" s="1980"/>
      <c r="J67" s="1980"/>
      <c r="K67" s="1980"/>
      <c r="L67" s="1980"/>
    </row>
    <row r="68" spans="1:12" s="756" customFormat="1">
      <c r="A68" s="1363"/>
      <c r="B68" s="1363"/>
      <c r="C68" s="1363"/>
      <c r="D68" s="1980"/>
      <c r="E68" s="1980"/>
      <c r="F68" s="1980"/>
      <c r="G68" s="1980"/>
      <c r="H68" s="1980"/>
      <c r="I68" s="1980"/>
      <c r="J68" s="1980"/>
      <c r="K68" s="1980"/>
      <c r="L68" s="1980"/>
    </row>
    <row r="69" spans="1:12" s="756" customFormat="1">
      <c r="A69" s="1363"/>
      <c r="B69" s="1363"/>
      <c r="C69" s="1363"/>
      <c r="D69" s="1980"/>
      <c r="E69" s="1980"/>
      <c r="F69" s="1980"/>
      <c r="G69" s="1980"/>
      <c r="H69" s="1980"/>
      <c r="I69" s="1980"/>
      <c r="J69" s="1980"/>
      <c r="K69" s="1980"/>
      <c r="L69" s="1980"/>
    </row>
    <row r="70" spans="1:12" s="756" customFormat="1">
      <c r="A70" s="1363"/>
      <c r="B70" s="1363"/>
      <c r="C70" s="1363"/>
      <c r="D70" s="1980"/>
      <c r="E70" s="1980"/>
      <c r="F70" s="1980"/>
      <c r="G70" s="1980"/>
      <c r="H70" s="1980"/>
      <c r="I70" s="1980"/>
      <c r="J70" s="1980"/>
      <c r="K70" s="1980"/>
      <c r="L70" s="1980"/>
    </row>
    <row r="71" spans="1:12" s="756" customFormat="1">
      <c r="A71" s="1363"/>
      <c r="B71" s="1363"/>
      <c r="C71" s="1363"/>
      <c r="D71" s="1980"/>
      <c r="E71" s="1980"/>
      <c r="F71" s="1980"/>
      <c r="G71" s="1980"/>
      <c r="H71" s="1980"/>
      <c r="I71" s="1980"/>
      <c r="J71" s="1980"/>
      <c r="K71" s="1980"/>
      <c r="L71" s="1980"/>
    </row>
    <row r="72" spans="1:12" s="756" customFormat="1">
      <c r="A72" s="1363"/>
      <c r="B72" s="1363"/>
      <c r="C72" s="1363"/>
      <c r="D72" s="1980"/>
      <c r="E72" s="1980"/>
      <c r="F72" s="1980"/>
      <c r="G72" s="1980"/>
      <c r="H72" s="1980"/>
      <c r="I72" s="1980"/>
      <c r="J72" s="1980"/>
      <c r="K72" s="1980"/>
      <c r="L72" s="1980"/>
    </row>
    <row r="73" spans="1:12" s="756" customFormat="1">
      <c r="A73" s="1363"/>
      <c r="B73" s="1363"/>
      <c r="C73" s="1363"/>
      <c r="D73" s="1980"/>
      <c r="E73" s="1980"/>
      <c r="F73" s="1980"/>
      <c r="G73" s="1980"/>
      <c r="H73" s="1980"/>
      <c r="I73" s="1980"/>
      <c r="J73" s="1980"/>
      <c r="K73" s="1980"/>
      <c r="L73" s="1980"/>
    </row>
    <row r="74" spans="1:12" s="756" customFormat="1">
      <c r="A74" s="1363"/>
      <c r="B74" s="1363"/>
      <c r="C74" s="1363"/>
      <c r="D74" s="1980"/>
      <c r="E74" s="1980"/>
      <c r="F74" s="1980"/>
      <c r="G74" s="1980"/>
      <c r="H74" s="1980"/>
      <c r="I74" s="1980"/>
      <c r="J74" s="1980"/>
      <c r="K74" s="1980"/>
      <c r="L74" s="1980"/>
    </row>
    <row r="75" spans="1:12" s="756" customFormat="1">
      <c r="A75" s="1363"/>
      <c r="B75" s="1363"/>
      <c r="C75" s="1363"/>
      <c r="D75" s="1980"/>
      <c r="E75" s="1980"/>
      <c r="F75" s="1980"/>
      <c r="G75" s="1980"/>
      <c r="H75" s="1980"/>
      <c r="I75" s="1980"/>
      <c r="J75" s="1980"/>
      <c r="K75" s="1980"/>
      <c r="L75" s="1980"/>
    </row>
    <row r="76" spans="1:12" s="756" customFormat="1">
      <c r="A76" s="1363"/>
      <c r="B76" s="1363"/>
      <c r="C76" s="1363"/>
      <c r="D76" s="1980"/>
      <c r="E76" s="1980"/>
      <c r="F76" s="1980"/>
      <c r="G76" s="1980"/>
      <c r="H76" s="1980"/>
      <c r="I76" s="1980"/>
      <c r="J76" s="1980"/>
      <c r="K76" s="1980"/>
      <c r="L76" s="1980"/>
    </row>
    <row r="77" spans="1:12" s="756" customFormat="1">
      <c r="A77" s="1363"/>
      <c r="B77" s="1363"/>
      <c r="C77" s="1363"/>
      <c r="D77" s="1980"/>
      <c r="E77" s="1980"/>
      <c r="F77" s="1980"/>
      <c r="G77" s="1980"/>
      <c r="H77" s="1980"/>
      <c r="I77" s="1980"/>
      <c r="J77" s="1980"/>
      <c r="K77" s="1980"/>
      <c r="L77" s="1980"/>
    </row>
    <row r="78" spans="1:12" s="756" customFormat="1">
      <c r="A78" s="1363"/>
      <c r="B78" s="1363"/>
      <c r="C78" s="1363"/>
      <c r="D78" s="1980"/>
      <c r="E78" s="1980"/>
      <c r="F78" s="1980"/>
      <c r="G78" s="1980"/>
      <c r="H78" s="1980"/>
      <c r="I78" s="1980"/>
      <c r="J78" s="1980"/>
      <c r="K78" s="1980"/>
      <c r="L78" s="1980"/>
    </row>
    <row r="79" spans="1:12" s="756" customFormat="1">
      <c r="A79" s="1363"/>
      <c r="B79" s="1363"/>
      <c r="C79" s="1363"/>
      <c r="D79" s="1980"/>
      <c r="E79" s="1980"/>
      <c r="F79" s="1980"/>
      <c r="G79" s="1980"/>
      <c r="H79" s="1980"/>
      <c r="I79" s="1980"/>
      <c r="J79" s="1980"/>
      <c r="K79" s="1980"/>
      <c r="L79" s="1980"/>
    </row>
    <row r="80" spans="1:12" s="756" customFormat="1">
      <c r="A80" s="1363"/>
      <c r="B80" s="1363"/>
      <c r="C80" s="1363"/>
      <c r="D80" s="1980"/>
      <c r="E80" s="1980"/>
      <c r="F80" s="1980"/>
      <c r="G80" s="1980"/>
      <c r="H80" s="1980"/>
      <c r="I80" s="1980"/>
      <c r="J80" s="1980"/>
      <c r="K80" s="1980"/>
      <c r="L80" s="1980"/>
    </row>
    <row r="81" spans="1:12" s="756" customFormat="1">
      <c r="A81" s="1363"/>
      <c r="B81" s="1363"/>
      <c r="C81" s="1363"/>
      <c r="D81" s="1980"/>
      <c r="E81" s="1980"/>
      <c r="F81" s="1980"/>
      <c r="G81" s="1980"/>
      <c r="H81" s="1980"/>
      <c r="I81" s="1980"/>
      <c r="J81" s="1980"/>
      <c r="K81" s="1980"/>
      <c r="L81" s="1980"/>
    </row>
    <row r="82" spans="1:12" s="756" customFormat="1">
      <c r="A82" s="1363"/>
      <c r="B82" s="1363"/>
      <c r="C82" s="1363"/>
      <c r="D82" s="1980"/>
      <c r="E82" s="1980"/>
      <c r="F82" s="1980"/>
      <c r="G82" s="1980"/>
      <c r="H82" s="1980"/>
      <c r="I82" s="1980"/>
      <c r="J82" s="1980"/>
      <c r="K82" s="1980"/>
      <c r="L82" s="1980"/>
    </row>
    <row r="83" spans="1:12" s="756" customFormat="1">
      <c r="A83" s="1363"/>
      <c r="B83" s="1363"/>
      <c r="C83" s="1363"/>
      <c r="D83" s="1980"/>
      <c r="E83" s="1980"/>
      <c r="F83" s="1980"/>
      <c r="G83" s="1980"/>
      <c r="H83" s="1980"/>
      <c r="I83" s="1980"/>
      <c r="J83" s="1980"/>
      <c r="K83" s="1980"/>
      <c r="L83" s="1980"/>
    </row>
    <row r="84" spans="1:12" s="756" customFormat="1">
      <c r="A84" s="1363"/>
      <c r="B84" s="1363"/>
      <c r="C84" s="1363"/>
      <c r="D84" s="1980"/>
      <c r="E84" s="1980"/>
      <c r="F84" s="1980"/>
      <c r="G84" s="1980"/>
      <c r="H84" s="1980"/>
      <c r="I84" s="1980"/>
      <c r="J84" s="1980"/>
      <c r="K84" s="1980"/>
      <c r="L84" s="1980"/>
    </row>
    <row r="85" spans="1:12" s="756" customFormat="1">
      <c r="A85" s="1363"/>
      <c r="B85" s="1363"/>
      <c r="C85" s="1363"/>
      <c r="D85" s="1980"/>
      <c r="E85" s="1980"/>
      <c r="F85" s="1980"/>
      <c r="G85" s="1980"/>
      <c r="H85" s="1980"/>
      <c r="I85" s="1980"/>
      <c r="J85" s="1980"/>
      <c r="K85" s="1980"/>
      <c r="L85" s="1980"/>
    </row>
    <row r="86" spans="1:12" s="756" customFormat="1">
      <c r="A86" s="1363"/>
      <c r="B86" s="1363"/>
      <c r="C86" s="1363"/>
      <c r="D86" s="1980"/>
      <c r="E86" s="1980"/>
      <c r="F86" s="1980"/>
      <c r="G86" s="1980"/>
      <c r="H86" s="1980"/>
      <c r="I86" s="1980"/>
      <c r="J86" s="1980"/>
      <c r="K86" s="1980"/>
      <c r="L86" s="1980"/>
    </row>
    <row r="87" spans="1:12" s="756" customFormat="1">
      <c r="A87" s="1363"/>
      <c r="B87" s="1363"/>
      <c r="C87" s="1363"/>
      <c r="D87" s="1980"/>
      <c r="E87" s="1980"/>
      <c r="F87" s="1980"/>
      <c r="G87" s="1980"/>
      <c r="H87" s="1980"/>
      <c r="I87" s="1980"/>
      <c r="J87" s="1980"/>
      <c r="K87" s="1980"/>
      <c r="L87" s="1980"/>
    </row>
    <row r="88" spans="1:12" s="756" customFormat="1">
      <c r="A88" s="1363"/>
      <c r="B88" s="1363"/>
      <c r="C88" s="1363"/>
      <c r="D88" s="1980"/>
      <c r="E88" s="1980"/>
      <c r="F88" s="1980"/>
      <c r="G88" s="1980"/>
      <c r="H88" s="1980"/>
      <c r="I88" s="1980"/>
      <c r="J88" s="1980"/>
      <c r="K88" s="1980"/>
      <c r="L88" s="1980"/>
    </row>
    <row r="89" spans="1:12" s="756" customFormat="1">
      <c r="A89" s="1363"/>
      <c r="B89" s="1363"/>
      <c r="C89" s="1363"/>
      <c r="D89" s="1980"/>
      <c r="E89" s="1980"/>
      <c r="F89" s="1980"/>
      <c r="G89" s="1980"/>
      <c r="H89" s="1980"/>
      <c r="I89" s="1980"/>
      <c r="J89" s="1980"/>
      <c r="K89" s="1980"/>
      <c r="L89" s="1980"/>
    </row>
    <row r="90" spans="1:12" s="756" customFormat="1">
      <c r="A90" s="1363"/>
      <c r="B90" s="1363"/>
      <c r="C90" s="1363"/>
      <c r="D90" s="1980"/>
      <c r="E90" s="1980"/>
      <c r="F90" s="1980"/>
      <c r="G90" s="1980"/>
      <c r="H90" s="1980"/>
      <c r="I90" s="1980"/>
      <c r="J90" s="1980"/>
      <c r="K90" s="1980"/>
      <c r="L90" s="1980"/>
    </row>
    <row r="91" spans="1:12" s="756" customFormat="1">
      <c r="A91" s="1363"/>
      <c r="B91" s="1363"/>
      <c r="C91" s="1363"/>
      <c r="D91" s="1980"/>
      <c r="E91" s="1980"/>
      <c r="F91" s="1980"/>
      <c r="G91" s="1980"/>
      <c r="H91" s="1980"/>
      <c r="I91" s="1980"/>
      <c r="J91" s="1980"/>
      <c r="K91" s="1980"/>
      <c r="L91" s="1980"/>
    </row>
    <row r="92" spans="1:12" s="756" customFormat="1">
      <c r="A92" s="1363"/>
      <c r="B92" s="1363"/>
      <c r="C92" s="1363"/>
      <c r="D92" s="1980"/>
      <c r="E92" s="1980"/>
      <c r="F92" s="1980"/>
      <c r="G92" s="1980"/>
      <c r="H92" s="1980"/>
      <c r="I92" s="1980"/>
      <c r="J92" s="1980"/>
      <c r="K92" s="1980"/>
      <c r="L92" s="1980"/>
    </row>
    <row r="93" spans="1:12" s="756" customFormat="1">
      <c r="A93" s="1363"/>
      <c r="B93" s="1363"/>
      <c r="C93" s="1363"/>
      <c r="D93" s="1980"/>
      <c r="E93" s="1980"/>
      <c r="F93" s="1980"/>
      <c r="G93" s="1980"/>
      <c r="H93" s="1980"/>
      <c r="I93" s="1980"/>
      <c r="J93" s="1980"/>
      <c r="K93" s="1980"/>
      <c r="L93" s="1980"/>
    </row>
    <row r="94" spans="1:12" s="756" customFormat="1">
      <c r="A94" s="1363"/>
      <c r="B94" s="1363"/>
      <c r="C94" s="1363"/>
      <c r="D94" s="1980"/>
      <c r="E94" s="1980"/>
      <c r="F94" s="1980"/>
      <c r="G94" s="1980"/>
      <c r="H94" s="1980"/>
      <c r="I94" s="1980"/>
      <c r="J94" s="1980"/>
      <c r="K94" s="1980"/>
      <c r="L94" s="1980"/>
    </row>
    <row r="95" spans="1:12" s="756" customFormat="1">
      <c r="A95" s="1363"/>
      <c r="B95" s="1363"/>
      <c r="C95" s="1363"/>
      <c r="D95" s="1980"/>
      <c r="E95" s="1980"/>
      <c r="F95" s="1980"/>
      <c r="G95" s="1980"/>
      <c r="H95" s="1980"/>
      <c r="I95" s="1980"/>
      <c r="J95" s="1980"/>
      <c r="K95" s="1980"/>
      <c r="L95" s="1980"/>
    </row>
    <row r="96" spans="1:12" s="756" customFormat="1">
      <c r="A96" s="1363"/>
      <c r="B96" s="1363"/>
      <c r="C96" s="1363"/>
      <c r="D96" s="1980"/>
      <c r="E96" s="1980"/>
      <c r="F96" s="1980"/>
      <c r="G96" s="1980"/>
      <c r="H96" s="1980"/>
      <c r="I96" s="1980"/>
      <c r="J96" s="1980"/>
      <c r="K96" s="1980"/>
      <c r="L96" s="1980"/>
    </row>
    <row r="97" spans="1:12" s="756" customFormat="1">
      <c r="A97" s="1363"/>
      <c r="B97" s="1363"/>
      <c r="C97" s="1363"/>
      <c r="D97" s="1980"/>
      <c r="E97" s="1980"/>
      <c r="F97" s="1980"/>
      <c r="G97" s="1980"/>
      <c r="H97" s="1980"/>
      <c r="I97" s="1980"/>
      <c r="J97" s="1980"/>
      <c r="K97" s="1980"/>
      <c r="L97" s="1980"/>
    </row>
    <row r="98" spans="1:12" s="756" customFormat="1">
      <c r="A98" s="1363"/>
      <c r="B98" s="1363"/>
      <c r="C98" s="1363"/>
      <c r="D98" s="1980"/>
      <c r="E98" s="1980"/>
      <c r="F98" s="1980"/>
      <c r="G98" s="1980"/>
      <c r="H98" s="1980"/>
      <c r="I98" s="1980"/>
      <c r="J98" s="1980"/>
      <c r="K98" s="1980"/>
      <c r="L98" s="1980"/>
    </row>
    <row r="99" spans="1:12" s="756" customFormat="1">
      <c r="A99" s="1363"/>
      <c r="B99" s="1363"/>
      <c r="C99" s="1363"/>
      <c r="D99" s="1980"/>
      <c r="E99" s="1980"/>
      <c r="F99" s="1980"/>
      <c r="G99" s="1980"/>
      <c r="H99" s="1980"/>
      <c r="I99" s="1980"/>
      <c r="J99" s="1980"/>
      <c r="K99" s="1980"/>
      <c r="L99" s="1980"/>
    </row>
    <row r="100" spans="1:12" s="756" customFormat="1">
      <c r="A100" s="1363"/>
      <c r="B100" s="1363"/>
      <c r="C100" s="1363"/>
      <c r="D100" s="1980"/>
      <c r="E100" s="1980"/>
      <c r="F100" s="1980"/>
      <c r="G100" s="1980"/>
      <c r="H100" s="1980"/>
      <c r="I100" s="1980"/>
      <c r="J100" s="1980"/>
      <c r="K100" s="1980"/>
      <c r="L100" s="1980"/>
    </row>
    <row r="101" spans="1:12" s="756" customFormat="1">
      <c r="A101" s="1363"/>
      <c r="B101" s="1363"/>
      <c r="C101" s="1363"/>
      <c r="D101" s="1980"/>
      <c r="E101" s="1980"/>
      <c r="F101" s="1980"/>
      <c r="G101" s="1980"/>
      <c r="H101" s="1980"/>
      <c r="I101" s="1980"/>
      <c r="J101" s="1980"/>
      <c r="K101" s="1980"/>
      <c r="L101" s="1980"/>
    </row>
    <row r="102" spans="1:12" s="756" customFormat="1">
      <c r="A102" s="1363"/>
      <c r="B102" s="1363"/>
      <c r="C102" s="1363"/>
      <c r="D102" s="1980"/>
      <c r="E102" s="1980"/>
      <c r="F102" s="1980"/>
      <c r="G102" s="1980"/>
      <c r="H102" s="1980"/>
      <c r="I102" s="1980"/>
      <c r="J102" s="1980"/>
      <c r="K102" s="1980"/>
      <c r="L102" s="1980"/>
    </row>
    <row r="103" spans="1:12" s="756" customFormat="1">
      <c r="A103" s="1363"/>
      <c r="B103" s="1363"/>
      <c r="C103" s="1363"/>
      <c r="D103" s="1980"/>
      <c r="E103" s="1980"/>
      <c r="F103" s="1980"/>
      <c r="G103" s="1980"/>
      <c r="H103" s="1980"/>
      <c r="I103" s="1980"/>
      <c r="J103" s="1980"/>
      <c r="K103" s="1980"/>
      <c r="L103" s="1980"/>
    </row>
    <row r="104" spans="1:12" s="756" customFormat="1">
      <c r="A104" s="1363"/>
      <c r="B104" s="1363"/>
      <c r="C104" s="1363"/>
      <c r="D104" s="1980"/>
      <c r="E104" s="1980"/>
      <c r="F104" s="1980"/>
      <c r="G104" s="1980"/>
      <c r="H104" s="1980"/>
      <c r="I104" s="1980"/>
      <c r="J104" s="1980"/>
      <c r="K104" s="1980"/>
      <c r="L104" s="1980"/>
    </row>
    <row r="105" spans="1:12" s="756" customFormat="1">
      <c r="A105" s="1363"/>
      <c r="B105" s="1363"/>
      <c r="C105" s="1363"/>
      <c r="D105" s="1980"/>
      <c r="E105" s="1980"/>
      <c r="F105" s="1980"/>
      <c r="G105" s="1980"/>
      <c r="H105" s="1980"/>
      <c r="I105" s="1980"/>
      <c r="J105" s="1980"/>
      <c r="K105" s="1980"/>
      <c r="L105" s="1980"/>
    </row>
    <row r="106" spans="1:12" s="756" customFormat="1">
      <c r="A106" s="1363"/>
      <c r="B106" s="1363"/>
      <c r="C106" s="1363"/>
      <c r="D106" s="1980"/>
      <c r="E106" s="1980"/>
      <c r="F106" s="1980"/>
      <c r="G106" s="1980"/>
      <c r="H106" s="1980"/>
      <c r="I106" s="1980"/>
      <c r="J106" s="1980"/>
      <c r="K106" s="1980"/>
      <c r="L106" s="1980"/>
    </row>
    <row r="107" spans="1:12" s="756" customFormat="1">
      <c r="A107" s="1363"/>
      <c r="B107" s="1363"/>
      <c r="C107" s="1363"/>
      <c r="D107" s="1980"/>
      <c r="E107" s="1980"/>
      <c r="F107" s="1980"/>
      <c r="G107" s="1980"/>
      <c r="H107" s="1980"/>
      <c r="I107" s="1980"/>
      <c r="J107" s="1980"/>
      <c r="K107" s="1980"/>
      <c r="L107" s="1980"/>
    </row>
    <row r="108" spans="1:12" s="756" customFormat="1">
      <c r="A108" s="1363"/>
      <c r="B108" s="1363"/>
      <c r="C108" s="1363"/>
      <c r="D108" s="1980"/>
      <c r="E108" s="1980"/>
      <c r="F108" s="1980"/>
      <c r="G108" s="1980"/>
      <c r="H108" s="1980"/>
      <c r="I108" s="1980"/>
      <c r="J108" s="1980"/>
      <c r="K108" s="1980"/>
      <c r="L108" s="1980"/>
    </row>
    <row r="109" spans="1:12" s="756" customFormat="1">
      <c r="A109" s="1363"/>
      <c r="B109" s="1363"/>
      <c r="C109" s="1363"/>
      <c r="D109" s="1980"/>
      <c r="E109" s="1980"/>
      <c r="F109" s="1980"/>
      <c r="G109" s="1980"/>
      <c r="H109" s="1980"/>
      <c r="I109" s="1980"/>
      <c r="J109" s="1980"/>
      <c r="K109" s="1980"/>
      <c r="L109" s="1980"/>
    </row>
    <row r="110" spans="1:12" s="756" customFormat="1">
      <c r="A110" s="1363"/>
      <c r="B110" s="1363"/>
      <c r="C110" s="1363"/>
      <c r="D110" s="1980"/>
      <c r="E110" s="1980"/>
      <c r="F110" s="1980"/>
      <c r="G110" s="1980"/>
      <c r="H110" s="1980"/>
      <c r="I110" s="1980"/>
      <c r="J110" s="1980"/>
      <c r="K110" s="1980"/>
      <c r="L110" s="1980"/>
    </row>
    <row r="111" spans="1:12" s="756" customFormat="1">
      <c r="A111" s="1363"/>
      <c r="B111" s="1363"/>
      <c r="C111" s="1363"/>
      <c r="D111" s="1980"/>
      <c r="E111" s="1980"/>
      <c r="F111" s="1980"/>
      <c r="G111" s="1980"/>
      <c r="H111" s="1980"/>
      <c r="I111" s="1980"/>
      <c r="J111" s="1980"/>
      <c r="K111" s="1980"/>
      <c r="L111" s="1980"/>
    </row>
    <row r="112" spans="1:12" s="756" customFormat="1">
      <c r="A112" s="1363"/>
      <c r="B112" s="1363"/>
      <c r="C112" s="1363"/>
      <c r="D112" s="1980"/>
      <c r="E112" s="1980"/>
      <c r="F112" s="1980"/>
      <c r="G112" s="1980"/>
      <c r="H112" s="1980"/>
      <c r="I112" s="1980"/>
      <c r="J112" s="1980"/>
      <c r="K112" s="1980"/>
      <c r="L112" s="1980"/>
    </row>
    <row r="113" spans="1:12" s="756" customFormat="1">
      <c r="A113" s="1363"/>
      <c r="B113" s="1363"/>
      <c r="C113" s="1363"/>
      <c r="D113" s="1980"/>
      <c r="E113" s="1980"/>
      <c r="F113" s="1980"/>
      <c r="G113" s="1980"/>
      <c r="H113" s="1980"/>
      <c r="I113" s="1980"/>
      <c r="J113" s="1980"/>
      <c r="K113" s="1980"/>
      <c r="L113" s="1980"/>
    </row>
    <row r="114" spans="1:12" s="756" customFormat="1">
      <c r="A114" s="1363"/>
      <c r="B114" s="1363"/>
      <c r="C114" s="1363"/>
      <c r="D114" s="1980"/>
      <c r="E114" s="1980"/>
      <c r="F114" s="1980"/>
      <c r="G114" s="1980"/>
      <c r="H114" s="1980"/>
      <c r="I114" s="1980"/>
      <c r="J114" s="1980"/>
      <c r="K114" s="1980"/>
      <c r="L114" s="1980"/>
    </row>
    <row r="115" spans="1:12" s="756" customFormat="1">
      <c r="A115" s="1363"/>
      <c r="B115" s="1363"/>
      <c r="C115" s="1363"/>
      <c r="D115" s="1980"/>
      <c r="E115" s="1980"/>
      <c r="F115" s="1980"/>
      <c r="G115" s="1980"/>
      <c r="H115" s="1980"/>
      <c r="I115" s="1980"/>
      <c r="J115" s="1980"/>
      <c r="K115" s="1980"/>
      <c r="L115" s="1980"/>
    </row>
    <row r="116" spans="1:12" s="756" customFormat="1">
      <c r="A116" s="1363"/>
      <c r="B116" s="1363"/>
      <c r="C116" s="1363"/>
      <c r="D116" s="1980"/>
      <c r="E116" s="1980"/>
      <c r="F116" s="1980"/>
      <c r="G116" s="1980"/>
      <c r="H116" s="1980"/>
      <c r="I116" s="1980"/>
      <c r="J116" s="1980"/>
      <c r="K116" s="1980"/>
      <c r="L116" s="1980"/>
    </row>
    <row r="117" spans="1:12" s="756" customFormat="1">
      <c r="A117" s="1363"/>
      <c r="B117" s="1363"/>
      <c r="C117" s="1363"/>
      <c r="D117" s="1980"/>
      <c r="E117" s="1980"/>
      <c r="F117" s="1980"/>
      <c r="G117" s="1980"/>
      <c r="H117" s="1980"/>
      <c r="I117" s="1980"/>
      <c r="J117" s="1980"/>
      <c r="K117" s="1980"/>
      <c r="L117" s="1980"/>
    </row>
    <row r="118" spans="1:12" s="756" customFormat="1">
      <c r="A118" s="1363"/>
      <c r="B118" s="1363"/>
      <c r="C118" s="1363"/>
      <c r="D118" s="1980"/>
      <c r="E118" s="1980"/>
      <c r="F118" s="1980"/>
      <c r="G118" s="1980"/>
      <c r="H118" s="1980"/>
      <c r="I118" s="1980"/>
      <c r="J118" s="1980"/>
      <c r="K118" s="1980"/>
      <c r="L118" s="1980"/>
    </row>
    <row r="119" spans="1:12" s="756" customFormat="1">
      <c r="A119" s="1363"/>
      <c r="B119" s="1363"/>
      <c r="C119" s="1363"/>
      <c r="D119" s="1980"/>
      <c r="E119" s="1980"/>
      <c r="F119" s="1980"/>
      <c r="G119" s="1980"/>
      <c r="H119" s="1980"/>
      <c r="I119" s="1980"/>
      <c r="J119" s="1980"/>
      <c r="K119" s="1980"/>
      <c r="L119" s="1980"/>
    </row>
    <row r="120" spans="1:12" s="756" customFormat="1">
      <c r="A120" s="1363"/>
      <c r="B120" s="1363"/>
      <c r="C120" s="1363"/>
      <c r="D120" s="1980"/>
      <c r="E120" s="1980"/>
      <c r="F120" s="1980"/>
      <c r="G120" s="1980"/>
      <c r="H120" s="1980"/>
      <c r="I120" s="1980"/>
      <c r="J120" s="1980"/>
      <c r="K120" s="1980"/>
      <c r="L120" s="1980"/>
    </row>
    <row r="121" spans="1:12" s="756" customFormat="1">
      <c r="A121" s="1363"/>
      <c r="B121" s="1363"/>
      <c r="C121" s="1363"/>
      <c r="D121" s="1980"/>
      <c r="E121" s="1980"/>
      <c r="F121" s="1980"/>
      <c r="G121" s="1980"/>
      <c r="H121" s="1980"/>
      <c r="I121" s="1980"/>
      <c r="J121" s="1980"/>
      <c r="K121" s="1980"/>
      <c r="L121" s="1980"/>
    </row>
    <row r="122" spans="1:12" s="756" customFormat="1">
      <c r="A122" s="1363"/>
      <c r="B122" s="1363"/>
      <c r="C122" s="1363"/>
      <c r="D122" s="1980"/>
      <c r="E122" s="1980"/>
      <c r="F122" s="1980"/>
      <c r="G122" s="1980"/>
      <c r="H122" s="1980"/>
      <c r="I122" s="1980"/>
      <c r="J122" s="1980"/>
      <c r="K122" s="1980"/>
      <c r="L122" s="1980"/>
    </row>
    <row r="123" spans="1:12" s="756" customFormat="1">
      <c r="A123" s="1363"/>
      <c r="B123" s="1363"/>
      <c r="C123" s="1363"/>
      <c r="D123" s="1980"/>
      <c r="E123" s="1980"/>
      <c r="F123" s="1980"/>
      <c r="G123" s="1980"/>
      <c r="H123" s="1980"/>
      <c r="I123" s="1980"/>
      <c r="J123" s="1980"/>
      <c r="K123" s="1980"/>
      <c r="L123" s="1980"/>
    </row>
    <row r="124" spans="1:12" s="756" customFormat="1">
      <c r="A124" s="1363"/>
      <c r="B124" s="1363"/>
      <c r="C124" s="1363"/>
      <c r="D124" s="1980"/>
      <c r="E124" s="1980"/>
      <c r="F124" s="1980"/>
      <c r="G124" s="1980"/>
      <c r="H124" s="1980"/>
      <c r="I124" s="1980"/>
      <c r="J124" s="1980"/>
      <c r="K124" s="1980"/>
      <c r="L124" s="1980"/>
    </row>
    <row r="125" spans="1:12" s="756" customFormat="1">
      <c r="A125" s="1363"/>
      <c r="B125" s="1363"/>
      <c r="C125" s="1363"/>
      <c r="D125" s="1980"/>
      <c r="E125" s="1980"/>
      <c r="F125" s="1980"/>
      <c r="G125" s="1980"/>
      <c r="H125" s="1980"/>
      <c r="I125" s="1980"/>
      <c r="J125" s="1980"/>
      <c r="K125" s="1980"/>
      <c r="L125" s="1980"/>
    </row>
    <row r="126" spans="1:12" s="756" customFormat="1">
      <c r="A126" s="1363"/>
      <c r="B126" s="1363"/>
      <c r="C126" s="1363"/>
      <c r="D126" s="1980"/>
      <c r="E126" s="1980"/>
      <c r="F126" s="1980"/>
      <c r="G126" s="1980"/>
      <c r="H126" s="1980"/>
      <c r="I126" s="1980"/>
      <c r="J126" s="1980"/>
      <c r="K126" s="1980"/>
      <c r="L126" s="1980"/>
    </row>
    <row r="127" spans="1:12" s="756" customFormat="1">
      <c r="A127" s="1363"/>
      <c r="B127" s="1363"/>
      <c r="C127" s="1363"/>
      <c r="D127" s="1980"/>
      <c r="E127" s="1980"/>
      <c r="F127" s="1980"/>
      <c r="G127" s="1980"/>
      <c r="H127" s="1980"/>
      <c r="I127" s="1980"/>
      <c r="J127" s="1980"/>
      <c r="K127" s="1980"/>
      <c r="L127" s="1980"/>
    </row>
    <row r="128" spans="1:12" s="756" customFormat="1">
      <c r="A128" s="1363"/>
      <c r="B128" s="1363"/>
      <c r="C128" s="1363"/>
      <c r="D128" s="1980"/>
      <c r="E128" s="1980"/>
      <c r="F128" s="1980"/>
      <c r="G128" s="1980"/>
      <c r="H128" s="1980"/>
      <c r="I128" s="1980"/>
      <c r="J128" s="1980"/>
      <c r="K128" s="1980"/>
      <c r="L128" s="1980"/>
    </row>
    <row r="129" spans="1:12" s="756" customFormat="1">
      <c r="A129" s="1363"/>
      <c r="B129" s="1363"/>
      <c r="C129" s="1363"/>
      <c r="D129" s="1980"/>
      <c r="E129" s="1980"/>
      <c r="F129" s="1980"/>
      <c r="G129" s="1980"/>
      <c r="H129" s="1980"/>
      <c r="I129" s="1980"/>
      <c r="J129" s="1980"/>
      <c r="K129" s="1980"/>
      <c r="L129" s="1980"/>
    </row>
    <row r="130" spans="1:12" s="756" customFormat="1">
      <c r="A130" s="1363"/>
      <c r="B130" s="1363"/>
      <c r="C130" s="1363"/>
      <c r="D130" s="1980"/>
      <c r="E130" s="1980"/>
      <c r="F130" s="1980"/>
      <c r="G130" s="1980"/>
      <c r="H130" s="1980"/>
      <c r="I130" s="1980"/>
      <c r="J130" s="1980"/>
      <c r="K130" s="1980"/>
      <c r="L130" s="1980"/>
    </row>
    <row r="131" spans="1:12" s="756" customFormat="1">
      <c r="A131" s="1363"/>
      <c r="B131" s="1363"/>
      <c r="C131" s="1363"/>
      <c r="D131" s="1980"/>
      <c r="E131" s="1980"/>
      <c r="F131" s="1980"/>
      <c r="G131" s="1980"/>
      <c r="H131" s="1980"/>
      <c r="I131" s="1980"/>
      <c r="J131" s="1980"/>
      <c r="K131" s="1980"/>
      <c r="L131" s="1980"/>
    </row>
    <row r="132" spans="1:12" s="756" customFormat="1">
      <c r="A132" s="1363"/>
      <c r="B132" s="1363"/>
      <c r="C132" s="1363"/>
      <c r="D132" s="1980"/>
      <c r="E132" s="1980"/>
      <c r="F132" s="1980"/>
      <c r="G132" s="1980"/>
      <c r="H132" s="1980"/>
      <c r="I132" s="1980"/>
      <c r="J132" s="1980"/>
      <c r="K132" s="1980"/>
      <c r="L132" s="1980"/>
    </row>
    <row r="133" spans="1:12" s="756" customFormat="1">
      <c r="A133" s="1363"/>
      <c r="B133" s="1363"/>
      <c r="C133" s="1363"/>
      <c r="D133" s="1980"/>
      <c r="E133" s="1980"/>
      <c r="F133" s="1980"/>
      <c r="G133" s="1980"/>
      <c r="H133" s="1980"/>
      <c r="I133" s="1980"/>
      <c r="J133" s="1980"/>
      <c r="K133" s="1980"/>
      <c r="L133" s="1980"/>
    </row>
    <row r="134" spans="1:12" s="756" customFormat="1">
      <c r="A134" s="1363"/>
      <c r="B134" s="1363"/>
      <c r="C134" s="1363"/>
      <c r="D134" s="1980"/>
      <c r="E134" s="1980"/>
      <c r="F134" s="1980"/>
      <c r="G134" s="1980"/>
      <c r="H134" s="1980"/>
      <c r="I134" s="1980"/>
      <c r="J134" s="1980"/>
      <c r="K134" s="1980"/>
      <c r="L134" s="1980"/>
    </row>
    <row r="135" spans="1:12" s="756" customFormat="1">
      <c r="A135" s="1363"/>
      <c r="B135" s="1363"/>
      <c r="C135" s="1363"/>
      <c r="D135" s="1980"/>
      <c r="E135" s="1980"/>
      <c r="F135" s="1980"/>
      <c r="G135" s="1980"/>
      <c r="H135" s="1980"/>
      <c r="I135" s="1980"/>
      <c r="J135" s="1980"/>
      <c r="K135" s="1980"/>
      <c r="L135" s="1980"/>
    </row>
    <row r="136" spans="1:12" s="756" customFormat="1">
      <c r="A136" s="1980"/>
      <c r="B136" s="1980"/>
      <c r="C136" s="1980"/>
      <c r="D136" s="1980"/>
      <c r="E136" s="1980"/>
      <c r="F136" s="1980"/>
      <c r="G136" s="1980"/>
      <c r="H136" s="1980"/>
      <c r="I136" s="1980"/>
      <c r="J136" s="1980"/>
      <c r="K136" s="1980"/>
      <c r="L136" s="1980"/>
    </row>
    <row r="137" spans="1:12" s="756" customFormat="1">
      <c r="A137" s="1980"/>
      <c r="B137" s="1980"/>
      <c r="C137" s="1980"/>
      <c r="D137" s="1980"/>
      <c r="E137" s="1980"/>
      <c r="F137" s="1980"/>
      <c r="G137" s="1980"/>
      <c r="H137" s="1980"/>
      <c r="I137" s="1980"/>
      <c r="J137" s="1980"/>
      <c r="K137" s="1980"/>
      <c r="L137" s="1980"/>
    </row>
    <row r="138" spans="1:12" s="756" customFormat="1">
      <c r="A138" s="1980"/>
      <c r="B138" s="1980"/>
      <c r="C138" s="1980"/>
      <c r="D138" s="1980"/>
      <c r="E138" s="1980"/>
      <c r="F138" s="1980"/>
      <c r="G138" s="1980"/>
      <c r="H138" s="1980"/>
      <c r="I138" s="1980"/>
      <c r="J138" s="1980"/>
      <c r="K138" s="1980"/>
      <c r="L138" s="1980"/>
    </row>
    <row r="139" spans="1:12" s="756" customFormat="1">
      <c r="A139" s="1980"/>
      <c r="B139" s="1980"/>
      <c r="C139" s="1980"/>
      <c r="D139" s="1980"/>
      <c r="E139" s="1980"/>
      <c r="F139" s="1980"/>
      <c r="G139" s="1980"/>
      <c r="H139" s="1980"/>
      <c r="I139" s="1980"/>
      <c r="J139" s="1980"/>
      <c r="K139" s="1980"/>
      <c r="L139" s="1980"/>
    </row>
    <row r="140" spans="1:12" s="756" customFormat="1">
      <c r="A140" s="1980"/>
      <c r="B140" s="1980"/>
      <c r="C140" s="1980"/>
      <c r="D140" s="1980"/>
      <c r="E140" s="1980"/>
      <c r="F140" s="1980"/>
      <c r="G140" s="1980"/>
      <c r="H140" s="1980"/>
      <c r="I140" s="1980"/>
      <c r="J140" s="1980"/>
      <c r="K140" s="1980"/>
      <c r="L140" s="1980"/>
    </row>
    <row r="141" spans="1:12" s="756" customFormat="1">
      <c r="A141" s="1980"/>
      <c r="B141" s="1980"/>
      <c r="C141" s="1980"/>
      <c r="D141" s="1980"/>
      <c r="E141" s="1980"/>
      <c r="F141" s="1980"/>
      <c r="G141" s="1980"/>
      <c r="H141" s="1980"/>
      <c r="I141" s="1980"/>
      <c r="J141" s="1980"/>
      <c r="K141" s="1980"/>
      <c r="L141" s="1980"/>
    </row>
    <row r="142" spans="1:12" s="756" customFormat="1">
      <c r="A142" s="1980"/>
      <c r="B142" s="1980"/>
      <c r="C142" s="1980"/>
      <c r="D142" s="1980"/>
      <c r="E142" s="1980"/>
      <c r="F142" s="1980"/>
      <c r="G142" s="1980"/>
      <c r="H142" s="1980"/>
      <c r="I142" s="1980"/>
      <c r="J142" s="1980"/>
      <c r="K142" s="1980"/>
      <c r="L142" s="1980"/>
    </row>
    <row r="143" spans="1:12" s="756" customFormat="1">
      <c r="A143" s="1980"/>
      <c r="B143" s="1980"/>
      <c r="C143" s="1980"/>
      <c r="D143" s="1980"/>
      <c r="E143" s="1980"/>
      <c r="F143" s="1980"/>
      <c r="G143" s="1980"/>
      <c r="H143" s="1980"/>
      <c r="I143" s="1980"/>
      <c r="J143" s="1980"/>
      <c r="K143" s="1980"/>
      <c r="L143" s="1980"/>
    </row>
    <row r="144" spans="1:12" s="756" customFormat="1">
      <c r="A144" s="1980"/>
      <c r="B144" s="1980"/>
      <c r="C144" s="1980"/>
      <c r="D144" s="1980"/>
      <c r="E144" s="1980"/>
      <c r="F144" s="1980"/>
      <c r="G144" s="1980"/>
      <c r="H144" s="1980"/>
      <c r="I144" s="1980"/>
      <c r="J144" s="1980"/>
      <c r="K144" s="1980"/>
      <c r="L144" s="1980"/>
    </row>
    <row r="145" spans="1:12" s="756" customFormat="1">
      <c r="A145" s="1980"/>
      <c r="B145" s="1980"/>
      <c r="C145" s="1980"/>
      <c r="D145" s="1980"/>
      <c r="E145" s="1980"/>
      <c r="F145" s="1980"/>
      <c r="G145" s="1980"/>
      <c r="H145" s="1980"/>
      <c r="I145" s="1980"/>
      <c r="J145" s="1980"/>
      <c r="K145" s="1980"/>
      <c r="L145" s="1980"/>
    </row>
    <row r="146" spans="1:12" s="756" customFormat="1">
      <c r="A146" s="1980"/>
      <c r="B146" s="1980"/>
      <c r="C146" s="1980"/>
      <c r="D146" s="1980"/>
      <c r="E146" s="1980"/>
      <c r="F146" s="1980"/>
      <c r="G146" s="1980"/>
      <c r="H146" s="1980"/>
      <c r="I146" s="1980"/>
      <c r="J146" s="1980"/>
      <c r="K146" s="1980"/>
      <c r="L146" s="1980"/>
    </row>
    <row r="147" spans="1:12" s="756" customFormat="1">
      <c r="A147" s="1980"/>
      <c r="B147" s="1980"/>
      <c r="C147" s="1980"/>
      <c r="D147" s="1980"/>
      <c r="E147" s="1980"/>
      <c r="F147" s="1980"/>
      <c r="G147" s="1980"/>
      <c r="H147" s="1980"/>
      <c r="I147" s="1980"/>
      <c r="J147" s="1980"/>
      <c r="K147" s="1980"/>
      <c r="L147" s="1980"/>
    </row>
    <row r="148" spans="1:12" s="756" customFormat="1">
      <c r="A148" s="1980"/>
      <c r="B148" s="1980"/>
      <c r="C148" s="1980"/>
      <c r="D148" s="1980"/>
      <c r="E148" s="1980"/>
      <c r="F148" s="1980"/>
      <c r="G148" s="1980"/>
      <c r="H148" s="1980"/>
      <c r="I148" s="1980"/>
      <c r="J148" s="1980"/>
      <c r="K148" s="1980"/>
      <c r="L148" s="1980"/>
    </row>
    <row r="149" spans="1:12" s="756" customFormat="1">
      <c r="A149" s="1980"/>
      <c r="B149" s="1980"/>
      <c r="C149" s="1980"/>
      <c r="D149" s="1980"/>
      <c r="E149" s="1980"/>
      <c r="F149" s="1980"/>
      <c r="G149" s="1980"/>
      <c r="H149" s="1980"/>
      <c r="I149" s="1980"/>
      <c r="J149" s="1980"/>
      <c r="K149" s="1980"/>
      <c r="L149" s="1980"/>
    </row>
    <row r="150" spans="1:12" s="756" customFormat="1">
      <c r="A150" s="1980"/>
      <c r="B150" s="1980"/>
      <c r="C150" s="1980"/>
      <c r="D150" s="1980"/>
      <c r="E150" s="1980"/>
      <c r="F150" s="1980"/>
      <c r="G150" s="1980"/>
      <c r="H150" s="1980"/>
      <c r="I150" s="1980"/>
      <c r="J150" s="1980"/>
      <c r="K150" s="1980"/>
      <c r="L150" s="1980"/>
    </row>
    <row r="151" spans="1:12" s="756" customFormat="1">
      <c r="A151" s="1980"/>
      <c r="B151" s="1980"/>
      <c r="C151" s="1980"/>
      <c r="D151" s="1980"/>
      <c r="E151" s="1980"/>
      <c r="F151" s="1980"/>
      <c r="G151" s="1980"/>
      <c r="H151" s="1980"/>
      <c r="I151" s="1980"/>
      <c r="J151" s="1980"/>
      <c r="K151" s="1980"/>
      <c r="L151" s="1980"/>
    </row>
    <row r="152" spans="1:12" s="756" customFormat="1">
      <c r="A152" s="1980"/>
      <c r="B152" s="1980"/>
      <c r="C152" s="1980"/>
      <c r="D152" s="1980"/>
      <c r="E152" s="1980"/>
      <c r="F152" s="1980"/>
      <c r="G152" s="1980"/>
      <c r="H152" s="1980"/>
      <c r="I152" s="1980"/>
      <c r="J152" s="1980"/>
      <c r="K152" s="1980"/>
      <c r="L152" s="1980"/>
    </row>
    <row r="153" spans="1:12" s="756" customFormat="1">
      <c r="A153" s="1980"/>
      <c r="B153" s="1980"/>
      <c r="C153" s="1980"/>
      <c r="D153" s="1980"/>
      <c r="E153" s="1980"/>
      <c r="F153" s="1980"/>
      <c r="G153" s="1980"/>
      <c r="H153" s="1980"/>
      <c r="I153" s="1980"/>
      <c r="J153" s="1980"/>
      <c r="K153" s="1980"/>
      <c r="L153" s="1980"/>
    </row>
    <row r="154" spans="1:12" s="756" customFormat="1">
      <c r="A154" s="1980"/>
      <c r="B154" s="1980"/>
      <c r="C154" s="1980"/>
      <c r="D154" s="1980"/>
      <c r="E154" s="1980"/>
      <c r="F154" s="1980"/>
      <c r="G154" s="1980"/>
      <c r="H154" s="1980"/>
      <c r="I154" s="1980"/>
      <c r="J154" s="1980"/>
      <c r="K154" s="1980"/>
      <c r="L154" s="1980"/>
    </row>
    <row r="155" spans="1:12" s="756" customFormat="1">
      <c r="A155" s="1980"/>
      <c r="B155" s="1980"/>
      <c r="C155" s="1980"/>
      <c r="D155" s="1980"/>
      <c r="E155" s="1980"/>
      <c r="F155" s="1980"/>
      <c r="G155" s="1980"/>
      <c r="H155" s="1980"/>
      <c r="I155" s="1980"/>
      <c r="J155" s="1980"/>
      <c r="K155" s="1980"/>
      <c r="L155" s="1980"/>
    </row>
    <row r="156" spans="1:12" s="756" customFormat="1">
      <c r="A156" s="1980"/>
      <c r="B156" s="1980"/>
      <c r="C156" s="1980"/>
      <c r="D156" s="1980"/>
      <c r="E156" s="1980"/>
      <c r="F156" s="1980"/>
      <c r="G156" s="1980"/>
      <c r="H156" s="1980"/>
      <c r="I156" s="1980"/>
      <c r="J156" s="1980"/>
      <c r="K156" s="1980"/>
      <c r="L156" s="1980"/>
    </row>
    <row r="157" spans="1:12" s="756" customFormat="1">
      <c r="A157" s="1980"/>
      <c r="B157" s="1980"/>
      <c r="C157" s="1980"/>
      <c r="D157" s="1980"/>
      <c r="E157" s="1980"/>
      <c r="F157" s="1980"/>
      <c r="G157" s="1980"/>
      <c r="H157" s="1980"/>
      <c r="I157" s="1980"/>
      <c r="J157" s="1980"/>
      <c r="K157" s="1980"/>
      <c r="L157" s="1980"/>
    </row>
    <row r="158" spans="1:12" s="756" customFormat="1">
      <c r="A158" s="1980"/>
      <c r="B158" s="1980"/>
      <c r="C158" s="1980"/>
      <c r="D158" s="1980"/>
      <c r="E158" s="1980"/>
      <c r="F158" s="1980"/>
      <c r="G158" s="1980"/>
      <c r="H158" s="1980"/>
      <c r="I158" s="1980"/>
      <c r="J158" s="1980"/>
      <c r="K158" s="1980"/>
      <c r="L158" s="1980"/>
    </row>
    <row r="159" spans="1:12" s="756" customFormat="1">
      <c r="A159" s="1980"/>
      <c r="B159" s="1980"/>
      <c r="C159" s="1980"/>
      <c r="D159" s="1980"/>
      <c r="E159" s="1980"/>
      <c r="F159" s="1980"/>
      <c r="G159" s="1980"/>
      <c r="H159" s="1980"/>
      <c r="I159" s="1980"/>
      <c r="J159" s="1980"/>
      <c r="K159" s="1980"/>
      <c r="L159" s="1980"/>
    </row>
    <row r="160" spans="1:12" s="756" customFormat="1">
      <c r="A160" s="1980"/>
      <c r="B160" s="1980"/>
      <c r="C160" s="1980"/>
      <c r="D160" s="1980"/>
      <c r="E160" s="1980"/>
      <c r="F160" s="1980"/>
      <c r="G160" s="1980"/>
      <c r="H160" s="1980"/>
      <c r="I160" s="1980"/>
      <c r="J160" s="1980"/>
      <c r="K160" s="1980"/>
      <c r="L160" s="1980"/>
    </row>
    <row r="161" spans="1:12" s="756" customFormat="1">
      <c r="A161" s="1980"/>
      <c r="B161" s="1980"/>
      <c r="C161" s="1980"/>
      <c r="D161" s="1980"/>
      <c r="E161" s="1980"/>
      <c r="F161" s="1980"/>
      <c r="G161" s="1980"/>
      <c r="H161" s="1980"/>
      <c r="I161" s="1980"/>
      <c r="J161" s="1980"/>
      <c r="K161" s="1980"/>
      <c r="L161" s="1980"/>
    </row>
    <row r="162" spans="1:12" s="756" customFormat="1">
      <c r="A162" s="1980"/>
      <c r="B162" s="1980"/>
      <c r="C162" s="1980"/>
      <c r="D162" s="1980"/>
      <c r="E162" s="1980"/>
      <c r="F162" s="1980"/>
      <c r="G162" s="1980"/>
      <c r="H162" s="1980"/>
      <c r="I162" s="1980"/>
      <c r="J162" s="1980"/>
      <c r="K162" s="1980"/>
      <c r="L162" s="1980"/>
    </row>
    <row r="163" spans="1:12" s="756" customFormat="1">
      <c r="A163" s="1980"/>
      <c r="B163" s="1980"/>
      <c r="C163" s="1980"/>
      <c r="D163" s="1980"/>
      <c r="E163" s="1980"/>
      <c r="F163" s="1980"/>
      <c r="G163" s="1980"/>
      <c r="H163" s="1980"/>
      <c r="I163" s="1980"/>
      <c r="J163" s="1980"/>
      <c r="K163" s="1980"/>
      <c r="L163" s="1980"/>
    </row>
    <row r="164" spans="1:12" s="756" customFormat="1">
      <c r="A164" s="1980"/>
      <c r="B164" s="1980"/>
      <c r="C164" s="1980"/>
      <c r="D164" s="1980"/>
      <c r="E164" s="1980"/>
      <c r="F164" s="1980"/>
      <c r="G164" s="1980"/>
      <c r="H164" s="1980"/>
      <c r="I164" s="1980"/>
      <c r="J164" s="1980"/>
      <c r="K164" s="1980"/>
      <c r="L164" s="1980"/>
    </row>
    <row r="165" spans="1:12" s="756" customFormat="1">
      <c r="A165" s="1980"/>
      <c r="B165" s="1980"/>
      <c r="C165" s="1980"/>
      <c r="D165" s="1980"/>
      <c r="E165" s="1980"/>
      <c r="F165" s="1980"/>
      <c r="G165" s="1980"/>
      <c r="H165" s="1980"/>
      <c r="I165" s="1980"/>
      <c r="J165" s="1980"/>
      <c r="K165" s="1980"/>
      <c r="L165" s="1980"/>
    </row>
    <row r="166" spans="1:12" s="756" customFormat="1">
      <c r="A166" s="1980"/>
      <c r="B166" s="1980"/>
      <c r="C166" s="1980"/>
      <c r="D166" s="1980"/>
      <c r="E166" s="1980"/>
      <c r="F166" s="1980"/>
      <c r="G166" s="1980"/>
      <c r="H166" s="1980"/>
      <c r="I166" s="1980"/>
      <c r="J166" s="1980"/>
      <c r="K166" s="1980"/>
      <c r="L166" s="1980"/>
    </row>
    <row r="167" spans="1:12" s="756" customFormat="1">
      <c r="A167" s="1980"/>
      <c r="B167" s="1980"/>
      <c r="C167" s="1980"/>
      <c r="D167" s="1980"/>
      <c r="E167" s="1980"/>
      <c r="F167" s="1980"/>
      <c r="G167" s="1980"/>
      <c r="H167" s="1980"/>
      <c r="I167" s="1980"/>
      <c r="J167" s="1980"/>
      <c r="K167" s="1980"/>
      <c r="L167" s="1980"/>
    </row>
    <row r="168" spans="1:12" s="756" customFormat="1">
      <c r="A168" s="1980"/>
      <c r="B168" s="1980"/>
      <c r="C168" s="1980"/>
      <c r="D168" s="1980"/>
      <c r="E168" s="1980"/>
      <c r="F168" s="1980"/>
      <c r="G168" s="1980"/>
      <c r="H168" s="1980"/>
      <c r="I168" s="1980"/>
      <c r="J168" s="1980"/>
      <c r="K168" s="1980"/>
      <c r="L168" s="1980"/>
    </row>
    <row r="169" spans="1:12" s="756" customFormat="1">
      <c r="A169" s="1980"/>
      <c r="B169" s="1980"/>
      <c r="C169" s="1980"/>
      <c r="D169" s="1980"/>
      <c r="E169" s="1980"/>
      <c r="F169" s="1980"/>
      <c r="G169" s="1980"/>
      <c r="H169" s="1980"/>
      <c r="I169" s="1980"/>
      <c r="J169" s="1980"/>
      <c r="K169" s="1980"/>
      <c r="L169" s="1980"/>
    </row>
    <row r="170" spans="1:12" s="756" customFormat="1">
      <c r="A170" s="1980"/>
      <c r="B170" s="1980"/>
      <c r="C170" s="1980"/>
      <c r="D170" s="1980"/>
      <c r="E170" s="1980"/>
      <c r="F170" s="1980"/>
      <c r="G170" s="1980"/>
      <c r="H170" s="1980"/>
      <c r="I170" s="1980"/>
      <c r="J170" s="1980"/>
      <c r="K170" s="1980"/>
      <c r="L170" s="1980"/>
    </row>
    <row r="171" spans="1:12" s="756" customFormat="1">
      <c r="A171" s="1980"/>
      <c r="B171" s="1980"/>
      <c r="C171" s="1980"/>
      <c r="D171" s="1980"/>
      <c r="E171" s="1980"/>
      <c r="F171" s="1980"/>
      <c r="G171" s="1980"/>
      <c r="H171" s="1980"/>
      <c r="I171" s="1980"/>
      <c r="J171" s="1980"/>
      <c r="K171" s="1980"/>
      <c r="L171" s="1980"/>
    </row>
    <row r="172" spans="1:12" s="756" customFormat="1">
      <c r="A172" s="1980"/>
      <c r="B172" s="1980"/>
      <c r="C172" s="1980"/>
      <c r="D172" s="1980"/>
      <c r="E172" s="1980"/>
      <c r="F172" s="1980"/>
      <c r="G172" s="1980"/>
      <c r="H172" s="1980"/>
      <c r="I172" s="1980"/>
      <c r="J172" s="1980"/>
      <c r="K172" s="1980"/>
      <c r="L172" s="1980"/>
    </row>
    <row r="173" spans="1:12" s="756" customFormat="1">
      <c r="A173" s="1980"/>
      <c r="B173" s="1980"/>
      <c r="C173" s="1980"/>
      <c r="D173" s="1980"/>
      <c r="E173" s="1980"/>
      <c r="F173" s="1980"/>
      <c r="G173" s="1980"/>
      <c r="H173" s="1980"/>
      <c r="I173" s="1980"/>
      <c r="J173" s="1980"/>
      <c r="K173" s="1980"/>
      <c r="L173" s="1980"/>
    </row>
    <row r="174" spans="1:12" s="756" customFormat="1">
      <c r="A174" s="1980"/>
      <c r="B174" s="1980"/>
      <c r="C174" s="1980"/>
      <c r="D174" s="1980"/>
      <c r="E174" s="1980"/>
      <c r="F174" s="1980"/>
      <c r="G174" s="1980"/>
      <c r="H174" s="1980"/>
      <c r="I174" s="1980"/>
      <c r="J174" s="1980"/>
      <c r="K174" s="1980"/>
      <c r="L174" s="1980"/>
    </row>
    <row r="175" spans="1:12" s="756" customFormat="1">
      <c r="A175" s="1980"/>
      <c r="B175" s="1980"/>
      <c r="C175" s="1980"/>
      <c r="D175" s="1980"/>
      <c r="E175" s="1980"/>
      <c r="F175" s="1980"/>
      <c r="G175" s="1980"/>
      <c r="H175" s="1980"/>
      <c r="I175" s="1980"/>
      <c r="J175" s="1980"/>
      <c r="K175" s="1980"/>
      <c r="L175" s="1980"/>
    </row>
    <row r="176" spans="1:12" s="756" customFormat="1">
      <c r="A176" s="1980"/>
      <c r="B176" s="1980"/>
      <c r="C176" s="1980"/>
      <c r="D176" s="1980"/>
      <c r="E176" s="1980"/>
      <c r="F176" s="1980"/>
      <c r="G176" s="1980"/>
      <c r="H176" s="1980"/>
      <c r="I176" s="1980"/>
      <c r="J176" s="1980"/>
      <c r="K176" s="1980"/>
      <c r="L176" s="1980"/>
    </row>
    <row r="177" spans="1:12" s="756" customFormat="1">
      <c r="A177" s="1980"/>
      <c r="B177" s="1980"/>
      <c r="C177" s="1980"/>
      <c r="D177" s="1980"/>
      <c r="E177" s="1980"/>
      <c r="F177" s="1980"/>
      <c r="G177" s="1980"/>
      <c r="H177" s="1980"/>
      <c r="I177" s="1980"/>
      <c r="J177" s="1980"/>
      <c r="K177" s="1980"/>
      <c r="L177" s="1980"/>
    </row>
    <row r="178" spans="1:12" s="756" customFormat="1">
      <c r="A178" s="1980"/>
      <c r="B178" s="1980"/>
      <c r="C178" s="1980"/>
      <c r="D178" s="1980"/>
      <c r="E178" s="1980"/>
      <c r="F178" s="1980"/>
      <c r="G178" s="1980"/>
      <c r="H178" s="1980"/>
      <c r="I178" s="1980"/>
      <c r="J178" s="1980"/>
      <c r="K178" s="1980"/>
      <c r="L178" s="1980"/>
    </row>
    <row r="179" spans="1:12" s="756" customFormat="1">
      <c r="A179" s="1980"/>
      <c r="B179" s="1980"/>
      <c r="C179" s="1980"/>
      <c r="D179" s="1980"/>
      <c r="E179" s="1980"/>
      <c r="F179" s="1980"/>
      <c r="G179" s="1980"/>
      <c r="H179" s="1980"/>
      <c r="I179" s="1980"/>
      <c r="J179" s="1980"/>
      <c r="K179" s="1980"/>
      <c r="L179" s="1980"/>
    </row>
    <row r="180" spans="1:12" s="756" customFormat="1">
      <c r="A180" s="1980"/>
      <c r="B180" s="1980"/>
      <c r="C180" s="1980"/>
      <c r="D180" s="1980"/>
      <c r="E180" s="1980"/>
      <c r="F180" s="1980"/>
      <c r="G180" s="1980"/>
      <c r="H180" s="1980"/>
      <c r="I180" s="1980"/>
      <c r="J180" s="1980"/>
      <c r="K180" s="1980"/>
      <c r="L180" s="1980"/>
    </row>
    <row r="181" spans="1:12" s="756" customFormat="1">
      <c r="A181" s="1980"/>
      <c r="B181" s="1980"/>
      <c r="C181" s="1980"/>
      <c r="D181" s="1980"/>
      <c r="E181" s="1980"/>
      <c r="F181" s="1980"/>
      <c r="G181" s="1980"/>
      <c r="H181" s="1980"/>
      <c r="I181" s="1980"/>
      <c r="J181" s="1980"/>
      <c r="K181" s="1980"/>
      <c r="L181" s="1980"/>
    </row>
    <row r="182" spans="1:12" s="756" customFormat="1">
      <c r="A182" s="1980"/>
      <c r="B182" s="1980"/>
      <c r="C182" s="1980"/>
      <c r="D182" s="1980"/>
      <c r="E182" s="1980"/>
      <c r="F182" s="1980"/>
      <c r="G182" s="1980"/>
      <c r="H182" s="1980"/>
      <c r="I182" s="1980"/>
      <c r="J182" s="1980"/>
      <c r="K182" s="1980"/>
      <c r="L182" s="1980"/>
    </row>
    <row r="183" spans="1:12" s="756" customFormat="1">
      <c r="A183" s="1980"/>
      <c r="B183" s="1980"/>
      <c r="C183" s="1980"/>
      <c r="D183" s="1980"/>
      <c r="E183" s="1980"/>
      <c r="F183" s="1980"/>
      <c r="G183" s="1980"/>
      <c r="H183" s="1980"/>
      <c r="I183" s="1980"/>
      <c r="J183" s="1980"/>
      <c r="K183" s="1980"/>
      <c r="L183" s="1980"/>
    </row>
    <row r="184" spans="1:12" s="756" customFormat="1">
      <c r="A184" s="1980"/>
      <c r="B184" s="1980"/>
      <c r="C184" s="1980"/>
      <c r="D184" s="1980"/>
      <c r="E184" s="1980"/>
      <c r="F184" s="1980"/>
      <c r="G184" s="1980"/>
      <c r="H184" s="1980"/>
      <c r="I184" s="1980"/>
      <c r="J184" s="1980"/>
      <c r="K184" s="1980"/>
      <c r="L184" s="1980"/>
    </row>
    <row r="185" spans="1:12" s="756" customFormat="1">
      <c r="A185" s="1980"/>
      <c r="B185" s="1980"/>
      <c r="C185" s="1980"/>
      <c r="D185" s="1980"/>
      <c r="E185" s="1980"/>
      <c r="F185" s="1980"/>
      <c r="G185" s="1980"/>
      <c r="H185" s="1980"/>
      <c r="I185" s="1980"/>
      <c r="J185" s="1980"/>
      <c r="K185" s="1980"/>
      <c r="L185" s="1980"/>
    </row>
    <row r="186" spans="1:12" s="756" customFormat="1">
      <c r="A186" s="1980"/>
      <c r="B186" s="1980"/>
      <c r="C186" s="1980"/>
      <c r="D186" s="1980"/>
      <c r="E186" s="1980"/>
      <c r="F186" s="1980"/>
      <c r="G186" s="1980"/>
      <c r="H186" s="1980"/>
      <c r="I186" s="1980"/>
      <c r="J186" s="1980"/>
      <c r="K186" s="1980"/>
      <c r="L186" s="1980"/>
    </row>
    <row r="187" spans="1:12" s="756" customFormat="1">
      <c r="A187" s="1980"/>
      <c r="B187" s="1980"/>
      <c r="C187" s="1980"/>
      <c r="D187" s="1980"/>
      <c r="E187" s="1980"/>
      <c r="F187" s="1980"/>
      <c r="G187" s="1980"/>
      <c r="H187" s="1980"/>
      <c r="I187" s="1980"/>
      <c r="J187" s="1980"/>
      <c r="K187" s="1980"/>
      <c r="L187" s="1980"/>
    </row>
    <row r="188" spans="1:12" s="756" customFormat="1">
      <c r="A188" s="1980"/>
      <c r="B188" s="1980"/>
      <c r="C188" s="1980"/>
      <c r="D188" s="1980"/>
      <c r="E188" s="1980"/>
      <c r="F188" s="1980"/>
      <c r="G188" s="1980"/>
      <c r="H188" s="1980"/>
      <c r="I188" s="1980"/>
      <c r="J188" s="1980"/>
      <c r="K188" s="1980"/>
      <c r="L188" s="1980"/>
    </row>
    <row r="189" spans="1:12" s="756" customFormat="1">
      <c r="A189" s="1980"/>
      <c r="B189" s="1980"/>
      <c r="C189" s="1980"/>
      <c r="D189" s="1980"/>
      <c r="E189" s="1980"/>
      <c r="F189" s="1980"/>
      <c r="G189" s="1980"/>
      <c r="H189" s="1980"/>
      <c r="I189" s="1980"/>
      <c r="J189" s="1980"/>
      <c r="K189" s="1980"/>
      <c r="L189" s="1980"/>
    </row>
    <row r="190" spans="1:12" s="756" customFormat="1">
      <c r="A190" s="1980"/>
      <c r="B190" s="1980"/>
      <c r="C190" s="1980"/>
      <c r="D190" s="1980"/>
      <c r="E190" s="1980"/>
      <c r="F190" s="1980"/>
      <c r="G190" s="1980"/>
      <c r="H190" s="1980"/>
      <c r="I190" s="1980"/>
      <c r="J190" s="1980"/>
      <c r="K190" s="1980"/>
      <c r="L190" s="1980"/>
    </row>
    <row r="191" spans="1:12" s="756" customFormat="1">
      <c r="A191" s="1980"/>
      <c r="B191" s="1980"/>
      <c r="C191" s="1980"/>
      <c r="D191" s="1980"/>
      <c r="E191" s="1980"/>
      <c r="F191" s="1980"/>
      <c r="G191" s="1980"/>
      <c r="H191" s="1980"/>
      <c r="I191" s="1980"/>
      <c r="J191" s="1980"/>
      <c r="K191" s="1980"/>
      <c r="L191" s="1980"/>
    </row>
    <row r="192" spans="1:12" s="756" customFormat="1">
      <c r="A192" s="1980"/>
      <c r="B192" s="1980"/>
      <c r="C192" s="1980"/>
      <c r="D192" s="1980"/>
      <c r="E192" s="1980"/>
      <c r="F192" s="1980"/>
      <c r="G192" s="1980"/>
      <c r="H192" s="1980"/>
      <c r="I192" s="1980"/>
      <c r="J192" s="1980"/>
      <c r="K192" s="1980"/>
      <c r="L192" s="1980"/>
    </row>
    <row r="193" spans="1:12" s="756" customFormat="1">
      <c r="A193" s="1980"/>
      <c r="B193" s="1980"/>
      <c r="C193" s="1980"/>
      <c r="D193" s="1980"/>
      <c r="E193" s="1980"/>
      <c r="F193" s="1980"/>
      <c r="G193" s="1980"/>
      <c r="H193" s="1980"/>
      <c r="I193" s="1980"/>
      <c r="J193" s="1980"/>
      <c r="K193" s="1980"/>
      <c r="L193" s="1980"/>
    </row>
    <row r="194" spans="1:12" s="756" customFormat="1">
      <c r="A194" s="1980"/>
      <c r="B194" s="1980"/>
      <c r="C194" s="1980"/>
      <c r="D194" s="1980"/>
      <c r="E194" s="1980"/>
      <c r="F194" s="1980"/>
      <c r="G194" s="1980"/>
      <c r="H194" s="1980"/>
      <c r="I194" s="1980"/>
      <c r="J194" s="1980"/>
      <c r="K194" s="1980"/>
      <c r="L194" s="1980"/>
    </row>
    <row r="195" spans="1:12" s="756" customFormat="1">
      <c r="A195" s="1980"/>
      <c r="B195" s="1980"/>
      <c r="C195" s="1980"/>
      <c r="D195" s="1980"/>
      <c r="E195" s="1980"/>
      <c r="F195" s="1980"/>
      <c r="G195" s="1980"/>
      <c r="H195" s="1980"/>
      <c r="I195" s="1980"/>
      <c r="J195" s="1980"/>
      <c r="K195" s="1980"/>
      <c r="L195" s="1980"/>
    </row>
    <row r="196" spans="1:12" s="756" customFormat="1">
      <c r="A196" s="1980"/>
      <c r="B196" s="1980"/>
      <c r="C196" s="1980"/>
      <c r="D196" s="1980"/>
      <c r="E196" s="1980"/>
      <c r="F196" s="1980"/>
      <c r="G196" s="1980"/>
      <c r="H196" s="1980"/>
      <c r="I196" s="1980"/>
      <c r="J196" s="1980"/>
      <c r="K196" s="1980"/>
      <c r="L196" s="1980"/>
    </row>
    <row r="197" spans="1:12" s="756" customFormat="1">
      <c r="A197" s="1980"/>
      <c r="B197" s="1980"/>
      <c r="C197" s="1980"/>
      <c r="D197" s="1980"/>
      <c r="E197" s="1980"/>
      <c r="F197" s="1980"/>
      <c r="G197" s="1980"/>
      <c r="H197" s="1980"/>
      <c r="I197" s="1980"/>
      <c r="J197" s="1980"/>
      <c r="K197" s="1980"/>
      <c r="L197" s="1980"/>
    </row>
    <row r="198" spans="1:12" s="756" customFormat="1">
      <c r="A198" s="1980"/>
      <c r="B198" s="1980"/>
      <c r="C198" s="1980"/>
      <c r="D198" s="1980"/>
      <c r="E198" s="1980"/>
      <c r="F198" s="1980"/>
      <c r="G198" s="1980"/>
      <c r="H198" s="1980"/>
      <c r="I198" s="1980"/>
      <c r="J198" s="1980"/>
      <c r="K198" s="1980"/>
      <c r="L198" s="1980"/>
    </row>
    <row r="199" spans="1:12" s="756" customFormat="1">
      <c r="A199" s="1980"/>
      <c r="B199" s="1980"/>
      <c r="C199" s="1980"/>
      <c r="D199" s="1980"/>
      <c r="E199" s="1980"/>
      <c r="F199" s="1980"/>
      <c r="G199" s="1980"/>
      <c r="H199" s="1980"/>
      <c r="I199" s="1980"/>
      <c r="J199" s="1980"/>
      <c r="K199" s="1980"/>
      <c r="L199" s="1980"/>
    </row>
    <row r="200" spans="1:12" s="756" customFormat="1">
      <c r="A200" s="1980"/>
      <c r="B200" s="1980"/>
      <c r="C200" s="1980"/>
      <c r="D200" s="1980"/>
      <c r="E200" s="1980"/>
      <c r="F200" s="1980"/>
      <c r="G200" s="1980"/>
      <c r="H200" s="1980"/>
      <c r="I200" s="1980"/>
      <c r="J200" s="1980"/>
      <c r="K200" s="1980"/>
      <c r="L200" s="1980"/>
    </row>
    <row r="201" spans="1:12" s="756" customFormat="1">
      <c r="A201" s="1980"/>
      <c r="B201" s="1980"/>
      <c r="C201" s="1980"/>
      <c r="D201" s="1980"/>
      <c r="E201" s="1980"/>
      <c r="F201" s="1980"/>
      <c r="G201" s="1980"/>
      <c r="H201" s="1980"/>
      <c r="I201" s="1980"/>
      <c r="J201" s="1980"/>
      <c r="K201" s="1980"/>
      <c r="L201" s="1980"/>
    </row>
    <row r="202" spans="1:12" s="756" customFormat="1">
      <c r="A202" s="1980"/>
      <c r="B202" s="1980"/>
      <c r="C202" s="1980"/>
      <c r="D202" s="1980"/>
      <c r="E202" s="1980"/>
      <c r="F202" s="1980"/>
      <c r="G202" s="1980"/>
      <c r="H202" s="1980"/>
      <c r="I202" s="1980"/>
      <c r="J202" s="1980"/>
      <c r="K202" s="1980"/>
      <c r="L202" s="1980"/>
    </row>
    <row r="203" spans="1:12" s="756" customFormat="1">
      <c r="A203" s="1980"/>
      <c r="B203" s="1980"/>
      <c r="C203" s="1980"/>
      <c r="D203" s="1980"/>
      <c r="E203" s="1980"/>
      <c r="F203" s="1980"/>
      <c r="G203" s="1980"/>
      <c r="H203" s="1980"/>
      <c r="I203" s="1980"/>
      <c r="J203" s="1980"/>
      <c r="K203" s="1980"/>
      <c r="L203" s="1980"/>
    </row>
    <row r="204" spans="1:12" s="756" customFormat="1">
      <c r="A204" s="1980"/>
      <c r="B204" s="1980"/>
      <c r="C204" s="1980"/>
      <c r="D204" s="1980"/>
      <c r="E204" s="1980"/>
      <c r="F204" s="1980"/>
      <c r="G204" s="1980"/>
      <c r="H204" s="1980"/>
      <c r="I204" s="1980"/>
      <c r="J204" s="1980"/>
      <c r="K204" s="1980"/>
      <c r="L204" s="1980"/>
    </row>
    <row r="205" spans="1:12" s="756" customFormat="1">
      <c r="A205" s="1980"/>
      <c r="B205" s="1980"/>
      <c r="C205" s="1980"/>
      <c r="D205" s="1980"/>
      <c r="E205" s="1980"/>
      <c r="F205" s="1980"/>
      <c r="G205" s="1980"/>
      <c r="H205" s="1980"/>
      <c r="I205" s="1980"/>
      <c r="J205" s="1980"/>
      <c r="K205" s="1980"/>
      <c r="L205" s="1980"/>
    </row>
    <row r="206" spans="1:12" s="756" customFormat="1">
      <c r="A206" s="1980"/>
      <c r="B206" s="1980"/>
      <c r="C206" s="1980"/>
      <c r="D206" s="1980"/>
      <c r="E206" s="1980"/>
      <c r="F206" s="1980"/>
      <c r="G206" s="1980"/>
      <c r="H206" s="1980"/>
      <c r="I206" s="1980"/>
      <c r="J206" s="1980"/>
      <c r="K206" s="1980"/>
      <c r="L206" s="1980"/>
    </row>
    <row r="207" spans="1:12" s="756" customFormat="1">
      <c r="A207" s="1980"/>
      <c r="B207" s="1980"/>
      <c r="C207" s="1980"/>
      <c r="D207" s="1980"/>
      <c r="E207" s="1980"/>
      <c r="F207" s="1980"/>
      <c r="G207" s="1980"/>
      <c r="H207" s="1980"/>
      <c r="I207" s="1980"/>
      <c r="J207" s="1980"/>
      <c r="K207" s="1980"/>
      <c r="L207" s="1980"/>
    </row>
    <row r="208" spans="1:12" s="756" customFormat="1">
      <c r="A208" s="1980"/>
      <c r="B208" s="1980"/>
      <c r="C208" s="1980"/>
      <c r="D208" s="1980"/>
      <c r="E208" s="1980"/>
      <c r="F208" s="1980"/>
      <c r="G208" s="1980"/>
      <c r="H208" s="1980"/>
      <c r="I208" s="1980"/>
      <c r="J208" s="1980"/>
      <c r="K208" s="1980"/>
      <c r="L208" s="1980"/>
    </row>
    <row r="209" spans="1:12" s="756" customFormat="1">
      <c r="A209" s="1980"/>
      <c r="B209" s="1980"/>
      <c r="C209" s="1980"/>
      <c r="D209" s="1980"/>
      <c r="E209" s="1980"/>
      <c r="F209" s="1980"/>
      <c r="G209" s="1980"/>
      <c r="H209" s="1980"/>
      <c r="I209" s="1980"/>
      <c r="J209" s="1980"/>
      <c r="K209" s="1980"/>
      <c r="L209" s="1980"/>
    </row>
    <row r="210" spans="1:12" s="756" customFormat="1">
      <c r="A210" s="1980"/>
      <c r="B210" s="1980"/>
      <c r="C210" s="1980"/>
      <c r="D210" s="1980"/>
      <c r="E210" s="1980"/>
      <c r="F210" s="1980"/>
      <c r="G210" s="1980"/>
      <c r="H210" s="1980"/>
      <c r="I210" s="1980"/>
      <c r="J210" s="1980"/>
      <c r="K210" s="1980"/>
      <c r="L210" s="1980"/>
    </row>
    <row r="211" spans="1:12" s="756" customFormat="1">
      <c r="A211" s="1980"/>
      <c r="B211" s="1980"/>
      <c r="C211" s="1980"/>
      <c r="D211" s="1980"/>
      <c r="E211" s="1980"/>
      <c r="F211" s="1980"/>
      <c r="G211" s="1980"/>
      <c r="H211" s="1980"/>
      <c r="I211" s="1980"/>
      <c r="J211" s="1980"/>
      <c r="K211" s="1980"/>
      <c r="L211" s="1980"/>
    </row>
    <row r="212" spans="1:12" s="756" customFormat="1">
      <c r="A212" s="1980"/>
      <c r="B212" s="1980"/>
      <c r="C212" s="1980"/>
      <c r="D212" s="1980"/>
      <c r="E212" s="1980"/>
      <c r="F212" s="1980"/>
      <c r="G212" s="1980"/>
      <c r="H212" s="1980"/>
      <c r="I212" s="1980"/>
      <c r="J212" s="1980"/>
      <c r="K212" s="1980"/>
      <c r="L212" s="1980"/>
    </row>
    <row r="213" spans="1:12" s="756" customFormat="1">
      <c r="A213" s="1980"/>
      <c r="B213" s="1980"/>
      <c r="C213" s="1980"/>
      <c r="D213" s="1980"/>
      <c r="E213" s="1980"/>
      <c r="F213" s="1980"/>
      <c r="G213" s="1980"/>
      <c r="H213" s="1980"/>
      <c r="I213" s="1980"/>
      <c r="J213" s="1980"/>
      <c r="K213" s="1980"/>
      <c r="L213" s="1980"/>
    </row>
    <row r="214" spans="1:12" s="756" customFormat="1">
      <c r="A214" s="1980"/>
      <c r="B214" s="1980"/>
      <c r="C214" s="1980"/>
      <c r="D214" s="1980"/>
      <c r="E214" s="1980"/>
      <c r="F214" s="1980"/>
      <c r="G214" s="1980"/>
      <c r="H214" s="1980"/>
      <c r="I214" s="1980"/>
      <c r="J214" s="1980"/>
      <c r="K214" s="1980"/>
      <c r="L214" s="1980"/>
    </row>
    <row r="215" spans="1:12" s="756" customFormat="1">
      <c r="A215" s="1980"/>
      <c r="B215" s="1980"/>
      <c r="C215" s="1980"/>
      <c r="D215" s="1980"/>
      <c r="E215" s="1980"/>
      <c r="F215" s="1980"/>
      <c r="G215" s="1980"/>
      <c r="H215" s="1980"/>
      <c r="I215" s="1980"/>
      <c r="J215" s="1980"/>
      <c r="K215" s="1980"/>
      <c r="L215" s="1980"/>
    </row>
    <row r="216" spans="1:12" s="756" customFormat="1">
      <c r="A216" s="1980"/>
      <c r="B216" s="1980"/>
      <c r="C216" s="1980"/>
      <c r="D216" s="1980"/>
      <c r="E216" s="1980"/>
      <c r="F216" s="1980"/>
      <c r="G216" s="1980"/>
      <c r="H216" s="1980"/>
      <c r="I216" s="1980"/>
      <c r="J216" s="1980"/>
      <c r="K216" s="1980"/>
      <c r="L216" s="1980"/>
    </row>
    <row r="217" spans="1:12" s="756" customFormat="1">
      <c r="A217" s="1980"/>
      <c r="B217" s="1980"/>
      <c r="C217" s="1980"/>
      <c r="D217" s="1980"/>
      <c r="E217" s="1980"/>
      <c r="F217" s="1980"/>
      <c r="G217" s="1980"/>
      <c r="H217" s="1980"/>
      <c r="I217" s="1980"/>
      <c r="J217" s="1980"/>
      <c r="K217" s="1980"/>
      <c r="L217" s="1980"/>
    </row>
    <row r="218" spans="1:12" s="756" customFormat="1">
      <c r="A218" s="1980"/>
      <c r="B218" s="1980"/>
      <c r="C218" s="1980"/>
      <c r="D218" s="1980"/>
      <c r="E218" s="1980"/>
      <c r="F218" s="1980"/>
      <c r="G218" s="1980"/>
      <c r="H218" s="1980"/>
      <c r="I218" s="1980"/>
      <c r="J218" s="1980"/>
      <c r="K218" s="1980"/>
      <c r="L218" s="1980"/>
    </row>
    <row r="219" spans="1:12" s="756" customFormat="1">
      <c r="A219" s="1980"/>
      <c r="B219" s="1980"/>
      <c r="C219" s="1980"/>
      <c r="D219" s="1980"/>
      <c r="E219" s="1980"/>
      <c r="F219" s="1980"/>
      <c r="G219" s="1980"/>
      <c r="H219" s="1980"/>
      <c r="I219" s="1980"/>
      <c r="J219" s="1980"/>
      <c r="K219" s="1980"/>
      <c r="L219" s="1980"/>
    </row>
    <row r="220" spans="1:12" s="756" customFormat="1">
      <c r="A220" s="1980"/>
      <c r="B220" s="1980"/>
      <c r="C220" s="1980"/>
      <c r="D220" s="1980"/>
      <c r="E220" s="1980"/>
      <c r="F220" s="1980"/>
      <c r="G220" s="1980"/>
      <c r="H220" s="1980"/>
      <c r="I220" s="1980"/>
      <c r="J220" s="1980"/>
      <c r="K220" s="1980"/>
      <c r="L220" s="1980"/>
    </row>
    <row r="221" spans="1:12" s="756" customFormat="1">
      <c r="A221" s="1980"/>
      <c r="B221" s="1980"/>
      <c r="C221" s="1980"/>
      <c r="D221" s="1980"/>
      <c r="E221" s="1980"/>
      <c r="F221" s="1980"/>
      <c r="G221" s="1980"/>
      <c r="H221" s="1980"/>
      <c r="I221" s="1980"/>
      <c r="J221" s="1980"/>
      <c r="K221" s="1980"/>
      <c r="L221" s="1980"/>
    </row>
    <row r="222" spans="1:12" s="756" customFormat="1">
      <c r="A222" s="1980"/>
      <c r="B222" s="1980"/>
      <c r="C222" s="1980"/>
      <c r="D222" s="1980"/>
      <c r="E222" s="1980"/>
      <c r="F222" s="1980"/>
      <c r="G222" s="1980"/>
      <c r="H222" s="1980"/>
      <c r="I222" s="1980"/>
      <c r="J222" s="1980"/>
      <c r="K222" s="1980"/>
      <c r="L222" s="1980"/>
    </row>
    <row r="223" spans="1:12" s="756" customFormat="1">
      <c r="A223" s="1980"/>
      <c r="B223" s="1980"/>
      <c r="C223" s="1980"/>
      <c r="D223" s="1980"/>
      <c r="E223" s="1980"/>
      <c r="F223" s="1980"/>
      <c r="G223" s="1980"/>
      <c r="H223" s="1980"/>
      <c r="I223" s="1980"/>
      <c r="J223" s="1980"/>
      <c r="K223" s="1980"/>
      <c r="L223" s="1980"/>
    </row>
    <row r="224" spans="1:12" s="756" customFormat="1">
      <c r="A224" s="1980"/>
      <c r="B224" s="1980"/>
      <c r="C224" s="1980"/>
      <c r="D224" s="1980"/>
      <c r="E224" s="1980"/>
      <c r="F224" s="1980"/>
      <c r="G224" s="1980"/>
      <c r="H224" s="1980"/>
      <c r="I224" s="1980"/>
      <c r="J224" s="1980"/>
      <c r="K224" s="1980"/>
      <c r="L224" s="1980"/>
    </row>
    <row r="225" spans="1:12" s="756" customFormat="1">
      <c r="A225" s="1980"/>
      <c r="B225" s="1980"/>
      <c r="C225" s="1980"/>
      <c r="D225" s="1980"/>
      <c r="E225" s="1980"/>
      <c r="F225" s="1980"/>
      <c r="G225" s="1980"/>
      <c r="H225" s="1980"/>
      <c r="I225" s="1980"/>
      <c r="J225" s="1980"/>
      <c r="K225" s="1980"/>
      <c r="L225" s="1980"/>
    </row>
    <row r="226" spans="1:12" s="756" customFormat="1">
      <c r="A226" s="1980"/>
      <c r="B226" s="1980"/>
      <c r="C226" s="1980"/>
      <c r="D226" s="1980"/>
      <c r="E226" s="1980"/>
      <c r="F226" s="1980"/>
      <c r="G226" s="1980"/>
      <c r="H226" s="1980"/>
      <c r="I226" s="1980"/>
      <c r="J226" s="1980"/>
      <c r="K226" s="1980"/>
      <c r="L226" s="1980"/>
    </row>
    <row r="227" spans="1:12" s="756" customFormat="1">
      <c r="A227" s="1980"/>
      <c r="B227" s="1980"/>
      <c r="C227" s="1980"/>
      <c r="D227" s="1980"/>
      <c r="E227" s="1980"/>
      <c r="F227" s="1980"/>
      <c r="G227" s="1980"/>
      <c r="H227" s="1980"/>
      <c r="I227" s="1980"/>
      <c r="J227" s="1980"/>
      <c r="K227" s="1980"/>
      <c r="L227" s="1980"/>
    </row>
    <row r="228" spans="1:12" s="756" customFormat="1">
      <c r="A228" s="1980"/>
      <c r="B228" s="1980"/>
      <c r="C228" s="1980"/>
      <c r="D228" s="1980"/>
      <c r="E228" s="1980"/>
      <c r="F228" s="1980"/>
      <c r="G228" s="1980"/>
      <c r="H228" s="1980"/>
      <c r="I228" s="1980"/>
      <c r="J228" s="1980"/>
      <c r="K228" s="1980"/>
      <c r="L228" s="1980"/>
    </row>
    <row r="229" spans="1:12" s="756" customFormat="1">
      <c r="A229" s="1980"/>
      <c r="B229" s="1980"/>
      <c r="C229" s="1980"/>
      <c r="D229" s="1980"/>
      <c r="E229" s="1980"/>
      <c r="F229" s="1980"/>
      <c r="G229" s="1980"/>
      <c r="H229" s="1980"/>
      <c r="I229" s="1980"/>
      <c r="J229" s="1980"/>
      <c r="K229" s="1980"/>
      <c r="L229" s="1980"/>
    </row>
    <row r="230" spans="1:12" s="756" customFormat="1">
      <c r="A230" s="1980"/>
      <c r="B230" s="1980"/>
      <c r="C230" s="1980"/>
      <c r="D230" s="1980"/>
      <c r="E230" s="1980"/>
      <c r="F230" s="1980"/>
      <c r="G230" s="1980"/>
      <c r="H230" s="1980"/>
      <c r="I230" s="1980"/>
      <c r="J230" s="1980"/>
      <c r="K230" s="1980"/>
      <c r="L230" s="1980"/>
    </row>
    <row r="231" spans="1:12" s="756" customFormat="1">
      <c r="A231" s="1980"/>
      <c r="B231" s="1980"/>
      <c r="C231" s="1980"/>
      <c r="D231" s="1980"/>
      <c r="E231" s="1980"/>
      <c r="F231" s="1980"/>
      <c r="G231" s="1980"/>
      <c r="H231" s="1980"/>
      <c r="I231" s="1980"/>
      <c r="J231" s="1980"/>
      <c r="K231" s="1980"/>
      <c r="L231" s="1980"/>
    </row>
    <row r="232" spans="1:12" s="756" customFormat="1">
      <c r="A232" s="1980"/>
      <c r="B232" s="1980"/>
      <c r="C232" s="1980"/>
      <c r="D232" s="1980"/>
      <c r="E232" s="1980"/>
      <c r="F232" s="1980"/>
      <c r="G232" s="1980"/>
      <c r="H232" s="1980"/>
      <c r="I232" s="1980"/>
      <c r="J232" s="1980"/>
      <c r="K232" s="1980"/>
      <c r="L232" s="1980"/>
    </row>
    <row r="233" spans="1:12" s="756" customFormat="1">
      <c r="A233" s="1980"/>
      <c r="B233" s="1980"/>
      <c r="C233" s="1980"/>
      <c r="D233" s="1980"/>
      <c r="E233" s="1980"/>
      <c r="F233" s="1980"/>
      <c r="G233" s="1980"/>
      <c r="H233" s="1980"/>
      <c r="I233" s="1980"/>
      <c r="J233" s="1980"/>
      <c r="K233" s="1980"/>
      <c r="L233" s="1980"/>
    </row>
    <row r="234" spans="1:12" s="756" customFormat="1">
      <c r="A234" s="1980"/>
      <c r="B234" s="1980"/>
      <c r="C234" s="1980"/>
      <c r="D234" s="1980"/>
      <c r="E234" s="1980"/>
      <c r="F234" s="1980"/>
      <c r="G234" s="1980"/>
      <c r="H234" s="1980"/>
      <c r="I234" s="1980"/>
      <c r="J234" s="1980"/>
      <c r="K234" s="1980"/>
      <c r="L234" s="1980"/>
    </row>
    <row r="235" spans="1:12" s="756" customFormat="1">
      <c r="A235" s="1980"/>
      <c r="B235" s="1980"/>
      <c r="C235" s="1980"/>
      <c r="D235" s="1980"/>
      <c r="E235" s="1980"/>
      <c r="F235" s="1980"/>
      <c r="G235" s="1980"/>
      <c r="H235" s="1980"/>
      <c r="I235" s="1980"/>
      <c r="J235" s="1980"/>
      <c r="K235" s="1980"/>
      <c r="L235" s="1980"/>
    </row>
    <row r="236" spans="1:12" s="756" customFormat="1">
      <c r="A236" s="1980"/>
      <c r="B236" s="1980"/>
      <c r="C236" s="1980"/>
      <c r="D236" s="1980"/>
      <c r="E236" s="1980"/>
      <c r="F236" s="1980"/>
      <c r="G236" s="1980"/>
      <c r="H236" s="1980"/>
      <c r="I236" s="1980"/>
      <c r="J236" s="1980"/>
      <c r="K236" s="1980"/>
      <c r="L236" s="1980"/>
    </row>
    <row r="237" spans="1:12" s="756" customFormat="1">
      <c r="A237" s="1980"/>
      <c r="B237" s="1980"/>
      <c r="C237" s="1980"/>
      <c r="D237" s="1980"/>
      <c r="E237" s="1980"/>
      <c r="F237" s="1980"/>
      <c r="G237" s="1980"/>
      <c r="H237" s="1980"/>
      <c r="I237" s="1980"/>
      <c r="J237" s="1980"/>
      <c r="K237" s="1980"/>
      <c r="L237" s="1980"/>
    </row>
    <row r="238" spans="1:12" s="756" customFormat="1">
      <c r="A238" s="1980"/>
      <c r="B238" s="1980"/>
      <c r="C238" s="1980"/>
      <c r="D238" s="1980"/>
      <c r="E238" s="1980"/>
      <c r="F238" s="1980"/>
      <c r="G238" s="1980"/>
      <c r="H238" s="1980"/>
      <c r="I238" s="1980"/>
      <c r="J238" s="1980"/>
      <c r="K238" s="1980"/>
      <c r="L238" s="1980"/>
    </row>
    <row r="239" spans="1:12" s="756" customFormat="1">
      <c r="A239" s="1980"/>
      <c r="B239" s="1980"/>
      <c r="C239" s="1980"/>
      <c r="D239" s="1980"/>
      <c r="E239" s="1980"/>
      <c r="F239" s="1980"/>
      <c r="G239" s="1980"/>
      <c r="H239" s="1980"/>
      <c r="I239" s="1980"/>
      <c r="J239" s="1980"/>
      <c r="K239" s="1980"/>
      <c r="L239" s="1980"/>
    </row>
    <row r="240" spans="1:12" s="756" customFormat="1">
      <c r="A240" s="1980"/>
      <c r="B240" s="1980"/>
      <c r="C240" s="1980"/>
      <c r="D240" s="1980"/>
      <c r="E240" s="1980"/>
      <c r="F240" s="1980"/>
      <c r="G240" s="1980"/>
      <c r="H240" s="1980"/>
      <c r="I240" s="1980"/>
      <c r="J240" s="1980"/>
      <c r="K240" s="1980"/>
      <c r="L240" s="1980"/>
    </row>
    <row r="241" spans="1:12" s="756" customFormat="1">
      <c r="A241" s="1980"/>
      <c r="B241" s="1980"/>
      <c r="C241" s="1980"/>
      <c r="D241" s="1980"/>
      <c r="E241" s="1980"/>
      <c r="F241" s="1980"/>
      <c r="G241" s="1980"/>
      <c r="H241" s="1980"/>
      <c r="I241" s="1980"/>
      <c r="J241" s="1980"/>
      <c r="K241" s="1980"/>
      <c r="L241" s="1980"/>
    </row>
    <row r="242" spans="1:12" s="756" customFormat="1">
      <c r="A242" s="1980"/>
      <c r="B242" s="1980"/>
      <c r="C242" s="1980"/>
      <c r="D242" s="1980"/>
      <c r="E242" s="1980"/>
      <c r="F242" s="1980"/>
      <c r="G242" s="1980"/>
      <c r="H242" s="1980"/>
      <c r="I242" s="1980"/>
      <c r="J242" s="1980"/>
      <c r="K242" s="1980"/>
      <c r="L242" s="1980"/>
    </row>
    <row r="243" spans="1:12" s="756" customFormat="1">
      <c r="A243" s="1980"/>
      <c r="B243" s="1980"/>
      <c r="C243" s="1980"/>
      <c r="D243" s="1980"/>
      <c r="E243" s="1980"/>
      <c r="F243" s="1980"/>
      <c r="G243" s="1980"/>
      <c r="H243" s="1980"/>
      <c r="I243" s="1980"/>
      <c r="J243" s="1980"/>
      <c r="K243" s="1980"/>
      <c r="L243" s="1980"/>
    </row>
    <row r="244" spans="1:12" s="756" customFormat="1">
      <c r="A244" s="1980"/>
      <c r="B244" s="1980"/>
      <c r="C244" s="1980"/>
      <c r="D244" s="1980"/>
      <c r="E244" s="1980"/>
      <c r="F244" s="1980"/>
      <c r="G244" s="1980"/>
      <c r="H244" s="1980"/>
      <c r="I244" s="1980"/>
      <c r="J244" s="1980"/>
      <c r="K244" s="1980"/>
      <c r="L244" s="1980"/>
    </row>
    <row r="245" spans="1:12" s="756" customFormat="1">
      <c r="A245" s="1980"/>
      <c r="B245" s="1980"/>
      <c r="C245" s="1980"/>
      <c r="D245" s="1980"/>
      <c r="E245" s="1980"/>
      <c r="F245" s="1980"/>
      <c r="G245" s="1980"/>
      <c r="H245" s="1980"/>
      <c r="I245" s="1980"/>
      <c r="J245" s="1980"/>
      <c r="K245" s="1980"/>
      <c r="L245" s="1980"/>
    </row>
    <row r="246" spans="1:12" s="756" customFormat="1">
      <c r="A246" s="1980"/>
      <c r="B246" s="1980"/>
      <c r="C246" s="1980"/>
      <c r="D246" s="1980"/>
      <c r="E246" s="1980"/>
      <c r="F246" s="1980"/>
      <c r="G246" s="1980"/>
      <c r="H246" s="1980"/>
      <c r="I246" s="1980"/>
      <c r="J246" s="1980"/>
      <c r="K246" s="1980"/>
      <c r="L246" s="1980"/>
    </row>
    <row r="247" spans="1:12" s="756" customFormat="1">
      <c r="A247" s="1980"/>
      <c r="B247" s="1980"/>
      <c r="C247" s="1980"/>
      <c r="D247" s="1980"/>
      <c r="E247" s="1980"/>
      <c r="F247" s="1980"/>
      <c r="G247" s="1980"/>
      <c r="H247" s="1980"/>
      <c r="I247" s="1980"/>
      <c r="J247" s="1980"/>
      <c r="K247" s="1980"/>
      <c r="L247" s="1980"/>
    </row>
    <row r="248" spans="1:12" s="756" customFormat="1">
      <c r="A248" s="1980"/>
      <c r="B248" s="1980"/>
      <c r="C248" s="1980"/>
      <c r="D248" s="1980"/>
      <c r="E248" s="1980"/>
      <c r="F248" s="1980"/>
      <c r="G248" s="1980"/>
      <c r="H248" s="1980"/>
      <c r="I248" s="1980"/>
      <c r="J248" s="1980"/>
      <c r="K248" s="1980"/>
      <c r="L248" s="1980"/>
    </row>
    <row r="249" spans="1:12" s="756" customFormat="1">
      <c r="A249" s="1980"/>
      <c r="B249" s="1980"/>
      <c r="C249" s="1980"/>
      <c r="D249" s="1980"/>
      <c r="E249" s="1980"/>
      <c r="F249" s="1980"/>
      <c r="G249" s="1980"/>
      <c r="H249" s="1980"/>
      <c r="I249" s="1980"/>
      <c r="J249" s="1980"/>
      <c r="K249" s="1980"/>
      <c r="L249" s="1980"/>
    </row>
    <row r="250" spans="1:12" s="756" customFormat="1">
      <c r="A250" s="1980"/>
      <c r="B250" s="1980"/>
      <c r="C250" s="1980"/>
      <c r="D250" s="1980"/>
      <c r="E250" s="1980"/>
      <c r="F250" s="1980"/>
      <c r="G250" s="1980"/>
      <c r="H250" s="1980"/>
      <c r="I250" s="1980"/>
      <c r="J250" s="1980"/>
      <c r="K250" s="1980"/>
      <c r="L250" s="1980"/>
    </row>
    <row r="251" spans="1:12" s="756" customFormat="1">
      <c r="A251" s="1980"/>
      <c r="B251" s="1980"/>
      <c r="C251" s="1980"/>
      <c r="D251" s="1980"/>
      <c r="E251" s="1980"/>
      <c r="F251" s="1980"/>
      <c r="G251" s="1980"/>
      <c r="H251" s="1980"/>
      <c r="I251" s="1980"/>
      <c r="J251" s="1980"/>
      <c r="K251" s="1980"/>
      <c r="L251" s="1980"/>
    </row>
    <row r="252" spans="1:12" s="756" customFormat="1">
      <c r="A252" s="1980"/>
      <c r="B252" s="1980"/>
      <c r="C252" s="1980"/>
      <c r="D252" s="1980"/>
      <c r="E252" s="1980"/>
      <c r="F252" s="1980"/>
      <c r="G252" s="1980"/>
      <c r="H252" s="1980"/>
      <c r="I252" s="1980"/>
      <c r="J252" s="1980"/>
      <c r="K252" s="1980"/>
      <c r="L252" s="1980"/>
    </row>
    <row r="253" spans="1:12" s="756" customFormat="1">
      <c r="A253" s="1980"/>
      <c r="B253" s="1980"/>
      <c r="C253" s="1980"/>
      <c r="D253" s="1980"/>
      <c r="E253" s="1980"/>
      <c r="F253" s="1980"/>
      <c r="G253" s="1980"/>
      <c r="H253" s="1980"/>
      <c r="I253" s="1980"/>
      <c r="J253" s="1980"/>
      <c r="K253" s="1980"/>
      <c r="L253" s="1980"/>
    </row>
    <row r="254" spans="1:12" s="756" customFormat="1">
      <c r="A254" s="1980"/>
      <c r="B254" s="1980"/>
      <c r="C254" s="1980"/>
      <c r="D254" s="1980"/>
      <c r="E254" s="1980"/>
      <c r="F254" s="1980"/>
      <c r="G254" s="1980"/>
      <c r="H254" s="1980"/>
      <c r="I254" s="1980"/>
      <c r="J254" s="1980"/>
      <c r="K254" s="1980"/>
      <c r="L254" s="1980"/>
    </row>
    <row r="255" spans="1:12" s="756" customFormat="1">
      <c r="A255" s="1980"/>
      <c r="B255" s="1980"/>
      <c r="C255" s="1980"/>
      <c r="D255" s="1980"/>
      <c r="E255" s="1980"/>
      <c r="F255" s="1980"/>
      <c r="G255" s="1980"/>
      <c r="H255" s="1980"/>
      <c r="I255" s="1980"/>
      <c r="J255" s="1980"/>
      <c r="K255" s="1980"/>
      <c r="L255" s="1980"/>
    </row>
    <row r="256" spans="1:12" s="756" customFormat="1">
      <c r="A256" s="1980"/>
      <c r="B256" s="1980"/>
      <c r="C256" s="1980"/>
      <c r="D256" s="1980"/>
      <c r="E256" s="1980"/>
      <c r="F256" s="1980"/>
      <c r="G256" s="1980"/>
      <c r="H256" s="1980"/>
      <c r="I256" s="1980"/>
      <c r="J256" s="1980"/>
      <c r="K256" s="1980"/>
      <c r="L256" s="1980"/>
    </row>
    <row r="257" spans="1:12" s="756" customFormat="1">
      <c r="A257" s="1980"/>
      <c r="B257" s="1980"/>
      <c r="C257" s="1980"/>
      <c r="D257" s="1980"/>
      <c r="E257" s="1980"/>
      <c r="F257" s="1980"/>
      <c r="G257" s="1980"/>
      <c r="H257" s="1980"/>
      <c r="I257" s="1980"/>
      <c r="J257" s="1980"/>
      <c r="K257" s="1980"/>
      <c r="L257" s="1980"/>
    </row>
    <row r="258" spans="1:12" s="756" customFormat="1">
      <c r="A258" s="1980"/>
      <c r="B258" s="1980"/>
      <c r="C258" s="1980"/>
      <c r="D258" s="1980"/>
      <c r="E258" s="1980"/>
      <c r="F258" s="1980"/>
      <c r="G258" s="1980"/>
      <c r="H258" s="1980"/>
      <c r="I258" s="1980"/>
      <c r="J258" s="1980"/>
      <c r="K258" s="1980"/>
      <c r="L258" s="1980"/>
    </row>
    <row r="259" spans="1:12" s="756" customFormat="1">
      <c r="A259" s="1980"/>
      <c r="B259" s="1980"/>
      <c r="C259" s="1980"/>
      <c r="D259" s="1980"/>
      <c r="E259" s="1980"/>
      <c r="F259" s="1980"/>
      <c r="G259" s="1980"/>
      <c r="H259" s="1980"/>
      <c r="I259" s="1980"/>
      <c r="J259" s="1980"/>
      <c r="K259" s="1980"/>
      <c r="L259" s="1980"/>
    </row>
    <row r="260" spans="1:12" s="756" customFormat="1">
      <c r="A260" s="1980"/>
      <c r="B260" s="1980"/>
      <c r="C260" s="1980"/>
      <c r="D260" s="1980"/>
      <c r="E260" s="1980"/>
      <c r="F260" s="1980"/>
      <c r="G260" s="1980"/>
      <c r="H260" s="1980"/>
      <c r="I260" s="1980"/>
      <c r="J260" s="1980"/>
      <c r="K260" s="1980"/>
      <c r="L260" s="1980"/>
    </row>
    <row r="261" spans="1:12" s="756" customFormat="1">
      <c r="A261" s="1980"/>
      <c r="B261" s="1980"/>
      <c r="C261" s="1980"/>
      <c r="D261" s="1980"/>
      <c r="E261" s="1980"/>
      <c r="F261" s="1980"/>
      <c r="G261" s="1980"/>
      <c r="H261" s="1980"/>
      <c r="I261" s="1980"/>
      <c r="J261" s="1980"/>
      <c r="K261" s="1980"/>
      <c r="L261" s="1980"/>
    </row>
    <row r="262" spans="1:12" s="756" customFormat="1">
      <c r="A262" s="1980"/>
      <c r="B262" s="1980"/>
      <c r="C262" s="1980"/>
      <c r="D262" s="1980"/>
      <c r="E262" s="1980"/>
      <c r="F262" s="1980"/>
      <c r="G262" s="1980"/>
      <c r="H262" s="1980"/>
      <c r="I262" s="1980"/>
      <c r="J262" s="1980"/>
      <c r="K262" s="1980"/>
      <c r="L262" s="1980"/>
    </row>
    <row r="263" spans="1:12" s="756" customFormat="1">
      <c r="A263" s="1980"/>
      <c r="B263" s="1980"/>
      <c r="C263" s="1980"/>
      <c r="D263" s="1980"/>
      <c r="E263" s="1980"/>
      <c r="F263" s="1980"/>
      <c r="G263" s="1980"/>
      <c r="H263" s="1980"/>
      <c r="I263" s="1980"/>
      <c r="J263" s="1980"/>
      <c r="K263" s="1980"/>
      <c r="L263" s="1980"/>
    </row>
    <row r="264" spans="1:12" s="756" customFormat="1">
      <c r="A264" s="1980"/>
      <c r="B264" s="1980"/>
      <c r="C264" s="1980"/>
      <c r="D264" s="1980"/>
      <c r="E264" s="1980"/>
      <c r="F264" s="1980"/>
      <c r="G264" s="1980"/>
      <c r="H264" s="1980"/>
      <c r="I264" s="1980"/>
      <c r="J264" s="1980"/>
      <c r="K264" s="1980"/>
      <c r="L264" s="1980"/>
    </row>
    <row r="265" spans="1:12" s="756" customFormat="1">
      <c r="A265" s="1980"/>
      <c r="B265" s="1980"/>
      <c r="C265" s="1980"/>
      <c r="D265" s="1980"/>
      <c r="E265" s="1980"/>
      <c r="F265" s="1980"/>
      <c r="G265" s="1980"/>
      <c r="H265" s="1980"/>
      <c r="I265" s="1980"/>
      <c r="J265" s="1980"/>
      <c r="K265" s="1980"/>
      <c r="L265" s="1980"/>
    </row>
    <row r="266" spans="1:12" s="756" customFormat="1">
      <c r="A266" s="1980"/>
      <c r="B266" s="1980"/>
      <c r="C266" s="1980"/>
      <c r="D266" s="1980"/>
      <c r="E266" s="1980"/>
      <c r="F266" s="1980"/>
      <c r="G266" s="1980"/>
      <c r="H266" s="1980"/>
      <c r="I266" s="1980"/>
      <c r="J266" s="1980"/>
      <c r="K266" s="1980"/>
      <c r="L266" s="1980"/>
    </row>
    <row r="267" spans="1:12" s="756" customFormat="1">
      <c r="A267" s="1980"/>
      <c r="B267" s="1980"/>
      <c r="C267" s="1980"/>
      <c r="D267" s="1980"/>
      <c r="E267" s="1980"/>
      <c r="F267" s="1980"/>
      <c r="G267" s="1980"/>
      <c r="H267" s="1980"/>
      <c r="I267" s="1980"/>
      <c r="J267" s="1980"/>
      <c r="K267" s="1980"/>
      <c r="L267" s="1980"/>
    </row>
    <row r="268" spans="1:12" s="756" customFormat="1">
      <c r="A268" s="1980"/>
      <c r="B268" s="1980"/>
      <c r="C268" s="1980"/>
      <c r="D268" s="1980"/>
      <c r="E268" s="1980"/>
      <c r="F268" s="1980"/>
      <c r="G268" s="1980"/>
      <c r="H268" s="1980"/>
      <c r="I268" s="1980"/>
      <c r="J268" s="1980"/>
      <c r="K268" s="1980"/>
      <c r="L268" s="1980"/>
    </row>
    <row r="269" spans="1:12" s="756" customFormat="1">
      <c r="A269" s="1980"/>
      <c r="B269" s="1980"/>
      <c r="C269" s="1980"/>
      <c r="D269" s="1980"/>
      <c r="E269" s="1980"/>
      <c r="F269" s="1980"/>
      <c r="G269" s="1980"/>
      <c r="H269" s="1980"/>
      <c r="I269" s="1980"/>
      <c r="J269" s="1980"/>
      <c r="K269" s="1980"/>
      <c r="L269" s="1980"/>
    </row>
    <row r="270" spans="1:12" s="756" customFormat="1">
      <c r="A270" s="1980"/>
      <c r="B270" s="1980"/>
      <c r="C270" s="1980"/>
      <c r="D270" s="1980"/>
      <c r="E270" s="1980"/>
      <c r="F270" s="1980"/>
      <c r="G270" s="1980"/>
      <c r="H270" s="1980"/>
      <c r="I270" s="1980"/>
      <c r="J270" s="1980"/>
      <c r="K270" s="1980"/>
      <c r="L270" s="1980"/>
    </row>
    <row r="271" spans="1:12" s="756" customFormat="1">
      <c r="A271" s="1980"/>
      <c r="B271" s="1980"/>
      <c r="C271" s="1980"/>
      <c r="D271" s="1980"/>
      <c r="E271" s="1980"/>
      <c r="F271" s="1980"/>
      <c r="G271" s="1980"/>
      <c r="H271" s="1980"/>
      <c r="I271" s="1980"/>
      <c r="J271" s="1980"/>
      <c r="K271" s="1980"/>
      <c r="L271" s="1980"/>
    </row>
    <row r="272" spans="1:12" s="756" customFormat="1">
      <c r="A272" s="1980"/>
      <c r="B272" s="1980"/>
      <c r="C272" s="1980"/>
      <c r="D272" s="1980"/>
      <c r="E272" s="1980"/>
      <c r="F272" s="1980"/>
      <c r="G272" s="1980"/>
      <c r="H272" s="1980"/>
      <c r="I272" s="1980"/>
      <c r="J272" s="1980"/>
      <c r="K272" s="1980"/>
      <c r="L272" s="1980"/>
    </row>
    <row r="273" spans="1:12" s="756" customFormat="1">
      <c r="A273" s="1980"/>
      <c r="B273" s="1980"/>
      <c r="C273" s="1980"/>
      <c r="D273" s="1980"/>
      <c r="E273" s="1980"/>
      <c r="F273" s="1980"/>
      <c r="G273" s="1980"/>
      <c r="H273" s="1980"/>
      <c r="I273" s="1980"/>
      <c r="J273" s="1980"/>
      <c r="K273" s="1980"/>
      <c r="L273" s="1980"/>
    </row>
    <row r="274" spans="1:12" s="756" customFormat="1">
      <c r="A274" s="1980"/>
      <c r="B274" s="1980"/>
      <c r="C274" s="1980"/>
      <c r="D274" s="1980"/>
      <c r="E274" s="1980"/>
      <c r="F274" s="1980"/>
      <c r="G274" s="1980"/>
      <c r="H274" s="1980"/>
      <c r="I274" s="1980"/>
      <c r="J274" s="1980"/>
      <c r="K274" s="1980"/>
      <c r="L274" s="1980"/>
    </row>
    <row r="275" spans="1:12" s="756" customFormat="1">
      <c r="A275" s="1980"/>
      <c r="B275" s="1980"/>
      <c r="C275" s="1980"/>
      <c r="D275" s="1980"/>
      <c r="E275" s="1980"/>
      <c r="F275" s="1980"/>
      <c r="G275" s="1980"/>
      <c r="H275" s="1980"/>
      <c r="I275" s="1980"/>
      <c r="J275" s="1980"/>
      <c r="K275" s="1980"/>
      <c r="L275" s="1980"/>
    </row>
    <row r="276" spans="1:12" s="756" customFormat="1">
      <c r="A276" s="1980"/>
      <c r="B276" s="1980"/>
      <c r="C276" s="1980"/>
      <c r="D276" s="1980"/>
      <c r="E276" s="1980"/>
      <c r="F276" s="1980"/>
      <c r="G276" s="1980"/>
      <c r="H276" s="1980"/>
      <c r="I276" s="1980"/>
      <c r="J276" s="1980"/>
      <c r="K276" s="1980"/>
      <c r="L276" s="1980"/>
    </row>
  </sheetData>
  <sheetProtection password="AD9B" sheet="1" objects="1" scenarios="1"/>
  <mergeCells count="5">
    <mergeCell ref="B8:E8"/>
    <mergeCell ref="B51:E51"/>
    <mergeCell ref="B53:E53"/>
    <mergeCell ref="B55:E55"/>
    <mergeCell ref="B62:E62"/>
  </mergeCells>
  <dataValidations count="1">
    <dataValidation type="list" allowBlank="1" showInputMessage="1" showErrorMessage="1" sqref="D48 D12:D15 D19:D22 D25:D45">
      <formula1>$G$13:$G$15</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G273"/>
  <sheetViews>
    <sheetView workbookViewId="0">
      <selection activeCell="C68" sqref="C68"/>
    </sheetView>
  </sheetViews>
  <sheetFormatPr defaultColWidth="7.875" defaultRowHeight="12.75"/>
  <cols>
    <col min="1" max="1" width="3.375" style="1385" customWidth="1"/>
    <col min="2" max="2" width="9.125" style="1385" customWidth="1"/>
    <col min="3" max="3" width="85.625" style="1385" customWidth="1"/>
    <col min="4" max="4" width="12.625" style="1385" customWidth="1"/>
    <col min="5" max="6" width="7.875" style="1385"/>
    <col min="7" max="7" width="11.875" style="1385" hidden="1" customWidth="1"/>
    <col min="8" max="256" width="7.875" style="1385"/>
    <col min="257" max="257" width="3.375" style="1385" customWidth="1"/>
    <col min="258" max="258" width="9.125" style="1385" customWidth="1"/>
    <col min="259" max="259" width="85.625" style="1385" customWidth="1"/>
    <col min="260" max="260" width="12.625" style="1385" customWidth="1"/>
    <col min="261" max="512" width="7.875" style="1385"/>
    <col min="513" max="513" width="3.375" style="1385" customWidth="1"/>
    <col min="514" max="514" width="9.125" style="1385" customWidth="1"/>
    <col min="515" max="515" width="85.625" style="1385" customWidth="1"/>
    <col min="516" max="516" width="12.625" style="1385" customWidth="1"/>
    <col min="517" max="768" width="7.875" style="1385"/>
    <col min="769" max="769" width="3.375" style="1385" customWidth="1"/>
    <col min="770" max="770" width="9.125" style="1385" customWidth="1"/>
    <col min="771" max="771" width="85.625" style="1385" customWidth="1"/>
    <col min="772" max="772" width="12.625" style="1385" customWidth="1"/>
    <col min="773" max="1024" width="7.875" style="1385"/>
    <col min="1025" max="1025" width="3.375" style="1385" customWidth="1"/>
    <col min="1026" max="1026" width="9.125" style="1385" customWidth="1"/>
    <col min="1027" max="1027" width="85.625" style="1385" customWidth="1"/>
    <col min="1028" max="1028" width="12.625" style="1385" customWidth="1"/>
    <col min="1029" max="1280" width="7.875" style="1385"/>
    <col min="1281" max="1281" width="3.375" style="1385" customWidth="1"/>
    <col min="1282" max="1282" width="9.125" style="1385" customWidth="1"/>
    <col min="1283" max="1283" width="85.625" style="1385" customWidth="1"/>
    <col min="1284" max="1284" width="12.625" style="1385" customWidth="1"/>
    <col min="1285" max="1536" width="7.875" style="1385"/>
    <col min="1537" max="1537" width="3.375" style="1385" customWidth="1"/>
    <col min="1538" max="1538" width="9.125" style="1385" customWidth="1"/>
    <col min="1539" max="1539" width="85.625" style="1385" customWidth="1"/>
    <col min="1540" max="1540" width="12.625" style="1385" customWidth="1"/>
    <col min="1541" max="1792" width="7.875" style="1385"/>
    <col min="1793" max="1793" width="3.375" style="1385" customWidth="1"/>
    <col min="1794" max="1794" width="9.125" style="1385" customWidth="1"/>
    <col min="1795" max="1795" width="85.625" style="1385" customWidth="1"/>
    <col min="1796" max="1796" width="12.625" style="1385" customWidth="1"/>
    <col min="1797" max="2048" width="7.875" style="1385"/>
    <col min="2049" max="2049" width="3.375" style="1385" customWidth="1"/>
    <col min="2050" max="2050" width="9.125" style="1385" customWidth="1"/>
    <col min="2051" max="2051" width="85.625" style="1385" customWidth="1"/>
    <col min="2052" max="2052" width="12.625" style="1385" customWidth="1"/>
    <col min="2053" max="2304" width="7.875" style="1385"/>
    <col min="2305" max="2305" width="3.375" style="1385" customWidth="1"/>
    <col min="2306" max="2306" width="9.125" style="1385" customWidth="1"/>
    <col min="2307" max="2307" width="85.625" style="1385" customWidth="1"/>
    <col min="2308" max="2308" width="12.625" style="1385" customWidth="1"/>
    <col min="2309" max="2560" width="7.875" style="1385"/>
    <col min="2561" max="2561" width="3.375" style="1385" customWidth="1"/>
    <col min="2562" max="2562" width="9.125" style="1385" customWidth="1"/>
    <col min="2563" max="2563" width="85.625" style="1385" customWidth="1"/>
    <col min="2564" max="2564" width="12.625" style="1385" customWidth="1"/>
    <col min="2565" max="2816" width="7.875" style="1385"/>
    <col min="2817" max="2817" width="3.375" style="1385" customWidth="1"/>
    <col min="2818" max="2818" width="9.125" style="1385" customWidth="1"/>
    <col min="2819" max="2819" width="85.625" style="1385" customWidth="1"/>
    <col min="2820" max="2820" width="12.625" style="1385" customWidth="1"/>
    <col min="2821" max="3072" width="7.875" style="1385"/>
    <col min="3073" max="3073" width="3.375" style="1385" customWidth="1"/>
    <col min="3074" max="3074" width="9.125" style="1385" customWidth="1"/>
    <col min="3075" max="3075" width="85.625" style="1385" customWidth="1"/>
    <col min="3076" max="3076" width="12.625" style="1385" customWidth="1"/>
    <col min="3077" max="3328" width="7.875" style="1385"/>
    <col min="3329" max="3329" width="3.375" style="1385" customWidth="1"/>
    <col min="3330" max="3330" width="9.125" style="1385" customWidth="1"/>
    <col min="3331" max="3331" width="85.625" style="1385" customWidth="1"/>
    <col min="3332" max="3332" width="12.625" style="1385" customWidth="1"/>
    <col min="3333" max="3584" width="7.875" style="1385"/>
    <col min="3585" max="3585" width="3.375" style="1385" customWidth="1"/>
    <col min="3586" max="3586" width="9.125" style="1385" customWidth="1"/>
    <col min="3587" max="3587" width="85.625" style="1385" customWidth="1"/>
    <col min="3588" max="3588" width="12.625" style="1385" customWidth="1"/>
    <col min="3589" max="3840" width="7.875" style="1385"/>
    <col min="3841" max="3841" width="3.375" style="1385" customWidth="1"/>
    <col min="3842" max="3842" width="9.125" style="1385" customWidth="1"/>
    <col min="3843" max="3843" width="85.625" style="1385" customWidth="1"/>
    <col min="3844" max="3844" width="12.625" style="1385" customWidth="1"/>
    <col min="3845" max="4096" width="7.875" style="1385"/>
    <col min="4097" max="4097" width="3.375" style="1385" customWidth="1"/>
    <col min="4098" max="4098" width="9.125" style="1385" customWidth="1"/>
    <col min="4099" max="4099" width="85.625" style="1385" customWidth="1"/>
    <col min="4100" max="4100" width="12.625" style="1385" customWidth="1"/>
    <col min="4101" max="4352" width="7.875" style="1385"/>
    <col min="4353" max="4353" width="3.375" style="1385" customWidth="1"/>
    <col min="4354" max="4354" width="9.125" style="1385" customWidth="1"/>
    <col min="4355" max="4355" width="85.625" style="1385" customWidth="1"/>
    <col min="4356" max="4356" width="12.625" style="1385" customWidth="1"/>
    <col min="4357" max="4608" width="7.875" style="1385"/>
    <col min="4609" max="4609" width="3.375" style="1385" customWidth="1"/>
    <col min="4610" max="4610" width="9.125" style="1385" customWidth="1"/>
    <col min="4611" max="4611" width="85.625" style="1385" customWidth="1"/>
    <col min="4612" max="4612" width="12.625" style="1385" customWidth="1"/>
    <col min="4613" max="4864" width="7.875" style="1385"/>
    <col min="4865" max="4865" width="3.375" style="1385" customWidth="1"/>
    <col min="4866" max="4866" width="9.125" style="1385" customWidth="1"/>
    <col min="4867" max="4867" width="85.625" style="1385" customWidth="1"/>
    <col min="4868" max="4868" width="12.625" style="1385" customWidth="1"/>
    <col min="4869" max="5120" width="7.875" style="1385"/>
    <col min="5121" max="5121" width="3.375" style="1385" customWidth="1"/>
    <col min="5122" max="5122" width="9.125" style="1385" customWidth="1"/>
    <col min="5123" max="5123" width="85.625" style="1385" customWidth="1"/>
    <col min="5124" max="5124" width="12.625" style="1385" customWidth="1"/>
    <col min="5125" max="5376" width="7.875" style="1385"/>
    <col min="5377" max="5377" width="3.375" style="1385" customWidth="1"/>
    <col min="5378" max="5378" width="9.125" style="1385" customWidth="1"/>
    <col min="5379" max="5379" width="85.625" style="1385" customWidth="1"/>
    <col min="5380" max="5380" width="12.625" style="1385" customWidth="1"/>
    <col min="5381" max="5632" width="7.875" style="1385"/>
    <col min="5633" max="5633" width="3.375" style="1385" customWidth="1"/>
    <col min="5634" max="5634" width="9.125" style="1385" customWidth="1"/>
    <col min="5635" max="5635" width="85.625" style="1385" customWidth="1"/>
    <col min="5636" max="5636" width="12.625" style="1385" customWidth="1"/>
    <col min="5637" max="5888" width="7.875" style="1385"/>
    <col min="5889" max="5889" width="3.375" style="1385" customWidth="1"/>
    <col min="5890" max="5890" width="9.125" style="1385" customWidth="1"/>
    <col min="5891" max="5891" width="85.625" style="1385" customWidth="1"/>
    <col min="5892" max="5892" width="12.625" style="1385" customWidth="1"/>
    <col min="5893" max="6144" width="7.875" style="1385"/>
    <col min="6145" max="6145" width="3.375" style="1385" customWidth="1"/>
    <col min="6146" max="6146" width="9.125" style="1385" customWidth="1"/>
    <col min="6147" max="6147" width="85.625" style="1385" customWidth="1"/>
    <col min="6148" max="6148" width="12.625" style="1385" customWidth="1"/>
    <col min="6149" max="6400" width="7.875" style="1385"/>
    <col min="6401" max="6401" width="3.375" style="1385" customWidth="1"/>
    <col min="6402" max="6402" width="9.125" style="1385" customWidth="1"/>
    <col min="6403" max="6403" width="85.625" style="1385" customWidth="1"/>
    <col min="6404" max="6404" width="12.625" style="1385" customWidth="1"/>
    <col min="6405" max="6656" width="7.875" style="1385"/>
    <col min="6657" max="6657" width="3.375" style="1385" customWidth="1"/>
    <col min="6658" max="6658" width="9.125" style="1385" customWidth="1"/>
    <col min="6659" max="6659" width="85.625" style="1385" customWidth="1"/>
    <col min="6660" max="6660" width="12.625" style="1385" customWidth="1"/>
    <col min="6661" max="6912" width="7.875" style="1385"/>
    <col min="6913" max="6913" width="3.375" style="1385" customWidth="1"/>
    <col min="6914" max="6914" width="9.125" style="1385" customWidth="1"/>
    <col min="6915" max="6915" width="85.625" style="1385" customWidth="1"/>
    <col min="6916" max="6916" width="12.625" style="1385" customWidth="1"/>
    <col min="6917" max="7168" width="7.875" style="1385"/>
    <col min="7169" max="7169" width="3.375" style="1385" customWidth="1"/>
    <col min="7170" max="7170" width="9.125" style="1385" customWidth="1"/>
    <col min="7171" max="7171" width="85.625" style="1385" customWidth="1"/>
    <col min="7172" max="7172" width="12.625" style="1385" customWidth="1"/>
    <col min="7173" max="7424" width="7.875" style="1385"/>
    <col min="7425" max="7425" width="3.375" style="1385" customWidth="1"/>
    <col min="7426" max="7426" width="9.125" style="1385" customWidth="1"/>
    <col min="7427" max="7427" width="85.625" style="1385" customWidth="1"/>
    <col min="7428" max="7428" width="12.625" style="1385" customWidth="1"/>
    <col min="7429" max="7680" width="7.875" style="1385"/>
    <col min="7681" max="7681" width="3.375" style="1385" customWidth="1"/>
    <col min="7682" max="7682" width="9.125" style="1385" customWidth="1"/>
    <col min="7683" max="7683" width="85.625" style="1385" customWidth="1"/>
    <col min="7684" max="7684" width="12.625" style="1385" customWidth="1"/>
    <col min="7685" max="7936" width="7.875" style="1385"/>
    <col min="7937" max="7937" width="3.375" style="1385" customWidth="1"/>
    <col min="7938" max="7938" width="9.125" style="1385" customWidth="1"/>
    <col min="7939" max="7939" width="85.625" style="1385" customWidth="1"/>
    <col min="7940" max="7940" width="12.625" style="1385" customWidth="1"/>
    <col min="7941" max="8192" width="7.875" style="1385"/>
    <col min="8193" max="8193" width="3.375" style="1385" customWidth="1"/>
    <col min="8194" max="8194" width="9.125" style="1385" customWidth="1"/>
    <col min="8195" max="8195" width="85.625" style="1385" customWidth="1"/>
    <col min="8196" max="8196" width="12.625" style="1385" customWidth="1"/>
    <col min="8197" max="8448" width="7.875" style="1385"/>
    <col min="8449" max="8449" width="3.375" style="1385" customWidth="1"/>
    <col min="8450" max="8450" width="9.125" style="1385" customWidth="1"/>
    <col min="8451" max="8451" width="85.625" style="1385" customWidth="1"/>
    <col min="8452" max="8452" width="12.625" style="1385" customWidth="1"/>
    <col min="8453" max="8704" width="7.875" style="1385"/>
    <col min="8705" max="8705" width="3.375" style="1385" customWidth="1"/>
    <col min="8706" max="8706" width="9.125" style="1385" customWidth="1"/>
    <col min="8707" max="8707" width="85.625" style="1385" customWidth="1"/>
    <col min="8708" max="8708" width="12.625" style="1385" customWidth="1"/>
    <col min="8709" max="8960" width="7.875" style="1385"/>
    <col min="8961" max="8961" width="3.375" style="1385" customWidth="1"/>
    <col min="8962" max="8962" width="9.125" style="1385" customWidth="1"/>
    <col min="8963" max="8963" width="85.625" style="1385" customWidth="1"/>
    <col min="8964" max="8964" width="12.625" style="1385" customWidth="1"/>
    <col min="8965" max="9216" width="7.875" style="1385"/>
    <col min="9217" max="9217" width="3.375" style="1385" customWidth="1"/>
    <col min="9218" max="9218" width="9.125" style="1385" customWidth="1"/>
    <col min="9219" max="9219" width="85.625" style="1385" customWidth="1"/>
    <col min="9220" max="9220" width="12.625" style="1385" customWidth="1"/>
    <col min="9221" max="9472" width="7.875" style="1385"/>
    <col min="9473" max="9473" width="3.375" style="1385" customWidth="1"/>
    <col min="9474" max="9474" width="9.125" style="1385" customWidth="1"/>
    <col min="9475" max="9475" width="85.625" style="1385" customWidth="1"/>
    <col min="9476" max="9476" width="12.625" style="1385" customWidth="1"/>
    <col min="9477" max="9728" width="7.875" style="1385"/>
    <col min="9729" max="9729" width="3.375" style="1385" customWidth="1"/>
    <col min="9730" max="9730" width="9.125" style="1385" customWidth="1"/>
    <col min="9731" max="9731" width="85.625" style="1385" customWidth="1"/>
    <col min="9732" max="9732" width="12.625" style="1385" customWidth="1"/>
    <col min="9733" max="9984" width="7.875" style="1385"/>
    <col min="9985" max="9985" width="3.375" style="1385" customWidth="1"/>
    <col min="9986" max="9986" width="9.125" style="1385" customWidth="1"/>
    <col min="9987" max="9987" width="85.625" style="1385" customWidth="1"/>
    <col min="9988" max="9988" width="12.625" style="1385" customWidth="1"/>
    <col min="9989" max="10240" width="7.875" style="1385"/>
    <col min="10241" max="10241" width="3.375" style="1385" customWidth="1"/>
    <col min="10242" max="10242" width="9.125" style="1385" customWidth="1"/>
    <col min="10243" max="10243" width="85.625" style="1385" customWidth="1"/>
    <col min="10244" max="10244" width="12.625" style="1385" customWidth="1"/>
    <col min="10245" max="10496" width="7.875" style="1385"/>
    <col min="10497" max="10497" width="3.375" style="1385" customWidth="1"/>
    <col min="10498" max="10498" width="9.125" style="1385" customWidth="1"/>
    <col min="10499" max="10499" width="85.625" style="1385" customWidth="1"/>
    <col min="10500" max="10500" width="12.625" style="1385" customWidth="1"/>
    <col min="10501" max="10752" width="7.875" style="1385"/>
    <col min="10753" max="10753" width="3.375" style="1385" customWidth="1"/>
    <col min="10754" max="10754" width="9.125" style="1385" customWidth="1"/>
    <col min="10755" max="10755" width="85.625" style="1385" customWidth="1"/>
    <col min="10756" max="10756" width="12.625" style="1385" customWidth="1"/>
    <col min="10757" max="11008" width="7.875" style="1385"/>
    <col min="11009" max="11009" width="3.375" style="1385" customWidth="1"/>
    <col min="11010" max="11010" width="9.125" style="1385" customWidth="1"/>
    <col min="11011" max="11011" width="85.625" style="1385" customWidth="1"/>
    <col min="11012" max="11012" width="12.625" style="1385" customWidth="1"/>
    <col min="11013" max="11264" width="7.875" style="1385"/>
    <col min="11265" max="11265" width="3.375" style="1385" customWidth="1"/>
    <col min="11266" max="11266" width="9.125" style="1385" customWidth="1"/>
    <col min="11267" max="11267" width="85.625" style="1385" customWidth="1"/>
    <col min="11268" max="11268" width="12.625" style="1385" customWidth="1"/>
    <col min="11269" max="11520" width="7.875" style="1385"/>
    <col min="11521" max="11521" width="3.375" style="1385" customWidth="1"/>
    <col min="11522" max="11522" width="9.125" style="1385" customWidth="1"/>
    <col min="11523" max="11523" width="85.625" style="1385" customWidth="1"/>
    <col min="11524" max="11524" width="12.625" style="1385" customWidth="1"/>
    <col min="11525" max="11776" width="7.875" style="1385"/>
    <col min="11777" max="11777" width="3.375" style="1385" customWidth="1"/>
    <col min="11778" max="11778" width="9.125" style="1385" customWidth="1"/>
    <col min="11779" max="11779" width="85.625" style="1385" customWidth="1"/>
    <col min="11780" max="11780" width="12.625" style="1385" customWidth="1"/>
    <col min="11781" max="12032" width="7.875" style="1385"/>
    <col min="12033" max="12033" width="3.375" style="1385" customWidth="1"/>
    <col min="12034" max="12034" width="9.125" style="1385" customWidth="1"/>
    <col min="12035" max="12035" width="85.625" style="1385" customWidth="1"/>
    <col min="12036" max="12036" width="12.625" style="1385" customWidth="1"/>
    <col min="12037" max="12288" width="7.875" style="1385"/>
    <col min="12289" max="12289" width="3.375" style="1385" customWidth="1"/>
    <col min="12290" max="12290" width="9.125" style="1385" customWidth="1"/>
    <col min="12291" max="12291" width="85.625" style="1385" customWidth="1"/>
    <col min="12292" max="12292" width="12.625" style="1385" customWidth="1"/>
    <col min="12293" max="12544" width="7.875" style="1385"/>
    <col min="12545" max="12545" width="3.375" style="1385" customWidth="1"/>
    <col min="12546" max="12546" width="9.125" style="1385" customWidth="1"/>
    <col min="12547" max="12547" width="85.625" style="1385" customWidth="1"/>
    <col min="12548" max="12548" width="12.625" style="1385" customWidth="1"/>
    <col min="12549" max="12800" width="7.875" style="1385"/>
    <col min="12801" max="12801" width="3.375" style="1385" customWidth="1"/>
    <col min="12802" max="12802" width="9.125" style="1385" customWidth="1"/>
    <col min="12803" max="12803" width="85.625" style="1385" customWidth="1"/>
    <col min="12804" max="12804" width="12.625" style="1385" customWidth="1"/>
    <col min="12805" max="13056" width="7.875" style="1385"/>
    <col min="13057" max="13057" width="3.375" style="1385" customWidth="1"/>
    <col min="13058" max="13058" width="9.125" style="1385" customWidth="1"/>
    <col min="13059" max="13059" width="85.625" style="1385" customWidth="1"/>
    <col min="13060" max="13060" width="12.625" style="1385" customWidth="1"/>
    <col min="13061" max="13312" width="7.875" style="1385"/>
    <col min="13313" max="13313" width="3.375" style="1385" customWidth="1"/>
    <col min="13314" max="13314" width="9.125" style="1385" customWidth="1"/>
    <col min="13315" max="13315" width="85.625" style="1385" customWidth="1"/>
    <col min="13316" max="13316" width="12.625" style="1385" customWidth="1"/>
    <col min="13317" max="13568" width="7.875" style="1385"/>
    <col min="13569" max="13569" width="3.375" style="1385" customWidth="1"/>
    <col min="13570" max="13570" width="9.125" style="1385" customWidth="1"/>
    <col min="13571" max="13571" width="85.625" style="1385" customWidth="1"/>
    <col min="13572" max="13572" width="12.625" style="1385" customWidth="1"/>
    <col min="13573" max="13824" width="7.875" style="1385"/>
    <col min="13825" max="13825" width="3.375" style="1385" customWidth="1"/>
    <col min="13826" max="13826" width="9.125" style="1385" customWidth="1"/>
    <col min="13827" max="13827" width="85.625" style="1385" customWidth="1"/>
    <col min="13828" max="13828" width="12.625" style="1385" customWidth="1"/>
    <col min="13829" max="14080" width="7.875" style="1385"/>
    <col min="14081" max="14081" width="3.375" style="1385" customWidth="1"/>
    <col min="14082" max="14082" width="9.125" style="1385" customWidth="1"/>
    <col min="14083" max="14083" width="85.625" style="1385" customWidth="1"/>
    <col min="14084" max="14084" width="12.625" style="1385" customWidth="1"/>
    <col min="14085" max="14336" width="7.875" style="1385"/>
    <col min="14337" max="14337" width="3.375" style="1385" customWidth="1"/>
    <col min="14338" max="14338" width="9.125" style="1385" customWidth="1"/>
    <col min="14339" max="14339" width="85.625" style="1385" customWidth="1"/>
    <col min="14340" max="14340" width="12.625" style="1385" customWidth="1"/>
    <col min="14341" max="14592" width="7.875" style="1385"/>
    <col min="14593" max="14593" width="3.375" style="1385" customWidth="1"/>
    <col min="14594" max="14594" width="9.125" style="1385" customWidth="1"/>
    <col min="14595" max="14595" width="85.625" style="1385" customWidth="1"/>
    <col min="14596" max="14596" width="12.625" style="1385" customWidth="1"/>
    <col min="14597" max="14848" width="7.875" style="1385"/>
    <col min="14849" max="14849" width="3.375" style="1385" customWidth="1"/>
    <col min="14850" max="14850" width="9.125" style="1385" customWidth="1"/>
    <col min="14851" max="14851" width="85.625" style="1385" customWidth="1"/>
    <col min="14852" max="14852" width="12.625" style="1385" customWidth="1"/>
    <col min="14853" max="15104" width="7.875" style="1385"/>
    <col min="15105" max="15105" width="3.375" style="1385" customWidth="1"/>
    <col min="15106" max="15106" width="9.125" style="1385" customWidth="1"/>
    <col min="15107" max="15107" width="85.625" style="1385" customWidth="1"/>
    <col min="15108" max="15108" width="12.625" style="1385" customWidth="1"/>
    <col min="15109" max="15360" width="7.875" style="1385"/>
    <col min="15361" max="15361" width="3.375" style="1385" customWidth="1"/>
    <col min="15362" max="15362" width="9.125" style="1385" customWidth="1"/>
    <col min="15363" max="15363" width="85.625" style="1385" customWidth="1"/>
    <col min="15364" max="15364" width="12.625" style="1385" customWidth="1"/>
    <col min="15365" max="15616" width="7.875" style="1385"/>
    <col min="15617" max="15617" width="3.375" style="1385" customWidth="1"/>
    <col min="15618" max="15618" width="9.125" style="1385" customWidth="1"/>
    <col min="15619" max="15619" width="85.625" style="1385" customWidth="1"/>
    <col min="15620" max="15620" width="12.625" style="1385" customWidth="1"/>
    <col min="15621" max="15872" width="7.875" style="1385"/>
    <col min="15873" max="15873" width="3.375" style="1385" customWidth="1"/>
    <col min="15874" max="15874" width="9.125" style="1385" customWidth="1"/>
    <col min="15875" max="15875" width="85.625" style="1385" customWidth="1"/>
    <col min="15876" max="15876" width="12.625" style="1385" customWidth="1"/>
    <col min="15877" max="16128" width="7.875" style="1385"/>
    <col min="16129" max="16129" width="3.375" style="1385" customWidth="1"/>
    <col min="16130" max="16130" width="9.125" style="1385" customWidth="1"/>
    <col min="16131" max="16131" width="85.625" style="1385" customWidth="1"/>
    <col min="16132" max="16132" width="12.625" style="1385" customWidth="1"/>
    <col min="16133" max="16384" width="7.875" style="1385"/>
  </cols>
  <sheetData>
    <row r="1" spans="1:7" s="756" customFormat="1" ht="44.25" customHeight="1">
      <c r="A1" s="1980"/>
      <c r="B1" s="1980"/>
      <c r="C1" s="1980"/>
      <c r="D1" s="1980"/>
      <c r="E1" s="1980"/>
      <c r="F1" s="1980"/>
    </row>
    <row r="2" spans="1:7" s="756" customFormat="1">
      <c r="A2" s="1980"/>
      <c r="B2" s="1980"/>
      <c r="C2" s="1980"/>
      <c r="D2" s="1980"/>
      <c r="E2" s="1980"/>
      <c r="F2" s="1980"/>
    </row>
    <row r="3" spans="1:7" s="756" customFormat="1">
      <c r="A3" s="1980"/>
      <c r="B3" s="922" t="s">
        <v>2105</v>
      </c>
      <c r="C3" s="922"/>
      <c r="D3" s="1980"/>
      <c r="E3" s="922"/>
      <c r="F3" s="1980"/>
      <c r="G3" s="922"/>
    </row>
    <row r="4" spans="1:7" s="756" customFormat="1" ht="6.75" customHeight="1">
      <c r="A4" s="1980"/>
      <c r="B4" s="1980"/>
      <c r="C4" s="1980"/>
      <c r="D4" s="1980"/>
      <c r="E4" s="1980"/>
      <c r="F4" s="1980"/>
    </row>
    <row r="5" spans="1:7" s="756" customFormat="1" ht="8.25" customHeight="1">
      <c r="A5" s="1351"/>
      <c r="B5" s="1351"/>
      <c r="C5" s="1351"/>
      <c r="D5" s="1351"/>
      <c r="E5" s="1351"/>
      <c r="F5" s="1980"/>
    </row>
    <row r="6" spans="1:7" s="756" customFormat="1" ht="6.75" customHeight="1">
      <c r="A6" s="1980"/>
      <c r="B6" s="1980"/>
      <c r="C6" s="1980"/>
      <c r="D6" s="1980"/>
      <c r="E6" s="1980"/>
      <c r="F6" s="1980"/>
    </row>
    <row r="7" spans="1:7" s="756" customFormat="1" ht="54.75" customHeight="1">
      <c r="A7" s="759"/>
      <c r="B7" s="760" t="s">
        <v>2189</v>
      </c>
      <c r="C7" s="759"/>
      <c r="D7" s="759"/>
      <c r="E7" s="759"/>
      <c r="F7" s="1980"/>
    </row>
    <row r="8" spans="1:7" s="756" customFormat="1" ht="12.75" customHeight="1">
      <c r="A8" s="1980"/>
      <c r="B8" s="2177" t="s">
        <v>2150</v>
      </c>
      <c r="C8" s="2178"/>
      <c r="D8" s="2178"/>
      <c r="E8" s="2178"/>
      <c r="F8" s="1980"/>
    </row>
    <row r="9" spans="1:7" s="756" customFormat="1" ht="8.25" customHeight="1">
      <c r="A9" s="1351"/>
      <c r="B9" s="1351"/>
      <c r="C9" s="1351"/>
      <c r="D9" s="1351"/>
      <c r="E9" s="1351"/>
      <c r="F9" s="1980"/>
    </row>
    <row r="10" spans="1:7" s="756" customFormat="1" ht="12.75" customHeight="1">
      <c r="A10" s="1980"/>
      <c r="B10" s="762"/>
      <c r="C10" s="1980"/>
      <c r="D10" s="1980"/>
      <c r="E10" s="1980"/>
      <c r="F10" s="1980"/>
    </row>
    <row r="11" spans="1:7" s="756" customFormat="1" ht="15">
      <c r="A11" s="1980"/>
      <c r="B11" s="1386"/>
      <c r="C11" s="1387" t="s">
        <v>2151</v>
      </c>
      <c r="D11" s="1388"/>
      <c r="E11" s="1388"/>
      <c r="F11" s="1980"/>
    </row>
    <row r="12" spans="1:7" s="756" customFormat="1" ht="16.5">
      <c r="A12" s="1980"/>
      <c r="B12" s="1389">
        <v>1</v>
      </c>
      <c r="C12" s="1390" t="s">
        <v>2155</v>
      </c>
      <c r="D12" s="2119" t="s">
        <v>2153</v>
      </c>
      <c r="E12" s="1391"/>
      <c r="F12" s="1980"/>
      <c r="G12" s="756" t="s">
        <v>2153</v>
      </c>
    </row>
    <row r="13" spans="1:7" s="756" customFormat="1" ht="15">
      <c r="A13" s="1980"/>
      <c r="B13" s="1392"/>
      <c r="C13" s="1393"/>
      <c r="D13" s="1394"/>
      <c r="E13" s="1394"/>
      <c r="F13" s="1980"/>
      <c r="G13" s="756" t="s">
        <v>2312</v>
      </c>
    </row>
    <row r="14" spans="1:7" s="756" customFormat="1" ht="15">
      <c r="A14" s="1980"/>
      <c r="B14" s="1395"/>
      <c r="C14" s="1387" t="s">
        <v>2157</v>
      </c>
      <c r="D14" s="1386"/>
      <c r="E14" s="1386"/>
      <c r="F14" s="1980"/>
      <c r="G14" s="756" t="s">
        <v>2313</v>
      </c>
    </row>
    <row r="15" spans="1:7" s="756" customFormat="1" ht="33">
      <c r="A15" s="1980"/>
      <c r="B15" s="1389">
        <v>2</v>
      </c>
      <c r="C15" s="1396" t="s">
        <v>2190</v>
      </c>
      <c r="D15" s="2119" t="s">
        <v>2153</v>
      </c>
      <c r="E15" s="1391"/>
      <c r="F15" s="1980"/>
    </row>
    <row r="16" spans="1:7" s="756" customFormat="1" ht="15">
      <c r="A16" s="1980"/>
      <c r="B16" s="1392"/>
      <c r="C16" s="1393"/>
      <c r="D16" s="1397"/>
      <c r="E16" s="1394"/>
      <c r="F16" s="1980"/>
    </row>
    <row r="17" spans="1:6" s="756" customFormat="1" ht="15">
      <c r="A17" s="1980"/>
      <c r="B17" s="1395"/>
      <c r="C17" s="1387" t="s">
        <v>2163</v>
      </c>
      <c r="D17" s="1386"/>
      <c r="E17" s="1386"/>
      <c r="F17" s="1980"/>
    </row>
    <row r="18" spans="1:6" s="756" customFormat="1" ht="16.5">
      <c r="A18" s="1980"/>
      <c r="B18" s="1389">
        <v>3</v>
      </c>
      <c r="C18" s="1398" t="s">
        <v>2164</v>
      </c>
      <c r="D18" s="2119" t="s">
        <v>2153</v>
      </c>
      <c r="E18" s="1391"/>
      <c r="F18" s="1980"/>
    </row>
    <row r="19" spans="1:6" s="756" customFormat="1" ht="16.5">
      <c r="A19" s="1980"/>
      <c r="B19" s="1399">
        <v>4</v>
      </c>
      <c r="C19" s="1400" t="s">
        <v>2165</v>
      </c>
      <c r="D19" s="2119" t="s">
        <v>2153</v>
      </c>
      <c r="E19" s="1391"/>
      <c r="F19" s="1980"/>
    </row>
    <row r="20" spans="1:6" s="756" customFormat="1" ht="16.5">
      <c r="A20" s="1980"/>
      <c r="B20" s="1399">
        <v>5</v>
      </c>
      <c r="C20" s="1401" t="s">
        <v>2166</v>
      </c>
      <c r="D20" s="2119" t="s">
        <v>2153</v>
      </c>
      <c r="E20" s="1391"/>
      <c r="F20" s="1980"/>
    </row>
    <row r="21" spans="1:6" s="2101" customFormat="1" ht="18" customHeight="1">
      <c r="B21" s="2106">
        <v>6</v>
      </c>
      <c r="C21" s="2105" t="s">
        <v>2331</v>
      </c>
      <c r="D21" s="2119"/>
      <c r="E21" s="1391"/>
    </row>
    <row r="22" spans="1:6" s="756" customFormat="1" ht="33">
      <c r="A22" s="1980"/>
      <c r="B22" s="1389">
        <v>7</v>
      </c>
      <c r="C22" s="1401" t="s">
        <v>2167</v>
      </c>
      <c r="D22" s="2119" t="s">
        <v>2153</v>
      </c>
      <c r="E22" s="1391"/>
      <c r="F22" s="1980"/>
    </row>
    <row r="23" spans="1:6" s="756" customFormat="1" ht="33">
      <c r="A23" s="1980"/>
      <c r="B23" s="1399">
        <v>8</v>
      </c>
      <c r="C23" s="2107" t="s">
        <v>2332</v>
      </c>
      <c r="D23" s="2119" t="s">
        <v>2153</v>
      </c>
      <c r="E23" s="1391"/>
      <c r="F23" s="1980"/>
    </row>
    <row r="24" spans="1:6" s="756" customFormat="1" ht="16.5">
      <c r="A24" s="1980"/>
      <c r="B24" s="1399">
        <v>9</v>
      </c>
      <c r="C24" s="1402" t="s">
        <v>2169</v>
      </c>
      <c r="D24" s="2119" t="s">
        <v>2153</v>
      </c>
      <c r="E24" s="1391"/>
      <c r="F24" s="1980"/>
    </row>
    <row r="25" spans="1:6" s="756" customFormat="1" ht="16.5">
      <c r="A25" s="1980"/>
      <c r="B25" s="2106">
        <v>10</v>
      </c>
      <c r="C25" s="1402" t="s">
        <v>2170</v>
      </c>
      <c r="D25" s="2119" t="s">
        <v>2153</v>
      </c>
      <c r="E25" s="1391"/>
      <c r="F25" s="1980"/>
    </row>
    <row r="26" spans="1:6" s="756" customFormat="1" ht="33">
      <c r="A26" s="1980"/>
      <c r="B26" s="1389">
        <v>11</v>
      </c>
      <c r="C26" s="1401" t="s">
        <v>2171</v>
      </c>
      <c r="D26" s="2119" t="s">
        <v>2153</v>
      </c>
      <c r="E26" s="1391"/>
      <c r="F26" s="1980"/>
    </row>
    <row r="27" spans="1:6" s="756" customFormat="1" ht="16.5">
      <c r="A27" s="1980"/>
      <c r="B27" s="1399">
        <v>12</v>
      </c>
      <c r="C27" s="1401" t="s">
        <v>2172</v>
      </c>
      <c r="D27" s="2119" t="s">
        <v>2153</v>
      </c>
      <c r="E27" s="1391"/>
      <c r="F27" s="1980"/>
    </row>
    <row r="28" spans="1:6" s="756" customFormat="1" ht="16.5">
      <c r="A28" s="1980"/>
      <c r="B28" s="1399">
        <v>13</v>
      </c>
      <c r="C28" s="1402" t="s">
        <v>2173</v>
      </c>
      <c r="D28" s="2119" t="s">
        <v>2153</v>
      </c>
      <c r="E28" s="1391"/>
      <c r="F28" s="1980"/>
    </row>
    <row r="29" spans="1:6" s="756" customFormat="1" ht="33">
      <c r="A29" s="1980"/>
      <c r="B29" s="2106">
        <v>14</v>
      </c>
      <c r="C29" s="1401" t="s">
        <v>2174</v>
      </c>
      <c r="D29" s="2119" t="s">
        <v>2153</v>
      </c>
      <c r="E29" s="1391"/>
      <c r="F29" s="1980"/>
    </row>
    <row r="30" spans="1:6" s="756" customFormat="1" ht="33">
      <c r="A30" s="1980"/>
      <c r="B30" s="1389">
        <v>15</v>
      </c>
      <c r="C30" s="1403" t="s">
        <v>2175</v>
      </c>
      <c r="D30" s="2119" t="s">
        <v>2153</v>
      </c>
      <c r="E30" s="1391"/>
      <c r="F30" s="1980"/>
    </row>
    <row r="31" spans="1:6" s="756" customFormat="1" ht="16.5">
      <c r="A31" s="1980"/>
      <c r="B31" s="1399">
        <v>16</v>
      </c>
      <c r="C31" s="1403" t="s">
        <v>2176</v>
      </c>
      <c r="D31" s="2119" t="s">
        <v>2153</v>
      </c>
      <c r="E31" s="1391"/>
      <c r="F31" s="1980"/>
    </row>
    <row r="32" spans="1:6" s="756" customFormat="1" ht="49.5">
      <c r="A32" s="1980"/>
      <c r="B32" s="1399">
        <v>17</v>
      </c>
      <c r="C32" s="1401" t="s">
        <v>2177</v>
      </c>
      <c r="D32" s="2119" t="s">
        <v>2153</v>
      </c>
      <c r="E32" s="1391"/>
      <c r="F32" s="1980"/>
    </row>
    <row r="33" spans="1:6" s="756" customFormat="1" ht="33">
      <c r="A33" s="1980"/>
      <c r="B33" s="2106">
        <v>18</v>
      </c>
      <c r="C33" s="1401" t="s">
        <v>2178</v>
      </c>
      <c r="D33" s="2119" t="s">
        <v>2153</v>
      </c>
      <c r="E33" s="1391"/>
      <c r="F33" s="1980"/>
    </row>
    <row r="34" spans="1:6" s="756" customFormat="1" ht="16.5">
      <c r="A34" s="1980"/>
      <c r="B34" s="1389">
        <v>19</v>
      </c>
      <c r="C34" s="1402" t="s">
        <v>2179</v>
      </c>
      <c r="D34" s="2119" t="s">
        <v>2153</v>
      </c>
      <c r="E34" s="1391"/>
      <c r="F34" s="1980"/>
    </row>
    <row r="35" spans="1:6" s="756" customFormat="1" ht="33">
      <c r="A35" s="1980"/>
      <c r="B35" s="1399">
        <v>20</v>
      </c>
      <c r="C35" s="1404" t="s">
        <v>2180</v>
      </c>
      <c r="D35" s="2119" t="s">
        <v>2153</v>
      </c>
      <c r="E35" s="1391"/>
      <c r="F35" s="1980"/>
    </row>
    <row r="36" spans="1:6" s="756" customFormat="1" ht="33">
      <c r="A36" s="1980"/>
      <c r="B36" s="1399">
        <v>21</v>
      </c>
      <c r="C36" s="1403" t="s">
        <v>2181</v>
      </c>
      <c r="D36" s="2119" t="s">
        <v>2153</v>
      </c>
      <c r="E36" s="1391"/>
      <c r="F36" s="1980"/>
    </row>
    <row r="37" spans="1:6" s="756" customFormat="1" ht="16.5">
      <c r="A37" s="1980"/>
      <c r="B37" s="2106">
        <v>22</v>
      </c>
      <c r="C37" s="1402" t="s">
        <v>2182</v>
      </c>
      <c r="D37" s="2119" t="s">
        <v>2153</v>
      </c>
      <c r="E37" s="1405"/>
      <c r="F37" s="1980"/>
    </row>
    <row r="38" spans="1:6" s="756" customFormat="1" ht="16.5">
      <c r="A38" s="1980"/>
      <c r="B38" s="1389">
        <v>23</v>
      </c>
      <c r="C38" s="1401" t="s">
        <v>2191</v>
      </c>
      <c r="D38" s="2119" t="s">
        <v>2153</v>
      </c>
      <c r="E38" s="1391"/>
      <c r="F38" s="1980"/>
    </row>
    <row r="39" spans="1:6" s="756" customFormat="1" ht="16.5">
      <c r="A39" s="1980"/>
      <c r="B39" s="1399">
        <v>24</v>
      </c>
      <c r="C39" s="1402" t="s">
        <v>2183</v>
      </c>
      <c r="D39" s="2119" t="s">
        <v>2153</v>
      </c>
      <c r="E39" s="1391"/>
      <c r="F39" s="1980"/>
    </row>
    <row r="40" spans="1:6" s="756" customFormat="1" ht="15">
      <c r="A40" s="1980"/>
      <c r="B40" s="1392"/>
      <c r="C40" s="1393"/>
      <c r="D40" s="1394"/>
      <c r="E40" s="1394"/>
      <c r="F40" s="1980"/>
    </row>
    <row r="41" spans="1:6" s="756" customFormat="1" ht="15">
      <c r="A41" s="1980"/>
      <c r="B41" s="1395"/>
      <c r="C41" s="1406" t="s">
        <v>2184</v>
      </c>
      <c r="D41" s="1386"/>
      <c r="E41" s="1386"/>
      <c r="F41" s="1980"/>
    </row>
    <row r="42" spans="1:6" s="756" customFormat="1" ht="16.5">
      <c r="A42" s="1980"/>
      <c r="B42" s="1389">
        <v>25</v>
      </c>
      <c r="C42" s="1398" t="s">
        <v>2185</v>
      </c>
      <c r="D42" s="2119" t="s">
        <v>2153</v>
      </c>
      <c r="E42" s="1391"/>
      <c r="F42" s="1980"/>
    </row>
    <row r="43" spans="1:6" s="756" customFormat="1" ht="15">
      <c r="A43" s="1980"/>
      <c r="B43" s="1392"/>
      <c r="C43" s="1394"/>
      <c r="D43" s="1394"/>
      <c r="E43" s="1394"/>
      <c r="F43" s="1980"/>
    </row>
    <row r="44" spans="1:6" s="756" customFormat="1">
      <c r="A44" s="1980"/>
      <c r="B44" s="1980"/>
      <c r="C44" s="1980"/>
      <c r="D44" s="1980"/>
      <c r="E44" s="1980"/>
      <c r="F44" s="1980"/>
    </row>
    <row r="45" spans="1:6" s="756" customFormat="1">
      <c r="A45" s="1980"/>
      <c r="B45" s="2179" t="s">
        <v>2186</v>
      </c>
      <c r="C45" s="2180"/>
      <c r="D45" s="2180"/>
      <c r="E45" s="2180"/>
      <c r="F45" s="1980"/>
    </row>
    <row r="46" spans="1:6" s="756" customFormat="1">
      <c r="A46" s="1980"/>
      <c r="B46" s="2122"/>
      <c r="C46" s="2122"/>
      <c r="D46" s="2122"/>
      <c r="E46" s="2122"/>
      <c r="F46" s="1980"/>
    </row>
    <row r="47" spans="1:6" s="756" customFormat="1">
      <c r="A47" s="1980"/>
      <c r="B47" s="2179" t="s">
        <v>2187</v>
      </c>
      <c r="C47" s="2180"/>
      <c r="D47" s="2180"/>
      <c r="E47" s="2180"/>
      <c r="F47" s="1980"/>
    </row>
    <row r="48" spans="1:6" s="756" customFormat="1">
      <c r="A48" s="1980"/>
      <c r="B48" s="1980"/>
      <c r="C48" s="1980"/>
      <c r="D48" s="1384"/>
      <c r="E48" s="1980"/>
      <c r="F48" s="1980"/>
    </row>
    <row r="49" spans="1:6" s="756" customFormat="1">
      <c r="A49" s="1980"/>
      <c r="B49" s="2181" t="s">
        <v>2188</v>
      </c>
      <c r="C49" s="2182"/>
      <c r="D49" s="2182"/>
      <c r="E49" s="2182"/>
      <c r="F49" s="1980"/>
    </row>
    <row r="50" spans="1:6" s="756" customFormat="1">
      <c r="A50" s="1980"/>
      <c r="B50" s="1980"/>
      <c r="C50" s="1980"/>
      <c r="D50" s="1384"/>
      <c r="E50" s="1980"/>
      <c r="F50" s="1980"/>
    </row>
    <row r="51" spans="1:6" s="756" customFormat="1">
      <c r="A51" s="1980"/>
      <c r="B51" s="1980"/>
      <c r="C51" s="1980"/>
      <c r="D51" s="1980"/>
      <c r="E51" s="1980"/>
      <c r="F51" s="1980"/>
    </row>
    <row r="52" spans="1:6" s="756" customFormat="1"/>
    <row r="53" spans="1:6" s="756" customFormat="1"/>
    <row r="54" spans="1:6" s="756" customFormat="1"/>
    <row r="55" spans="1:6" s="756" customFormat="1"/>
    <row r="56" spans="1:6" s="756" customFormat="1"/>
    <row r="57" spans="1:6" s="756" customFormat="1"/>
    <row r="58" spans="1:6" s="756" customFormat="1"/>
    <row r="59" spans="1:6" s="756" customFormat="1"/>
    <row r="60" spans="1:6" s="756" customFormat="1"/>
    <row r="61" spans="1:6" s="756" customFormat="1"/>
    <row r="62" spans="1:6" s="756" customFormat="1"/>
    <row r="63" spans="1:6" s="756" customFormat="1"/>
    <row r="64" spans="1:6" s="756" customFormat="1"/>
    <row r="65" s="756" customFormat="1"/>
    <row r="66" s="756" customFormat="1"/>
    <row r="67" s="756" customFormat="1"/>
    <row r="68" s="756" customFormat="1"/>
    <row r="69" s="756" customFormat="1"/>
    <row r="70" s="756" customFormat="1"/>
    <row r="71" s="756" customFormat="1"/>
    <row r="72" s="756" customFormat="1"/>
    <row r="73" s="756" customFormat="1"/>
    <row r="74" s="756" customFormat="1"/>
    <row r="75" s="756" customFormat="1"/>
    <row r="76" s="756" customFormat="1"/>
    <row r="77" s="756" customFormat="1"/>
    <row r="78" s="756" customFormat="1"/>
    <row r="79" s="756" customFormat="1"/>
    <row r="80" s="756" customFormat="1"/>
    <row r="81" s="756" customFormat="1"/>
    <row r="82" s="756" customFormat="1"/>
    <row r="83" s="756" customFormat="1"/>
    <row r="84" s="756" customFormat="1"/>
    <row r="85" s="756" customFormat="1"/>
    <row r="86" s="756" customFormat="1"/>
    <row r="87" s="756" customFormat="1"/>
    <row r="88" s="756" customFormat="1"/>
    <row r="89" s="756" customFormat="1"/>
    <row r="90" s="756" customFormat="1"/>
    <row r="91" s="756" customFormat="1"/>
    <row r="92" s="756" customFormat="1"/>
    <row r="93" s="756" customFormat="1"/>
    <row r="94" s="756" customFormat="1"/>
    <row r="95" s="756" customFormat="1"/>
    <row r="96" s="756" customFormat="1"/>
    <row r="97" s="756" customFormat="1"/>
    <row r="98" s="756" customFormat="1"/>
    <row r="99" s="756" customFormat="1"/>
    <row r="100" s="756" customFormat="1"/>
    <row r="101" s="756" customFormat="1"/>
    <row r="102" s="756" customFormat="1"/>
    <row r="103" s="756" customFormat="1"/>
    <row r="104" s="756" customFormat="1"/>
    <row r="105" s="756" customFormat="1"/>
    <row r="106" s="756" customFormat="1"/>
    <row r="107" s="756" customFormat="1"/>
    <row r="108" s="756" customFormat="1"/>
    <row r="109" s="756" customFormat="1"/>
    <row r="110" s="756" customFormat="1"/>
    <row r="111" s="756" customFormat="1"/>
    <row r="112" s="756" customFormat="1"/>
    <row r="113" s="756" customFormat="1"/>
    <row r="114" s="756" customFormat="1"/>
    <row r="115" s="756" customFormat="1"/>
    <row r="116" s="756" customFormat="1"/>
    <row r="117" s="756" customFormat="1"/>
    <row r="118" s="756" customFormat="1"/>
    <row r="119" s="756" customFormat="1"/>
    <row r="120" s="756" customFormat="1"/>
    <row r="121" s="756" customFormat="1"/>
    <row r="122" s="756" customFormat="1"/>
    <row r="123" s="756" customFormat="1"/>
    <row r="124" s="756" customFormat="1"/>
    <row r="125" s="756" customFormat="1"/>
    <row r="126" s="756" customFormat="1"/>
    <row r="127" s="756" customFormat="1"/>
    <row r="128" s="756" customFormat="1"/>
    <row r="129" s="756" customFormat="1"/>
    <row r="130" s="756" customFormat="1"/>
    <row r="131" s="756" customFormat="1"/>
    <row r="132" s="756" customFormat="1"/>
    <row r="133" s="756" customFormat="1"/>
    <row r="134" s="756" customFormat="1"/>
    <row r="135" s="756" customFormat="1"/>
    <row r="136" s="756" customFormat="1"/>
    <row r="137" s="756" customFormat="1"/>
    <row r="138" s="756" customFormat="1"/>
    <row r="139" s="756" customFormat="1"/>
    <row r="140" s="756" customFormat="1"/>
    <row r="141" s="756" customFormat="1"/>
    <row r="142" s="756" customFormat="1"/>
    <row r="143" s="756" customFormat="1"/>
    <row r="144" s="756" customFormat="1"/>
    <row r="145" s="756" customFormat="1"/>
    <row r="146" s="756" customFormat="1"/>
    <row r="147" s="756" customFormat="1"/>
    <row r="148" s="756" customFormat="1"/>
    <row r="149" s="756" customFormat="1"/>
    <row r="150" s="756" customFormat="1"/>
    <row r="151" s="756" customFormat="1"/>
    <row r="152" s="756" customFormat="1"/>
    <row r="153" s="756" customFormat="1"/>
    <row r="154" s="756" customFormat="1"/>
    <row r="155" s="756" customFormat="1"/>
    <row r="156" s="756" customFormat="1"/>
    <row r="157" s="756" customFormat="1"/>
    <row r="158" s="756" customFormat="1"/>
    <row r="159" s="756" customFormat="1"/>
    <row r="160" s="756" customFormat="1"/>
    <row r="161" s="756" customFormat="1"/>
    <row r="162" s="756" customFormat="1"/>
    <row r="163" s="756" customFormat="1"/>
    <row r="164" s="756" customFormat="1"/>
    <row r="165" s="756" customFormat="1"/>
    <row r="166" s="756" customFormat="1"/>
    <row r="167" s="756" customFormat="1"/>
    <row r="168" s="756" customFormat="1"/>
    <row r="169" s="756" customFormat="1"/>
    <row r="170" s="756" customFormat="1"/>
    <row r="171" s="756" customFormat="1"/>
    <row r="172" s="756" customFormat="1"/>
    <row r="173" s="756" customFormat="1"/>
    <row r="174" s="756" customFormat="1"/>
    <row r="175" s="756" customFormat="1"/>
    <row r="176" s="756" customFormat="1"/>
    <row r="177" s="756" customFormat="1"/>
    <row r="178" s="756" customFormat="1"/>
    <row r="179" s="756" customFormat="1"/>
    <row r="180" s="756" customFormat="1"/>
    <row r="181" s="756" customFormat="1"/>
    <row r="182" s="756" customFormat="1"/>
    <row r="183" s="756" customFormat="1"/>
    <row r="184" s="756" customFormat="1"/>
    <row r="185" s="756" customFormat="1"/>
    <row r="186" s="756" customFormat="1"/>
    <row r="187" s="756" customFormat="1"/>
    <row r="188" s="756" customFormat="1"/>
    <row r="189" s="756" customFormat="1"/>
    <row r="190" s="756" customFormat="1"/>
    <row r="191" s="756" customFormat="1"/>
    <row r="192" s="756" customFormat="1"/>
    <row r="193" s="756" customFormat="1"/>
    <row r="194" s="756" customFormat="1"/>
    <row r="195" s="756" customFormat="1"/>
    <row r="196" s="756" customFormat="1"/>
    <row r="197" s="756" customFormat="1"/>
    <row r="198" s="756" customFormat="1"/>
    <row r="199" s="756" customFormat="1"/>
    <row r="200" s="756" customFormat="1"/>
    <row r="201" s="756" customFormat="1"/>
    <row r="202" s="756" customFormat="1"/>
    <row r="203" s="756" customFormat="1"/>
    <row r="204" s="756" customFormat="1"/>
    <row r="205" s="756" customFormat="1"/>
    <row r="206" s="756" customFormat="1"/>
    <row r="207" s="756" customFormat="1"/>
    <row r="208" s="756" customFormat="1"/>
    <row r="209" s="756" customFormat="1"/>
    <row r="210" s="756" customFormat="1"/>
    <row r="211" s="756" customFormat="1"/>
    <row r="212" s="756" customFormat="1"/>
    <row r="213" s="756" customFormat="1"/>
    <row r="214" s="756" customFormat="1"/>
    <row r="215" s="756" customFormat="1"/>
    <row r="216" s="756" customFormat="1"/>
    <row r="217" s="756" customFormat="1"/>
    <row r="218" s="756" customFormat="1"/>
    <row r="219" s="756" customFormat="1"/>
    <row r="220" s="756" customFormat="1"/>
    <row r="221" s="756" customFormat="1"/>
    <row r="222" s="756" customFormat="1"/>
    <row r="223" s="756" customFormat="1"/>
    <row r="224" s="756" customFormat="1"/>
    <row r="225" s="756" customFormat="1"/>
    <row r="226" s="756" customFormat="1"/>
    <row r="227" s="756" customFormat="1"/>
    <row r="228" s="756" customFormat="1"/>
    <row r="229" s="756" customFormat="1"/>
    <row r="230" s="756" customFormat="1"/>
    <row r="231" s="756" customFormat="1"/>
    <row r="232" s="756" customFormat="1"/>
    <row r="233" s="756" customFormat="1"/>
    <row r="234" s="756" customFormat="1"/>
    <row r="235" s="756" customFormat="1"/>
    <row r="236" s="756" customFormat="1"/>
    <row r="237" s="756" customFormat="1"/>
    <row r="238" s="756" customFormat="1"/>
    <row r="239" s="756" customFormat="1"/>
    <row r="240" s="756" customFormat="1"/>
    <row r="241" s="756" customFormat="1"/>
    <row r="242" s="756" customFormat="1"/>
    <row r="243" s="756" customFormat="1"/>
    <row r="244" s="756" customFormat="1"/>
    <row r="245" s="756" customFormat="1"/>
    <row r="246" s="756" customFormat="1"/>
    <row r="247" s="756" customFormat="1"/>
    <row r="248" s="756" customFormat="1"/>
    <row r="249" s="756" customFormat="1"/>
    <row r="250" s="756" customFormat="1"/>
    <row r="251" s="756" customFormat="1"/>
    <row r="252" s="756" customFormat="1"/>
    <row r="253" s="756" customFormat="1"/>
    <row r="254" s="756" customFormat="1"/>
    <row r="255" s="756" customFormat="1"/>
    <row r="256" s="756" customFormat="1"/>
    <row r="257" s="756" customFormat="1"/>
    <row r="258" s="756" customFormat="1"/>
    <row r="259" s="756" customFormat="1"/>
    <row r="260" s="756" customFormat="1"/>
    <row r="261" s="756" customFormat="1"/>
    <row r="262" s="756" customFormat="1"/>
    <row r="263" s="756" customFormat="1"/>
    <row r="264" s="756" customFormat="1"/>
    <row r="265" s="756" customFormat="1"/>
    <row r="266" s="756" customFormat="1"/>
    <row r="267" s="756" customFormat="1"/>
    <row r="268" s="756" customFormat="1"/>
    <row r="269" s="756" customFormat="1"/>
    <row r="270" s="756" customFormat="1"/>
    <row r="271" s="756" customFormat="1"/>
    <row r="272" s="756" customFormat="1"/>
    <row r="273" s="756" customFormat="1"/>
  </sheetData>
  <sheetProtection password="AD9B" sheet="1" objects="1" scenarios="1"/>
  <mergeCells count="4">
    <mergeCell ref="B8:E8"/>
    <mergeCell ref="B45:E45"/>
    <mergeCell ref="B47:E47"/>
    <mergeCell ref="B49:E49"/>
  </mergeCells>
  <dataValidations count="1">
    <dataValidation type="list" allowBlank="1" showInputMessage="1" showErrorMessage="1" sqref="D42 D12 D15 D18:D39">
      <formula1>$G$12:$G$14</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I30"/>
  <sheetViews>
    <sheetView topLeftCell="A4" workbookViewId="0">
      <selection activeCell="B43" sqref="B43"/>
    </sheetView>
  </sheetViews>
  <sheetFormatPr defaultColWidth="7.875" defaultRowHeight="12.75"/>
  <cols>
    <col min="1" max="1" width="3.375" style="772" customWidth="1"/>
    <col min="2" max="2" width="103" style="772" customWidth="1"/>
    <col min="3" max="256" width="7.875" style="772"/>
    <col min="257" max="257" width="3.375" style="772" customWidth="1"/>
    <col min="258" max="258" width="103" style="772" customWidth="1"/>
    <col min="259" max="512" width="7.875" style="772"/>
    <col min="513" max="513" width="3.375" style="772" customWidth="1"/>
    <col min="514" max="514" width="103" style="772" customWidth="1"/>
    <col min="515" max="768" width="7.875" style="772"/>
    <col min="769" max="769" width="3.375" style="772" customWidth="1"/>
    <col min="770" max="770" width="103" style="772" customWidth="1"/>
    <col min="771" max="1024" width="7.875" style="772"/>
    <col min="1025" max="1025" width="3.375" style="772" customWidth="1"/>
    <col min="1026" max="1026" width="103" style="772" customWidth="1"/>
    <col min="1027" max="1280" width="7.875" style="772"/>
    <col min="1281" max="1281" width="3.375" style="772" customWidth="1"/>
    <col min="1282" max="1282" width="103" style="772" customWidth="1"/>
    <col min="1283" max="1536" width="7.875" style="772"/>
    <col min="1537" max="1537" width="3.375" style="772" customWidth="1"/>
    <col min="1538" max="1538" width="103" style="772" customWidth="1"/>
    <col min="1539" max="1792" width="7.875" style="772"/>
    <col min="1793" max="1793" width="3.375" style="772" customWidth="1"/>
    <col min="1794" max="1794" width="103" style="772" customWidth="1"/>
    <col min="1795" max="2048" width="7.875" style="772"/>
    <col min="2049" max="2049" width="3.375" style="772" customWidth="1"/>
    <col min="2050" max="2050" width="103" style="772" customWidth="1"/>
    <col min="2051" max="2304" width="7.875" style="772"/>
    <col min="2305" max="2305" width="3.375" style="772" customWidth="1"/>
    <col min="2306" max="2306" width="103" style="772" customWidth="1"/>
    <col min="2307" max="2560" width="7.875" style="772"/>
    <col min="2561" max="2561" width="3.375" style="772" customWidth="1"/>
    <col min="2562" max="2562" width="103" style="772" customWidth="1"/>
    <col min="2563" max="2816" width="7.875" style="772"/>
    <col min="2817" max="2817" width="3.375" style="772" customWidth="1"/>
    <col min="2818" max="2818" width="103" style="772" customWidth="1"/>
    <col min="2819" max="3072" width="7.875" style="772"/>
    <col min="3073" max="3073" width="3.375" style="772" customWidth="1"/>
    <col min="3074" max="3074" width="103" style="772" customWidth="1"/>
    <col min="3075" max="3328" width="7.875" style="772"/>
    <col min="3329" max="3329" width="3.375" style="772" customWidth="1"/>
    <col min="3330" max="3330" width="103" style="772" customWidth="1"/>
    <col min="3331" max="3584" width="7.875" style="772"/>
    <col min="3585" max="3585" width="3.375" style="772" customWidth="1"/>
    <col min="3586" max="3586" width="103" style="772" customWidth="1"/>
    <col min="3587" max="3840" width="7.875" style="772"/>
    <col min="3841" max="3841" width="3.375" style="772" customWidth="1"/>
    <col min="3842" max="3842" width="103" style="772" customWidth="1"/>
    <col min="3843" max="4096" width="7.875" style="772"/>
    <col min="4097" max="4097" width="3.375" style="772" customWidth="1"/>
    <col min="4098" max="4098" width="103" style="772" customWidth="1"/>
    <col min="4099" max="4352" width="7.875" style="772"/>
    <col min="4353" max="4353" width="3.375" style="772" customWidth="1"/>
    <col min="4354" max="4354" width="103" style="772" customWidth="1"/>
    <col min="4355" max="4608" width="7.875" style="772"/>
    <col min="4609" max="4609" width="3.375" style="772" customWidth="1"/>
    <col min="4610" max="4610" width="103" style="772" customWidth="1"/>
    <col min="4611" max="4864" width="7.875" style="772"/>
    <col min="4865" max="4865" width="3.375" style="772" customWidth="1"/>
    <col min="4866" max="4866" width="103" style="772" customWidth="1"/>
    <col min="4867" max="5120" width="7.875" style="772"/>
    <col min="5121" max="5121" width="3.375" style="772" customWidth="1"/>
    <col min="5122" max="5122" width="103" style="772" customWidth="1"/>
    <col min="5123" max="5376" width="7.875" style="772"/>
    <col min="5377" max="5377" width="3.375" style="772" customWidth="1"/>
    <col min="5378" max="5378" width="103" style="772" customWidth="1"/>
    <col min="5379" max="5632" width="7.875" style="772"/>
    <col min="5633" max="5633" width="3.375" style="772" customWidth="1"/>
    <col min="5634" max="5634" width="103" style="772" customWidth="1"/>
    <col min="5635" max="5888" width="7.875" style="772"/>
    <col min="5889" max="5889" width="3.375" style="772" customWidth="1"/>
    <col min="5890" max="5890" width="103" style="772" customWidth="1"/>
    <col min="5891" max="6144" width="7.875" style="772"/>
    <col min="6145" max="6145" width="3.375" style="772" customWidth="1"/>
    <col min="6146" max="6146" width="103" style="772" customWidth="1"/>
    <col min="6147" max="6400" width="7.875" style="772"/>
    <col min="6401" max="6401" width="3.375" style="772" customWidth="1"/>
    <col min="6402" max="6402" width="103" style="772" customWidth="1"/>
    <col min="6403" max="6656" width="7.875" style="772"/>
    <col min="6657" max="6657" width="3.375" style="772" customWidth="1"/>
    <col min="6658" max="6658" width="103" style="772" customWidth="1"/>
    <col min="6659" max="6912" width="7.875" style="772"/>
    <col min="6913" max="6913" width="3.375" style="772" customWidth="1"/>
    <col min="6914" max="6914" width="103" style="772" customWidth="1"/>
    <col min="6915" max="7168" width="7.875" style="772"/>
    <col min="7169" max="7169" width="3.375" style="772" customWidth="1"/>
    <col min="7170" max="7170" width="103" style="772" customWidth="1"/>
    <col min="7171" max="7424" width="7.875" style="772"/>
    <col min="7425" max="7425" width="3.375" style="772" customWidth="1"/>
    <col min="7426" max="7426" width="103" style="772" customWidth="1"/>
    <col min="7427" max="7680" width="7.875" style="772"/>
    <col min="7681" max="7681" width="3.375" style="772" customWidth="1"/>
    <col min="7682" max="7682" width="103" style="772" customWidth="1"/>
    <col min="7683" max="7936" width="7.875" style="772"/>
    <col min="7937" max="7937" width="3.375" style="772" customWidth="1"/>
    <col min="7938" max="7938" width="103" style="772" customWidth="1"/>
    <col min="7939" max="8192" width="7.875" style="772"/>
    <col min="8193" max="8193" width="3.375" style="772" customWidth="1"/>
    <col min="8194" max="8194" width="103" style="772" customWidth="1"/>
    <col min="8195" max="8448" width="7.875" style="772"/>
    <col min="8449" max="8449" width="3.375" style="772" customWidth="1"/>
    <col min="8450" max="8450" width="103" style="772" customWidth="1"/>
    <col min="8451" max="8704" width="7.875" style="772"/>
    <col min="8705" max="8705" width="3.375" style="772" customWidth="1"/>
    <col min="8706" max="8706" width="103" style="772" customWidth="1"/>
    <col min="8707" max="8960" width="7.875" style="772"/>
    <col min="8961" max="8961" width="3.375" style="772" customWidth="1"/>
    <col min="8962" max="8962" width="103" style="772" customWidth="1"/>
    <col min="8963" max="9216" width="7.875" style="772"/>
    <col min="9217" max="9217" width="3.375" style="772" customWidth="1"/>
    <col min="9218" max="9218" width="103" style="772" customWidth="1"/>
    <col min="9219" max="9472" width="7.875" style="772"/>
    <col min="9473" max="9473" width="3.375" style="772" customWidth="1"/>
    <col min="9474" max="9474" width="103" style="772" customWidth="1"/>
    <col min="9475" max="9728" width="7.875" style="772"/>
    <col min="9729" max="9729" width="3.375" style="772" customWidth="1"/>
    <col min="9730" max="9730" width="103" style="772" customWidth="1"/>
    <col min="9731" max="9984" width="7.875" style="772"/>
    <col min="9985" max="9985" width="3.375" style="772" customWidth="1"/>
    <col min="9986" max="9986" width="103" style="772" customWidth="1"/>
    <col min="9987" max="10240" width="7.875" style="772"/>
    <col min="10241" max="10241" width="3.375" style="772" customWidth="1"/>
    <col min="10242" max="10242" width="103" style="772" customWidth="1"/>
    <col min="10243" max="10496" width="7.875" style="772"/>
    <col min="10497" max="10497" width="3.375" style="772" customWidth="1"/>
    <col min="10498" max="10498" width="103" style="772" customWidth="1"/>
    <col min="10499" max="10752" width="7.875" style="772"/>
    <col min="10753" max="10753" width="3.375" style="772" customWidth="1"/>
    <col min="10754" max="10754" width="103" style="772" customWidth="1"/>
    <col min="10755" max="11008" width="7.875" style="772"/>
    <col min="11009" max="11009" width="3.375" style="772" customWidth="1"/>
    <col min="11010" max="11010" width="103" style="772" customWidth="1"/>
    <col min="11011" max="11264" width="7.875" style="772"/>
    <col min="11265" max="11265" width="3.375" style="772" customWidth="1"/>
    <col min="11266" max="11266" width="103" style="772" customWidth="1"/>
    <col min="11267" max="11520" width="7.875" style="772"/>
    <col min="11521" max="11521" width="3.375" style="772" customWidth="1"/>
    <col min="11522" max="11522" width="103" style="772" customWidth="1"/>
    <col min="11523" max="11776" width="7.875" style="772"/>
    <col min="11777" max="11777" width="3.375" style="772" customWidth="1"/>
    <col min="11778" max="11778" width="103" style="772" customWidth="1"/>
    <col min="11779" max="12032" width="7.875" style="772"/>
    <col min="12033" max="12033" width="3.375" style="772" customWidth="1"/>
    <col min="12034" max="12034" width="103" style="772" customWidth="1"/>
    <col min="12035" max="12288" width="7.875" style="772"/>
    <col min="12289" max="12289" width="3.375" style="772" customWidth="1"/>
    <col min="12290" max="12290" width="103" style="772" customWidth="1"/>
    <col min="12291" max="12544" width="7.875" style="772"/>
    <col min="12545" max="12545" width="3.375" style="772" customWidth="1"/>
    <col min="12546" max="12546" width="103" style="772" customWidth="1"/>
    <col min="12547" max="12800" width="7.875" style="772"/>
    <col min="12801" max="12801" width="3.375" style="772" customWidth="1"/>
    <col min="12802" max="12802" width="103" style="772" customWidth="1"/>
    <col min="12803" max="13056" width="7.875" style="772"/>
    <col min="13057" max="13057" width="3.375" style="772" customWidth="1"/>
    <col min="13058" max="13058" width="103" style="772" customWidth="1"/>
    <col min="13059" max="13312" width="7.875" style="772"/>
    <col min="13313" max="13313" width="3.375" style="772" customWidth="1"/>
    <col min="13314" max="13314" width="103" style="772" customWidth="1"/>
    <col min="13315" max="13568" width="7.875" style="772"/>
    <col min="13569" max="13569" width="3.375" style="772" customWidth="1"/>
    <col min="13570" max="13570" width="103" style="772" customWidth="1"/>
    <col min="13571" max="13824" width="7.875" style="772"/>
    <col min="13825" max="13825" width="3.375" style="772" customWidth="1"/>
    <col min="13826" max="13826" width="103" style="772" customWidth="1"/>
    <col min="13827" max="14080" width="7.875" style="772"/>
    <col min="14081" max="14081" width="3.375" style="772" customWidth="1"/>
    <col min="14082" max="14082" width="103" style="772" customWidth="1"/>
    <col min="14083" max="14336" width="7.875" style="772"/>
    <col min="14337" max="14337" width="3.375" style="772" customWidth="1"/>
    <col min="14338" max="14338" width="103" style="772" customWidth="1"/>
    <col min="14339" max="14592" width="7.875" style="772"/>
    <col min="14593" max="14593" width="3.375" style="772" customWidth="1"/>
    <col min="14594" max="14594" width="103" style="772" customWidth="1"/>
    <col min="14595" max="14848" width="7.875" style="772"/>
    <col min="14849" max="14849" width="3.375" style="772" customWidth="1"/>
    <col min="14850" max="14850" width="103" style="772" customWidth="1"/>
    <col min="14851" max="15104" width="7.875" style="772"/>
    <col min="15105" max="15105" width="3.375" style="772" customWidth="1"/>
    <col min="15106" max="15106" width="103" style="772" customWidth="1"/>
    <col min="15107" max="15360" width="7.875" style="772"/>
    <col min="15361" max="15361" width="3.375" style="772" customWidth="1"/>
    <col min="15362" max="15362" width="103" style="772" customWidth="1"/>
    <col min="15363" max="15616" width="7.875" style="772"/>
    <col min="15617" max="15617" width="3.375" style="772" customWidth="1"/>
    <col min="15618" max="15618" width="103" style="772" customWidth="1"/>
    <col min="15619" max="15872" width="7.875" style="772"/>
    <col min="15873" max="15873" width="3.375" style="772" customWidth="1"/>
    <col min="15874" max="15874" width="103" style="772" customWidth="1"/>
    <col min="15875" max="16128" width="7.875" style="772"/>
    <col min="16129" max="16129" width="3.375" style="772" customWidth="1"/>
    <col min="16130" max="16130" width="103" style="772" customWidth="1"/>
    <col min="16131" max="16384" width="7.875" style="772"/>
  </cols>
  <sheetData>
    <row r="1" spans="1:9" s="756" customFormat="1" ht="44.25" customHeight="1">
      <c r="A1" s="1980"/>
      <c r="B1" s="1980"/>
      <c r="C1" s="1980"/>
      <c r="D1" s="1980"/>
      <c r="E1" s="1980"/>
      <c r="F1" s="1980"/>
      <c r="G1" s="1980"/>
      <c r="H1" s="1980"/>
      <c r="I1" s="1980"/>
    </row>
    <row r="2" spans="1:9" s="756" customFormat="1">
      <c r="A2" s="1980"/>
      <c r="B2" s="1980"/>
      <c r="C2" s="1980"/>
      <c r="D2" s="1980"/>
      <c r="E2" s="1980"/>
      <c r="F2" s="1980"/>
      <c r="G2" s="1980"/>
      <c r="H2" s="1980"/>
      <c r="I2" s="1980"/>
    </row>
    <row r="3" spans="1:9" s="756" customFormat="1">
      <c r="A3" s="1980"/>
      <c r="B3" s="922" t="s">
        <v>2105</v>
      </c>
      <c r="C3" s="922"/>
      <c r="D3" s="1980"/>
      <c r="E3" s="922"/>
      <c r="F3" s="1980"/>
      <c r="G3" s="922"/>
      <c r="H3" s="1980"/>
      <c r="I3" s="1980"/>
    </row>
    <row r="4" spans="1:9" s="756" customFormat="1" ht="6.75" customHeight="1">
      <c r="A4" s="1980"/>
      <c r="B4" s="1980"/>
      <c r="C4" s="1980"/>
      <c r="D4" s="1980"/>
      <c r="E4" s="1980"/>
      <c r="F4" s="1980"/>
      <c r="G4" s="1980"/>
      <c r="H4" s="1980"/>
      <c r="I4" s="1980"/>
    </row>
    <row r="5" spans="1:9" s="756" customFormat="1" ht="8.25" customHeight="1">
      <c r="A5" s="1351"/>
      <c r="B5" s="1351"/>
      <c r="C5" s="1980"/>
      <c r="D5" s="1980"/>
      <c r="E5" s="1980"/>
      <c r="F5" s="1980"/>
      <c r="G5" s="1980"/>
      <c r="H5" s="1980"/>
      <c r="I5" s="1980"/>
    </row>
    <row r="6" spans="1:9" s="756" customFormat="1" ht="6.75" customHeight="1">
      <c r="A6" s="1980"/>
      <c r="B6" s="1980"/>
      <c r="C6" s="1980"/>
      <c r="D6" s="1980"/>
      <c r="E6" s="1980"/>
      <c r="F6" s="1980"/>
      <c r="G6" s="1980"/>
      <c r="H6" s="1980"/>
      <c r="I6" s="1980"/>
    </row>
    <row r="7" spans="1:9" s="756" customFormat="1" ht="54.75" customHeight="1">
      <c r="A7" s="759"/>
      <c r="B7" s="1407" t="s">
        <v>2192</v>
      </c>
      <c r="C7" s="1980"/>
      <c r="D7" s="1980"/>
      <c r="E7" s="1980"/>
      <c r="F7" s="1980"/>
      <c r="G7" s="1980"/>
      <c r="H7" s="1980"/>
      <c r="I7" s="1980"/>
    </row>
    <row r="8" spans="1:9" ht="12.75" customHeight="1">
      <c r="B8" s="1408" t="s">
        <v>2193</v>
      </c>
    </row>
    <row r="9" spans="1:9" ht="8.25" customHeight="1">
      <c r="A9" s="1351"/>
      <c r="B9" s="1351"/>
      <c r="C9" s="1409"/>
    </row>
    <row r="10" spans="1:9">
      <c r="A10" s="774"/>
      <c r="B10" s="775"/>
    </row>
    <row r="11" spans="1:9" ht="55.5" customHeight="1">
      <c r="A11" s="1410"/>
      <c r="B11" s="2184" t="s">
        <v>2194</v>
      </c>
    </row>
    <row r="12" spans="1:9" ht="55.5" customHeight="1">
      <c r="A12" s="1410"/>
      <c r="B12" s="2185"/>
    </row>
    <row r="13" spans="1:9" ht="55.5" customHeight="1">
      <c r="A13" s="1410"/>
      <c r="B13" s="2185"/>
    </row>
    <row r="14" spans="1:9" ht="55.5" customHeight="1">
      <c r="A14" s="1410"/>
      <c r="B14" s="2185"/>
    </row>
    <row r="15" spans="1:9" ht="55.5" customHeight="1">
      <c r="A15" s="1410"/>
      <c r="B15" s="2185"/>
    </row>
    <row r="16" spans="1:9" ht="55.5" customHeight="1">
      <c r="A16" s="1410"/>
      <c r="B16" s="2185"/>
    </row>
    <row r="17" spans="1:3" ht="55.5" customHeight="1">
      <c r="A17" s="1410"/>
      <c r="B17" s="2185"/>
    </row>
    <row r="18" spans="1:3" ht="55.5" customHeight="1">
      <c r="A18" s="1411"/>
      <c r="B18" s="2185"/>
    </row>
    <row r="19" spans="1:3" ht="55.5" customHeight="1">
      <c r="A19" s="1412"/>
      <c r="B19" s="2185"/>
      <c r="C19" s="1413"/>
    </row>
    <row r="20" spans="1:3" ht="55.5" customHeight="1">
      <c r="A20" s="1412"/>
      <c r="B20" s="2185"/>
      <c r="C20" s="778"/>
    </row>
    <row r="21" spans="1:3" ht="55.5" customHeight="1">
      <c r="A21" s="1412"/>
      <c r="B21" s="2185"/>
      <c r="C21" s="776"/>
    </row>
    <row r="22" spans="1:3" ht="55.5" customHeight="1">
      <c r="A22" s="1412"/>
      <c r="B22" s="2185"/>
      <c r="C22" s="776"/>
    </row>
    <row r="23" spans="1:3" ht="55.5" customHeight="1">
      <c r="A23" s="1412"/>
      <c r="B23" s="2185"/>
    </row>
    <row r="24" spans="1:3">
      <c r="A24" s="776"/>
      <c r="B24" s="1980"/>
    </row>
    <row r="25" spans="1:3">
      <c r="B25" s="1980"/>
    </row>
    <row r="26" spans="1:3">
      <c r="B26" s="1980"/>
    </row>
    <row r="27" spans="1:3">
      <c r="B27" s="1980"/>
    </row>
    <row r="28" spans="1:3">
      <c r="B28" s="1980"/>
    </row>
    <row r="29" spans="1:3">
      <c r="B29" s="1980"/>
    </row>
    <row r="30" spans="1:3">
      <c r="B30" s="1980"/>
    </row>
  </sheetData>
  <sheetProtection password="AD9B" sheet="1" objects="1" scenarios="1"/>
  <mergeCells count="1">
    <mergeCell ref="B11:B2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BK186"/>
  <sheetViews>
    <sheetView defaultGridColor="0" topLeftCell="A28" colorId="7" zoomScale="80" zoomScaleNormal="80" zoomScaleSheetLayoutView="85" workbookViewId="0">
      <selection activeCell="C21" sqref="C21:E21"/>
    </sheetView>
  </sheetViews>
  <sheetFormatPr defaultColWidth="7.875" defaultRowHeight="12.75"/>
  <cols>
    <col min="1" max="1" width="2.375" style="2014" customWidth="1"/>
    <col min="2" max="2" width="76.625" style="2014" customWidth="1"/>
    <col min="3" max="4" width="14.875" style="2041" customWidth="1"/>
    <col min="5" max="5" width="14.875" style="2014" customWidth="1"/>
    <col min="6" max="6" width="37.125" style="2129" hidden="1" customWidth="1"/>
    <col min="7" max="7" width="9.75" style="2014" customWidth="1"/>
    <col min="8" max="8" width="2.5" style="2014" customWidth="1"/>
    <col min="9" max="9" width="9.125" style="2014" customWidth="1"/>
    <col min="10" max="11" width="7.875" style="2014"/>
    <col min="12" max="12" width="18.75" style="2014" customWidth="1"/>
    <col min="13" max="63" width="7.875" style="2014"/>
    <col min="64" max="16384" width="7.875" style="424"/>
  </cols>
  <sheetData>
    <row r="1" spans="1:63" ht="42" customHeight="1">
      <c r="B1" s="441" t="s">
        <v>2105</v>
      </c>
      <c r="C1" s="441" t="s">
        <v>346</v>
      </c>
      <c r="D1" s="441"/>
      <c r="F1" s="2123"/>
      <c r="G1" s="2015"/>
      <c r="H1" s="2015"/>
      <c r="I1" s="2015"/>
      <c r="J1" s="2015"/>
      <c r="K1" s="2015"/>
      <c r="L1" s="2015"/>
      <c r="M1" s="2016"/>
      <c r="N1" s="2016"/>
      <c r="O1" s="2016"/>
      <c r="P1" s="2016"/>
      <c r="Q1" s="2016"/>
    </row>
    <row r="2" spans="1:63" s="425" customFormat="1" ht="15" customHeight="1">
      <c r="A2" s="2112"/>
      <c r="B2" s="2017" t="s">
        <v>347</v>
      </c>
      <c r="C2" s="2018"/>
      <c r="D2" s="2018"/>
      <c r="E2" s="2112"/>
      <c r="F2" s="2124"/>
      <c r="G2" s="2015"/>
      <c r="H2" s="2015"/>
      <c r="I2" s="2015"/>
      <c r="J2" s="2015"/>
      <c r="K2" s="2015"/>
      <c r="L2" s="2015"/>
      <c r="M2" s="2016"/>
      <c r="N2" s="2016"/>
      <c r="O2" s="2016"/>
      <c r="P2" s="2016"/>
      <c r="Q2" s="2016"/>
      <c r="R2" s="2016"/>
      <c r="S2" s="2016"/>
      <c r="T2" s="2016"/>
      <c r="U2" s="2016"/>
      <c r="V2" s="2016"/>
      <c r="W2" s="2016"/>
      <c r="X2" s="2016"/>
      <c r="Y2" s="2016"/>
      <c r="Z2" s="2016"/>
      <c r="AA2" s="2016"/>
      <c r="AB2" s="2016"/>
      <c r="AC2" s="2016"/>
      <c r="AD2" s="2016"/>
      <c r="AE2" s="2016"/>
      <c r="AF2" s="2016"/>
      <c r="AG2" s="2016"/>
      <c r="AH2" s="2016"/>
      <c r="AI2" s="2016"/>
      <c r="AJ2" s="2016"/>
      <c r="AK2" s="2016"/>
      <c r="AL2" s="2016"/>
      <c r="AM2" s="2016"/>
      <c r="AN2" s="2016"/>
      <c r="AO2" s="2016"/>
      <c r="AP2" s="2016"/>
      <c r="AQ2" s="2016"/>
      <c r="AR2" s="2016"/>
      <c r="AS2" s="2016"/>
      <c r="AT2" s="2016"/>
      <c r="AU2" s="2016"/>
      <c r="AV2" s="2016"/>
      <c r="AW2" s="2016"/>
      <c r="AX2" s="2016"/>
      <c r="AY2" s="2016"/>
      <c r="AZ2" s="2016"/>
      <c r="BA2" s="2016"/>
      <c r="BB2" s="2016"/>
      <c r="BC2" s="2016"/>
      <c r="BD2" s="2016"/>
      <c r="BE2" s="2016"/>
      <c r="BF2" s="2016"/>
      <c r="BG2" s="2016"/>
      <c r="BH2" s="2016"/>
      <c r="BI2" s="2016"/>
      <c r="BJ2" s="2016"/>
      <c r="BK2" s="2016"/>
    </row>
    <row r="3" spans="1:63" s="425" customFormat="1" ht="15" customHeight="1">
      <c r="A3" s="2112"/>
      <c r="B3" s="2019" t="s">
        <v>323</v>
      </c>
      <c r="C3" s="2020"/>
      <c r="D3" s="2020"/>
      <c r="E3" s="2112"/>
      <c r="F3" s="2124"/>
      <c r="G3" s="2015"/>
      <c r="H3" s="2015"/>
      <c r="I3" s="2015"/>
      <c r="J3" s="2015"/>
      <c r="K3" s="2015"/>
      <c r="L3" s="2015"/>
      <c r="M3" s="2016"/>
      <c r="N3" s="2016"/>
      <c r="O3" s="2016"/>
      <c r="P3" s="2016"/>
      <c r="Q3" s="2016"/>
      <c r="R3" s="2016"/>
      <c r="S3" s="2016"/>
      <c r="T3" s="2016"/>
      <c r="U3" s="2016"/>
      <c r="V3" s="2016"/>
      <c r="W3" s="2016"/>
      <c r="X3" s="2016"/>
      <c r="Y3" s="2016"/>
      <c r="Z3" s="2016"/>
      <c r="AA3" s="2016"/>
      <c r="AB3" s="2016"/>
      <c r="AC3" s="2016"/>
      <c r="AD3" s="2016"/>
      <c r="AE3" s="2016"/>
      <c r="AF3" s="2016"/>
      <c r="AG3" s="2016"/>
      <c r="AH3" s="2016"/>
      <c r="AI3" s="2016"/>
      <c r="AJ3" s="2016"/>
      <c r="AK3" s="2016"/>
      <c r="AL3" s="2016"/>
      <c r="AM3" s="2016"/>
      <c r="AN3" s="2016"/>
      <c r="AO3" s="2016"/>
      <c r="AP3" s="2016"/>
      <c r="AQ3" s="2016"/>
      <c r="AR3" s="2016"/>
      <c r="AS3" s="2016"/>
      <c r="AT3" s="2016"/>
      <c r="AU3" s="2016"/>
      <c r="AV3" s="2016"/>
      <c r="AW3" s="2016"/>
      <c r="AX3" s="2016"/>
      <c r="AY3" s="2016"/>
      <c r="AZ3" s="2016"/>
      <c r="BA3" s="2016"/>
      <c r="BB3" s="2016"/>
      <c r="BC3" s="2016"/>
      <c r="BD3" s="2016"/>
      <c r="BE3" s="2016"/>
      <c r="BF3" s="2016"/>
      <c r="BG3" s="2016"/>
      <c r="BH3" s="2016"/>
      <c r="BI3" s="2016"/>
      <c r="BJ3" s="2016"/>
      <c r="BK3" s="2016"/>
    </row>
    <row r="4" spans="1:63" s="425" customFormat="1" ht="16.5" thickBot="1">
      <c r="A4" s="2112"/>
      <c r="B4" s="2112"/>
      <c r="C4" s="2109"/>
      <c r="D4" s="2109"/>
      <c r="E4" s="2112"/>
      <c r="F4" s="2124"/>
      <c r="G4" s="2015"/>
      <c r="H4" s="2015"/>
      <c r="I4" s="2015"/>
      <c r="J4" s="2015"/>
      <c r="K4" s="2015"/>
      <c r="L4" s="2015"/>
      <c r="M4" s="2016"/>
      <c r="N4" s="2016"/>
      <c r="O4" s="2016"/>
      <c r="P4" s="2016"/>
      <c r="Q4" s="2016"/>
      <c r="R4" s="2016"/>
      <c r="S4" s="2016"/>
      <c r="T4" s="2016"/>
      <c r="U4" s="2016"/>
      <c r="V4" s="2016"/>
      <c r="W4" s="2016"/>
      <c r="X4" s="2016"/>
      <c r="Y4" s="2016"/>
      <c r="Z4" s="2016"/>
      <c r="AA4" s="2016"/>
      <c r="AB4" s="2016"/>
      <c r="AC4" s="2016"/>
      <c r="AD4" s="2016"/>
      <c r="AE4" s="2016"/>
      <c r="AF4" s="2016"/>
      <c r="AG4" s="2016"/>
      <c r="AH4" s="2016"/>
      <c r="AI4" s="2016"/>
      <c r="AJ4" s="2016"/>
      <c r="AK4" s="2016"/>
      <c r="AL4" s="2016"/>
      <c r="AM4" s="2016"/>
      <c r="AN4" s="2016"/>
      <c r="AO4" s="2016"/>
      <c r="AP4" s="2016"/>
      <c r="AQ4" s="2016"/>
      <c r="AR4" s="2016"/>
      <c r="AS4" s="2016"/>
      <c r="AT4" s="2016"/>
      <c r="AU4" s="2016"/>
      <c r="AV4" s="2016"/>
      <c r="AW4" s="2016"/>
      <c r="AX4" s="2016"/>
      <c r="AY4" s="2016"/>
      <c r="AZ4" s="2016"/>
      <c r="BA4" s="2016"/>
      <c r="BB4" s="2016"/>
      <c r="BC4" s="2016"/>
      <c r="BD4" s="2016"/>
      <c r="BE4" s="2016"/>
      <c r="BF4" s="2016"/>
      <c r="BG4" s="2016"/>
      <c r="BH4" s="2016"/>
      <c r="BI4" s="2016"/>
      <c r="BJ4" s="2016"/>
      <c r="BK4" s="2016"/>
    </row>
    <row r="5" spans="1:63" s="425" customFormat="1" ht="15" customHeight="1">
      <c r="A5" s="2112"/>
      <c r="B5" s="2021" t="s">
        <v>348</v>
      </c>
      <c r="C5" s="2197"/>
      <c r="D5" s="2198"/>
      <c r="E5" s="2199"/>
      <c r="F5" s="2125"/>
      <c r="G5" s="2016"/>
      <c r="H5" s="2016"/>
      <c r="I5" s="2016"/>
      <c r="J5" s="2016"/>
      <c r="K5" s="2016"/>
      <c r="L5" s="2016"/>
      <c r="M5" s="2016"/>
      <c r="N5" s="2016"/>
      <c r="O5" s="2016"/>
      <c r="P5" s="2016"/>
      <c r="Q5" s="2016"/>
      <c r="R5" s="2016"/>
      <c r="S5" s="2016"/>
      <c r="T5" s="2016"/>
      <c r="U5" s="2016"/>
      <c r="V5" s="2016"/>
      <c r="W5" s="2016"/>
      <c r="X5" s="2016"/>
      <c r="Y5" s="2016"/>
      <c r="Z5" s="2016"/>
      <c r="AA5" s="2016"/>
      <c r="AB5" s="2016"/>
      <c r="AC5" s="2016"/>
      <c r="AD5" s="2016"/>
      <c r="AE5" s="2016"/>
      <c r="AF5" s="2016"/>
      <c r="AG5" s="2016"/>
      <c r="AH5" s="2016"/>
      <c r="AI5" s="2016"/>
      <c r="AJ5" s="2016"/>
      <c r="AK5" s="2016"/>
      <c r="AL5" s="2016"/>
      <c r="AM5" s="2016"/>
      <c r="AN5" s="2016"/>
      <c r="AO5" s="2016"/>
      <c r="AP5" s="2016"/>
      <c r="AQ5" s="2016"/>
      <c r="AR5" s="2016"/>
      <c r="AS5" s="2016"/>
      <c r="AT5" s="2016"/>
      <c r="AU5" s="2016"/>
      <c r="AV5" s="2016"/>
      <c r="AW5" s="2016"/>
      <c r="AX5" s="2016"/>
      <c r="AY5" s="2016"/>
      <c r="AZ5" s="2016"/>
      <c r="BA5" s="2016"/>
      <c r="BB5" s="2016"/>
      <c r="BC5" s="2016"/>
      <c r="BD5" s="2016"/>
      <c r="BE5" s="2016"/>
      <c r="BF5" s="2016"/>
      <c r="BG5" s="2016"/>
      <c r="BH5" s="2016"/>
      <c r="BI5" s="2016"/>
      <c r="BJ5" s="2016"/>
      <c r="BK5" s="2016"/>
    </row>
    <row r="6" spans="1:63" s="425" customFormat="1" ht="15" customHeight="1">
      <c r="A6" s="2112"/>
      <c r="B6" s="2200" t="s">
        <v>349</v>
      </c>
      <c r="C6" s="2186"/>
      <c r="D6" s="2187"/>
      <c r="E6" s="2188"/>
      <c r="F6" s="2126" t="s">
        <v>39</v>
      </c>
      <c r="G6" s="2016"/>
      <c r="H6" s="2016"/>
      <c r="I6" s="2016"/>
      <c r="J6" s="2016"/>
      <c r="K6" s="2016"/>
      <c r="L6" s="2016"/>
      <c r="M6" s="2016"/>
      <c r="N6" s="2016"/>
      <c r="O6" s="2016"/>
      <c r="P6" s="2016"/>
      <c r="Q6" s="2016"/>
      <c r="R6" s="2016"/>
      <c r="S6" s="2016"/>
      <c r="T6" s="2016"/>
      <c r="U6" s="2016"/>
      <c r="V6" s="2016"/>
      <c r="W6" s="2016"/>
      <c r="X6" s="2016"/>
      <c r="Y6" s="2016"/>
      <c r="Z6" s="2016"/>
      <c r="AA6" s="2016"/>
      <c r="AB6" s="2016"/>
      <c r="AC6" s="2016"/>
      <c r="AD6" s="2016"/>
      <c r="AE6" s="2016"/>
      <c r="AF6" s="2016"/>
      <c r="AG6" s="2016"/>
      <c r="AH6" s="2016"/>
      <c r="AI6" s="2016"/>
      <c r="AJ6" s="2016"/>
      <c r="AK6" s="2016"/>
      <c r="AL6" s="2016"/>
      <c r="AM6" s="2016"/>
      <c r="AN6" s="2016"/>
      <c r="AO6" s="2016"/>
      <c r="AP6" s="2016"/>
      <c r="AQ6" s="2016"/>
      <c r="AR6" s="2016"/>
      <c r="AS6" s="2016"/>
      <c r="AT6" s="2016"/>
      <c r="AU6" s="2016"/>
      <c r="AV6" s="2016"/>
      <c r="AW6" s="2016"/>
      <c r="AX6" s="2016"/>
      <c r="AY6" s="2016"/>
      <c r="AZ6" s="2016"/>
      <c r="BA6" s="2016"/>
      <c r="BB6" s="2016"/>
      <c r="BC6" s="2016"/>
      <c r="BD6" s="2016"/>
      <c r="BE6" s="2016"/>
      <c r="BF6" s="2016"/>
      <c r="BG6" s="2016"/>
      <c r="BH6" s="2016"/>
      <c r="BI6" s="2016"/>
      <c r="BJ6" s="2016"/>
      <c r="BK6" s="2016"/>
    </row>
    <row r="7" spans="1:63" s="425" customFormat="1" ht="15" customHeight="1">
      <c r="A7" s="2112"/>
      <c r="B7" s="2201"/>
      <c r="C7" s="2186"/>
      <c r="D7" s="2187"/>
      <c r="E7" s="2188"/>
      <c r="F7" s="2126" t="s">
        <v>255</v>
      </c>
      <c r="G7" s="2016"/>
      <c r="H7" s="2016"/>
      <c r="I7" s="2016"/>
      <c r="J7" s="2016"/>
      <c r="K7" s="2016"/>
      <c r="L7" s="2016"/>
      <c r="M7" s="2016"/>
      <c r="N7" s="2016"/>
      <c r="O7" s="2016"/>
      <c r="P7" s="2016"/>
      <c r="Q7" s="2016"/>
      <c r="R7" s="2016"/>
      <c r="S7" s="2016"/>
      <c r="T7" s="2016"/>
      <c r="U7" s="2016"/>
      <c r="V7" s="2016"/>
      <c r="W7" s="2016"/>
      <c r="X7" s="2016"/>
      <c r="Y7" s="2016"/>
      <c r="Z7" s="2016"/>
      <c r="AA7" s="2016"/>
      <c r="AB7" s="2016"/>
      <c r="AC7" s="2016"/>
      <c r="AD7" s="2016"/>
      <c r="AE7" s="2016"/>
      <c r="AF7" s="2016"/>
      <c r="AG7" s="2016"/>
      <c r="AH7" s="2016"/>
      <c r="AI7" s="2016"/>
      <c r="AJ7" s="2016"/>
      <c r="AK7" s="2016"/>
      <c r="AL7" s="2016"/>
      <c r="AM7" s="2016"/>
      <c r="AN7" s="2016"/>
      <c r="AO7" s="2016"/>
      <c r="AP7" s="2016"/>
      <c r="AQ7" s="2016"/>
      <c r="AR7" s="2016"/>
      <c r="AS7" s="2016"/>
      <c r="AT7" s="2016"/>
      <c r="AU7" s="2016"/>
      <c r="AV7" s="2016"/>
      <c r="AW7" s="2016"/>
      <c r="AX7" s="2016"/>
      <c r="AY7" s="2016"/>
      <c r="AZ7" s="2016"/>
      <c r="BA7" s="2016"/>
      <c r="BB7" s="2016"/>
      <c r="BC7" s="2016"/>
      <c r="BD7" s="2016"/>
      <c r="BE7" s="2016"/>
      <c r="BF7" s="2016"/>
      <c r="BG7" s="2016"/>
      <c r="BH7" s="2016"/>
      <c r="BI7" s="2016"/>
      <c r="BJ7" s="2016"/>
      <c r="BK7" s="2016"/>
    </row>
    <row r="8" spans="1:63" s="425" customFormat="1" ht="15" customHeight="1">
      <c r="A8" s="2112"/>
      <c r="B8" s="2201"/>
      <c r="C8" s="2186"/>
      <c r="D8" s="2187"/>
      <c r="E8" s="2188"/>
      <c r="F8" s="2126">
        <v>1</v>
      </c>
      <c r="G8" s="2016"/>
      <c r="H8" s="2016"/>
      <c r="I8" s="2016"/>
      <c r="J8" s="2016"/>
      <c r="K8" s="2016"/>
      <c r="L8" s="2016"/>
      <c r="M8" s="2016"/>
      <c r="N8" s="2016"/>
      <c r="O8" s="2016"/>
      <c r="P8" s="2016"/>
      <c r="Q8" s="2016"/>
      <c r="R8" s="2016"/>
      <c r="S8" s="2016"/>
      <c r="T8" s="2016"/>
      <c r="U8" s="2016"/>
      <c r="V8" s="2016"/>
      <c r="W8" s="2016"/>
      <c r="X8" s="2016"/>
      <c r="Y8" s="2016"/>
      <c r="Z8" s="2016"/>
      <c r="AA8" s="2016"/>
      <c r="AB8" s="2016"/>
      <c r="AC8" s="2016"/>
      <c r="AD8" s="2016"/>
      <c r="AE8" s="2016"/>
      <c r="AF8" s="2016"/>
      <c r="AG8" s="2016"/>
      <c r="AH8" s="2016"/>
      <c r="AI8" s="2016"/>
      <c r="AJ8" s="2016"/>
      <c r="AK8" s="2016"/>
      <c r="AL8" s="2016"/>
      <c r="AM8" s="2016"/>
      <c r="AN8" s="2016"/>
      <c r="AO8" s="2016"/>
      <c r="AP8" s="2016"/>
      <c r="AQ8" s="2016"/>
      <c r="AR8" s="2016"/>
      <c r="AS8" s="2016"/>
      <c r="AT8" s="2016"/>
      <c r="AU8" s="2016"/>
      <c r="AV8" s="2016"/>
      <c r="AW8" s="2016"/>
      <c r="AX8" s="2016"/>
      <c r="AY8" s="2016"/>
      <c r="AZ8" s="2016"/>
      <c r="BA8" s="2016"/>
      <c r="BB8" s="2016"/>
      <c r="BC8" s="2016"/>
      <c r="BD8" s="2016"/>
      <c r="BE8" s="2016"/>
      <c r="BF8" s="2016"/>
      <c r="BG8" s="2016"/>
      <c r="BH8" s="2016"/>
      <c r="BI8" s="2016"/>
      <c r="BJ8" s="2016"/>
      <c r="BK8" s="2016"/>
    </row>
    <row r="9" spans="1:63" s="425" customFormat="1" ht="15" customHeight="1">
      <c r="A9" s="2112"/>
      <c r="B9" s="2022" t="s">
        <v>350</v>
      </c>
      <c r="C9" s="2186"/>
      <c r="D9" s="2187"/>
      <c r="E9" s="2188"/>
      <c r="F9" s="2126"/>
      <c r="G9" s="2016"/>
      <c r="H9" s="2016"/>
      <c r="I9" s="2016"/>
      <c r="J9" s="2016"/>
      <c r="K9" s="2016"/>
      <c r="L9" s="2016"/>
      <c r="M9" s="2016"/>
      <c r="N9" s="2016"/>
      <c r="O9" s="2016"/>
      <c r="P9" s="2016"/>
      <c r="Q9" s="2016"/>
      <c r="R9" s="2016"/>
      <c r="S9" s="2016"/>
      <c r="T9" s="2016"/>
      <c r="U9" s="2016"/>
      <c r="V9" s="2016"/>
      <c r="W9" s="2016"/>
      <c r="X9" s="2016"/>
      <c r="Y9" s="2016"/>
      <c r="Z9" s="2016"/>
      <c r="AA9" s="2016"/>
      <c r="AB9" s="2016"/>
      <c r="AC9" s="2016"/>
      <c r="AD9" s="2016"/>
      <c r="AE9" s="2016"/>
      <c r="AF9" s="2016"/>
      <c r="AG9" s="2016"/>
      <c r="AH9" s="2016"/>
      <c r="AI9" s="2016"/>
      <c r="AJ9" s="2016"/>
      <c r="AK9" s="2016"/>
      <c r="AL9" s="2016"/>
      <c r="AM9" s="2016"/>
      <c r="AN9" s="2016"/>
      <c r="AO9" s="2016"/>
      <c r="AP9" s="2016"/>
      <c r="AQ9" s="2016"/>
      <c r="AR9" s="2016"/>
      <c r="AS9" s="2016"/>
      <c r="AT9" s="2016"/>
      <c r="AU9" s="2016"/>
      <c r="AV9" s="2016"/>
      <c r="AW9" s="2016"/>
      <c r="AX9" s="2016"/>
      <c r="AY9" s="2016"/>
      <c r="AZ9" s="2016"/>
      <c r="BA9" s="2016"/>
      <c r="BB9" s="2016"/>
      <c r="BC9" s="2016"/>
      <c r="BD9" s="2016"/>
      <c r="BE9" s="2016"/>
      <c r="BF9" s="2016"/>
      <c r="BG9" s="2016"/>
      <c r="BH9" s="2016"/>
      <c r="BI9" s="2016"/>
      <c r="BJ9" s="2016"/>
      <c r="BK9" s="2016"/>
    </row>
    <row r="10" spans="1:63" s="425" customFormat="1" ht="15" customHeight="1" thickBot="1">
      <c r="A10" s="2112"/>
      <c r="B10" s="2023" t="s">
        <v>351</v>
      </c>
      <c r="C10" s="2194"/>
      <c r="D10" s="2195"/>
      <c r="E10" s="2196"/>
      <c r="F10" s="2126" t="s">
        <v>539</v>
      </c>
      <c r="G10" s="2016"/>
      <c r="H10" s="2016"/>
      <c r="I10" s="2016"/>
      <c r="J10" s="2016"/>
      <c r="K10" s="2016"/>
      <c r="L10" s="2016"/>
      <c r="M10" s="2016"/>
      <c r="N10" s="2016"/>
      <c r="O10" s="2016"/>
      <c r="P10" s="2016"/>
      <c r="Q10" s="2016"/>
      <c r="R10" s="2016"/>
      <c r="S10" s="2016"/>
      <c r="T10" s="2016"/>
      <c r="U10" s="2016"/>
      <c r="V10" s="2016"/>
      <c r="W10" s="2016"/>
      <c r="X10" s="2016"/>
      <c r="Y10" s="2016"/>
      <c r="Z10" s="2016"/>
      <c r="AA10" s="2016"/>
      <c r="AB10" s="2016"/>
      <c r="AC10" s="2016"/>
      <c r="AD10" s="2016"/>
      <c r="AE10" s="2016"/>
      <c r="AF10" s="2016"/>
      <c r="AG10" s="2016"/>
      <c r="AH10" s="2016"/>
      <c r="AI10" s="2016"/>
      <c r="AJ10" s="2016"/>
      <c r="AK10" s="2016"/>
      <c r="AL10" s="2016"/>
      <c r="AM10" s="2016"/>
      <c r="AN10" s="2016"/>
      <c r="AO10" s="2016"/>
      <c r="AP10" s="2016"/>
      <c r="AQ10" s="2016"/>
      <c r="AR10" s="2016"/>
      <c r="AS10" s="2016"/>
      <c r="AT10" s="2016"/>
      <c r="AU10" s="2016"/>
      <c r="AV10" s="2016"/>
      <c r="AW10" s="2016"/>
      <c r="AX10" s="2016"/>
      <c r="AY10" s="2016"/>
      <c r="AZ10" s="2016"/>
      <c r="BA10" s="2016"/>
      <c r="BB10" s="2016"/>
      <c r="BC10" s="2016"/>
      <c r="BD10" s="2016"/>
      <c r="BE10" s="2016"/>
      <c r="BF10" s="2016"/>
      <c r="BG10" s="2016"/>
      <c r="BH10" s="2016"/>
      <c r="BI10" s="2016"/>
      <c r="BJ10" s="2016"/>
      <c r="BK10" s="2016"/>
    </row>
    <row r="11" spans="1:63" s="425" customFormat="1" ht="13.5" thickBot="1">
      <c r="A11" s="2112"/>
      <c r="B11" s="2024"/>
      <c r="C11" s="2025"/>
      <c r="D11" s="2020"/>
      <c r="E11" s="2112"/>
      <c r="F11" s="2126" t="s">
        <v>540</v>
      </c>
      <c r="G11" s="2016"/>
      <c r="H11" s="2016"/>
      <c r="I11" s="2016"/>
      <c r="J11" s="2016"/>
      <c r="K11" s="2016"/>
      <c r="L11" s="2016"/>
      <c r="M11" s="2016"/>
      <c r="N11" s="2016"/>
      <c r="O11" s="2016"/>
      <c r="P11" s="2016"/>
      <c r="Q11" s="2016"/>
      <c r="R11" s="2016"/>
      <c r="S11" s="2016"/>
      <c r="T11" s="2016"/>
      <c r="U11" s="2016"/>
      <c r="V11" s="2016"/>
      <c r="W11" s="2016"/>
      <c r="X11" s="2016"/>
      <c r="Y11" s="2016"/>
      <c r="Z11" s="2016"/>
      <c r="AA11" s="2016"/>
      <c r="AB11" s="2016"/>
      <c r="AC11" s="2016"/>
      <c r="AD11" s="2016"/>
      <c r="AE11" s="2016"/>
      <c r="AF11" s="2016"/>
      <c r="AG11" s="2016"/>
      <c r="AH11" s="2016"/>
      <c r="AI11" s="2016"/>
      <c r="AJ11" s="2016"/>
      <c r="AK11" s="2016"/>
      <c r="AL11" s="2016"/>
      <c r="AM11" s="2016"/>
      <c r="AN11" s="2016"/>
      <c r="AO11" s="2016"/>
      <c r="AP11" s="2016"/>
      <c r="AQ11" s="2016"/>
      <c r="AR11" s="2016"/>
      <c r="AS11" s="2016"/>
      <c r="AT11" s="2016"/>
      <c r="AU11" s="2016"/>
      <c r="AV11" s="2016"/>
      <c r="AW11" s="2016"/>
      <c r="AX11" s="2016"/>
      <c r="AY11" s="2016"/>
      <c r="AZ11" s="2016"/>
      <c r="BA11" s="2016"/>
      <c r="BB11" s="2016"/>
      <c r="BC11" s="2016"/>
      <c r="BD11" s="2016"/>
      <c r="BE11" s="2016"/>
      <c r="BF11" s="2016"/>
      <c r="BG11" s="2016"/>
      <c r="BH11" s="2016"/>
      <c r="BI11" s="2016"/>
      <c r="BJ11" s="2016"/>
      <c r="BK11" s="2016"/>
    </row>
    <row r="12" spans="1:63" s="425" customFormat="1" ht="15" customHeight="1">
      <c r="A12" s="2112"/>
      <c r="B12" s="2026" t="s">
        <v>352</v>
      </c>
      <c r="C12" s="2197"/>
      <c r="D12" s="2198"/>
      <c r="E12" s="2199"/>
      <c r="F12" s="2126">
        <v>1</v>
      </c>
      <c r="G12" s="2016"/>
      <c r="H12" s="2016"/>
      <c r="I12" s="2016"/>
      <c r="J12" s="2016"/>
      <c r="K12" s="2016"/>
      <c r="L12" s="2016"/>
      <c r="M12" s="2016"/>
      <c r="N12" s="2016"/>
      <c r="O12" s="2016"/>
      <c r="P12" s="2016"/>
      <c r="Q12" s="2016"/>
      <c r="R12" s="2016"/>
      <c r="S12" s="2016"/>
      <c r="T12" s="2016"/>
      <c r="U12" s="2016"/>
      <c r="V12" s="2016"/>
      <c r="W12" s="2016"/>
      <c r="X12" s="2016"/>
      <c r="Y12" s="2016"/>
      <c r="Z12" s="2016"/>
      <c r="AA12" s="2016"/>
      <c r="AB12" s="2016"/>
      <c r="AC12" s="2016"/>
      <c r="AD12" s="2016"/>
      <c r="AE12" s="2016"/>
      <c r="AF12" s="2016"/>
      <c r="AG12" s="2016"/>
      <c r="AH12" s="2016"/>
      <c r="AI12" s="2016"/>
      <c r="AJ12" s="2016"/>
      <c r="AK12" s="2016"/>
      <c r="AL12" s="2016"/>
      <c r="AM12" s="2016"/>
      <c r="AN12" s="2016"/>
      <c r="AO12" s="2016"/>
      <c r="AP12" s="2016"/>
      <c r="AQ12" s="2016"/>
      <c r="AR12" s="2016"/>
      <c r="AS12" s="2016"/>
      <c r="AT12" s="2016"/>
      <c r="AU12" s="2016"/>
      <c r="AV12" s="2016"/>
      <c r="AW12" s="2016"/>
      <c r="AX12" s="2016"/>
      <c r="AY12" s="2016"/>
      <c r="AZ12" s="2016"/>
      <c r="BA12" s="2016"/>
      <c r="BB12" s="2016"/>
      <c r="BC12" s="2016"/>
      <c r="BD12" s="2016"/>
      <c r="BE12" s="2016"/>
      <c r="BF12" s="2016"/>
      <c r="BG12" s="2016"/>
      <c r="BH12" s="2016"/>
      <c r="BI12" s="2016"/>
      <c r="BJ12" s="2016"/>
      <c r="BK12" s="2016"/>
    </row>
    <row r="13" spans="1:63" s="425" customFormat="1" ht="15" customHeight="1" thickBot="1">
      <c r="A13" s="2112"/>
      <c r="B13" s="2023" t="s">
        <v>353</v>
      </c>
      <c r="C13" s="2194"/>
      <c r="D13" s="2195"/>
      <c r="E13" s="2196"/>
      <c r="F13" s="2126"/>
      <c r="G13" s="2016"/>
      <c r="H13" s="2016"/>
      <c r="I13" s="2016"/>
      <c r="J13" s="2016"/>
      <c r="K13" s="2016"/>
      <c r="L13" s="2016"/>
      <c r="M13" s="2016"/>
      <c r="N13" s="2016"/>
      <c r="O13" s="2016"/>
      <c r="P13" s="2016"/>
      <c r="Q13" s="2016"/>
      <c r="R13" s="2016"/>
      <c r="S13" s="2016"/>
      <c r="T13" s="2016"/>
      <c r="U13" s="2016"/>
      <c r="V13" s="2016"/>
      <c r="W13" s="2016"/>
      <c r="X13" s="2016"/>
      <c r="Y13" s="2016"/>
      <c r="Z13" s="2016"/>
      <c r="AA13" s="2016"/>
      <c r="AB13" s="2016"/>
      <c r="AC13" s="2016"/>
      <c r="AD13" s="2016"/>
      <c r="AE13" s="2016"/>
      <c r="AF13" s="2016"/>
      <c r="AG13" s="2016"/>
      <c r="AH13" s="2016"/>
      <c r="AI13" s="2016"/>
      <c r="AJ13" s="2016"/>
      <c r="AK13" s="2016"/>
      <c r="AL13" s="2016"/>
      <c r="AM13" s="2016"/>
      <c r="AN13" s="2016"/>
      <c r="AO13" s="2016"/>
      <c r="AP13" s="2016"/>
      <c r="AQ13" s="2016"/>
      <c r="AR13" s="2016"/>
      <c r="AS13" s="2016"/>
      <c r="AT13" s="2016"/>
      <c r="AU13" s="2016"/>
      <c r="AV13" s="2016"/>
      <c r="AW13" s="2016"/>
      <c r="AX13" s="2016"/>
      <c r="AY13" s="2016"/>
      <c r="AZ13" s="2016"/>
      <c r="BA13" s="2016"/>
      <c r="BB13" s="2016"/>
      <c r="BC13" s="2016"/>
      <c r="BD13" s="2016"/>
      <c r="BE13" s="2016"/>
      <c r="BF13" s="2016"/>
      <c r="BG13" s="2016"/>
      <c r="BH13" s="2016"/>
      <c r="BI13" s="2016"/>
      <c r="BJ13" s="2016"/>
      <c r="BK13" s="2016"/>
    </row>
    <row r="14" spans="1:63" s="425" customFormat="1" ht="13.5" thickBot="1">
      <c r="A14" s="2112"/>
      <c r="B14" s="2027"/>
      <c r="C14" s="2020"/>
      <c r="D14" s="2020"/>
      <c r="E14" s="2112"/>
      <c r="F14" s="2127"/>
      <c r="G14" s="2016"/>
      <c r="H14" s="2016"/>
      <c r="I14" s="2016"/>
      <c r="J14" s="2016"/>
      <c r="K14" s="2016"/>
      <c r="L14" s="2016"/>
      <c r="M14" s="2016"/>
      <c r="N14" s="2016"/>
      <c r="O14" s="2016"/>
      <c r="P14" s="2016"/>
      <c r="Q14" s="2016"/>
      <c r="R14" s="2016"/>
      <c r="S14" s="2016"/>
      <c r="T14" s="2016"/>
      <c r="U14" s="2016"/>
      <c r="V14" s="2016"/>
      <c r="W14" s="2016"/>
      <c r="X14" s="2016"/>
      <c r="Y14" s="2016"/>
      <c r="Z14" s="2016"/>
      <c r="AA14" s="2016"/>
      <c r="AB14" s="2016"/>
      <c r="AC14" s="2016"/>
      <c r="AD14" s="2016"/>
      <c r="AE14" s="2016"/>
      <c r="AF14" s="2016"/>
      <c r="AG14" s="2016"/>
      <c r="AH14" s="2016"/>
      <c r="AI14" s="2016"/>
      <c r="AJ14" s="2016"/>
      <c r="AK14" s="2016"/>
      <c r="AL14" s="2016"/>
      <c r="AM14" s="2016"/>
      <c r="AN14" s="2016"/>
      <c r="AO14" s="2016"/>
      <c r="AP14" s="2016"/>
      <c r="AQ14" s="2016"/>
      <c r="AR14" s="2016"/>
      <c r="AS14" s="2016"/>
      <c r="AT14" s="2016"/>
      <c r="AU14" s="2016"/>
      <c r="AV14" s="2016"/>
      <c r="AW14" s="2016"/>
      <c r="AX14" s="2016"/>
      <c r="AY14" s="2016"/>
      <c r="AZ14" s="2016"/>
      <c r="BA14" s="2016"/>
      <c r="BB14" s="2016"/>
      <c r="BC14" s="2016"/>
      <c r="BD14" s="2016"/>
      <c r="BE14" s="2016"/>
      <c r="BF14" s="2016"/>
      <c r="BG14" s="2016"/>
      <c r="BH14" s="2016"/>
      <c r="BI14" s="2016"/>
      <c r="BJ14" s="2016"/>
      <c r="BK14" s="2016"/>
    </row>
    <row r="15" spans="1:63" s="425" customFormat="1" ht="15" customHeight="1">
      <c r="A15" s="2112"/>
      <c r="B15" s="2021" t="s">
        <v>1070</v>
      </c>
      <c r="C15" s="2131"/>
      <c r="D15" s="2132"/>
      <c r="E15" s="2133"/>
      <c r="F15" s="2127"/>
      <c r="G15" s="2016"/>
      <c r="H15" s="2016"/>
      <c r="I15" s="2016"/>
      <c r="J15" s="2016"/>
      <c r="K15" s="2016"/>
      <c r="L15" s="2016"/>
      <c r="M15" s="2016"/>
      <c r="N15" s="2016"/>
      <c r="O15" s="2016"/>
      <c r="P15" s="2016"/>
      <c r="Q15" s="2016"/>
      <c r="R15" s="2016"/>
      <c r="S15" s="2016"/>
      <c r="T15" s="2016"/>
      <c r="U15" s="2016"/>
      <c r="V15" s="2016"/>
      <c r="W15" s="2016"/>
      <c r="X15" s="2016"/>
      <c r="Y15" s="2016"/>
      <c r="Z15" s="2016"/>
      <c r="AA15" s="2016"/>
      <c r="AB15" s="2016"/>
      <c r="AC15" s="2016"/>
      <c r="AD15" s="2016"/>
      <c r="AE15" s="2016"/>
      <c r="AF15" s="2016"/>
      <c r="AG15" s="2016"/>
      <c r="AH15" s="2016"/>
      <c r="AI15" s="2016"/>
      <c r="AJ15" s="2016"/>
      <c r="AK15" s="2016"/>
      <c r="AL15" s="2016"/>
      <c r="AM15" s="2016"/>
      <c r="AN15" s="2016"/>
      <c r="AO15" s="2016"/>
      <c r="AP15" s="2016"/>
      <c r="AQ15" s="2016"/>
      <c r="AR15" s="2016"/>
      <c r="AS15" s="2016"/>
      <c r="AT15" s="2016"/>
      <c r="AU15" s="2016"/>
      <c r="AV15" s="2016"/>
      <c r="AW15" s="2016"/>
      <c r="AX15" s="2016"/>
      <c r="AY15" s="2016"/>
      <c r="AZ15" s="2016"/>
      <c r="BA15" s="2016"/>
      <c r="BB15" s="2016"/>
      <c r="BC15" s="2016"/>
      <c r="BD15" s="2016"/>
      <c r="BE15" s="2016"/>
      <c r="BF15" s="2016"/>
      <c r="BG15" s="2016"/>
      <c r="BH15" s="2016"/>
      <c r="BI15" s="2016"/>
      <c r="BJ15" s="2016"/>
      <c r="BK15" s="2016"/>
    </row>
    <row r="16" spans="1:63" s="425" customFormat="1" ht="15" customHeight="1">
      <c r="A16" s="2112"/>
      <c r="B16" s="2022" t="s">
        <v>354</v>
      </c>
      <c r="C16" s="2186"/>
      <c r="D16" s="2187"/>
      <c r="E16" s="2188"/>
      <c r="F16" s="2127"/>
      <c r="G16" s="2016"/>
      <c r="H16" s="2016"/>
      <c r="I16" s="2016"/>
      <c r="J16" s="2016"/>
      <c r="K16" s="2016"/>
      <c r="L16" s="2016"/>
      <c r="M16" s="2016"/>
      <c r="N16" s="2016"/>
      <c r="O16" s="2016"/>
      <c r="P16" s="2016"/>
      <c r="Q16" s="2016"/>
      <c r="R16" s="2016"/>
      <c r="S16" s="2016"/>
      <c r="T16" s="2016"/>
      <c r="U16" s="2016"/>
      <c r="V16" s="2016"/>
      <c r="W16" s="2016"/>
      <c r="X16" s="2016"/>
      <c r="Y16" s="2016"/>
      <c r="Z16" s="2016"/>
      <c r="AA16" s="2016"/>
      <c r="AB16" s="2016"/>
      <c r="AC16" s="2016"/>
      <c r="AD16" s="2016"/>
      <c r="AE16" s="2016"/>
      <c r="AF16" s="2016"/>
      <c r="AG16" s="2016"/>
      <c r="AH16" s="2016"/>
      <c r="AI16" s="2016"/>
      <c r="AJ16" s="2016"/>
      <c r="AK16" s="2016"/>
      <c r="AL16" s="2016"/>
      <c r="AM16" s="2016"/>
      <c r="AN16" s="2016"/>
      <c r="AO16" s="2016"/>
      <c r="AP16" s="2016"/>
      <c r="AQ16" s="2016"/>
      <c r="AR16" s="2016"/>
      <c r="AS16" s="2016"/>
      <c r="AT16" s="2016"/>
      <c r="AU16" s="2016"/>
      <c r="AV16" s="2016"/>
      <c r="AW16" s="2016"/>
      <c r="AX16" s="2016"/>
      <c r="AY16" s="2016"/>
      <c r="AZ16" s="2016"/>
      <c r="BA16" s="2016"/>
      <c r="BB16" s="2016"/>
      <c r="BC16" s="2016"/>
      <c r="BD16" s="2016"/>
      <c r="BE16" s="2016"/>
      <c r="BF16" s="2016"/>
      <c r="BG16" s="2016"/>
      <c r="BH16" s="2016"/>
      <c r="BI16" s="2016"/>
      <c r="BJ16" s="2016"/>
      <c r="BK16" s="2016"/>
    </row>
    <row r="17" spans="1:63" s="425" customFormat="1" ht="15" customHeight="1">
      <c r="A17" s="2112"/>
      <c r="B17" s="2022" t="s">
        <v>355</v>
      </c>
      <c r="C17" s="2186"/>
      <c r="D17" s="2187"/>
      <c r="E17" s="2188"/>
      <c r="F17" s="2127"/>
      <c r="G17" s="2016"/>
      <c r="H17" s="2016"/>
      <c r="I17" s="2016"/>
      <c r="J17" s="2016"/>
      <c r="K17" s="2016"/>
      <c r="L17" s="2016"/>
      <c r="M17" s="2016"/>
      <c r="N17" s="2016"/>
      <c r="O17" s="2016"/>
      <c r="P17" s="2016"/>
      <c r="Q17" s="2016"/>
      <c r="R17" s="2016"/>
      <c r="S17" s="2016"/>
      <c r="T17" s="2016"/>
      <c r="U17" s="2016"/>
      <c r="V17" s="2016"/>
      <c r="W17" s="2016"/>
      <c r="X17" s="2016"/>
      <c r="Y17" s="2016"/>
      <c r="Z17" s="2016"/>
      <c r="AA17" s="2016"/>
      <c r="AB17" s="2016"/>
      <c r="AC17" s="2016"/>
      <c r="AD17" s="2016"/>
      <c r="AE17" s="2016"/>
      <c r="AF17" s="2016"/>
      <c r="AG17" s="2016"/>
      <c r="AH17" s="2016"/>
      <c r="AI17" s="2016"/>
      <c r="AJ17" s="2016"/>
      <c r="AK17" s="2016"/>
      <c r="AL17" s="2016"/>
      <c r="AM17" s="2016"/>
      <c r="AN17" s="2016"/>
      <c r="AO17" s="2016"/>
      <c r="AP17" s="2016"/>
      <c r="AQ17" s="2016"/>
      <c r="AR17" s="2016"/>
      <c r="AS17" s="2016"/>
      <c r="AT17" s="2016"/>
      <c r="AU17" s="2016"/>
      <c r="AV17" s="2016"/>
      <c r="AW17" s="2016"/>
      <c r="AX17" s="2016"/>
      <c r="AY17" s="2016"/>
      <c r="AZ17" s="2016"/>
      <c r="BA17" s="2016"/>
      <c r="BB17" s="2016"/>
      <c r="BC17" s="2016"/>
      <c r="BD17" s="2016"/>
      <c r="BE17" s="2016"/>
      <c r="BF17" s="2016"/>
      <c r="BG17" s="2016"/>
      <c r="BH17" s="2016"/>
      <c r="BI17" s="2016"/>
      <c r="BJ17" s="2016"/>
      <c r="BK17" s="2016"/>
    </row>
    <row r="18" spans="1:63" s="425" customFormat="1" ht="15" customHeight="1">
      <c r="A18" s="2112"/>
      <c r="B18" s="2022" t="s">
        <v>356</v>
      </c>
      <c r="C18" s="2186"/>
      <c r="D18" s="2187"/>
      <c r="E18" s="2188"/>
      <c r="F18" s="2127"/>
      <c r="G18" s="2016"/>
      <c r="H18" s="2016"/>
      <c r="I18" s="2016"/>
      <c r="J18" s="2016"/>
      <c r="K18" s="2016"/>
      <c r="L18" s="2016"/>
      <c r="M18" s="2016"/>
      <c r="N18" s="2016"/>
      <c r="O18" s="2016"/>
      <c r="P18" s="2016"/>
      <c r="Q18" s="2016"/>
      <c r="R18" s="2016"/>
      <c r="S18" s="2016"/>
      <c r="T18" s="2016"/>
      <c r="U18" s="2016"/>
      <c r="V18" s="2016"/>
      <c r="W18" s="2016"/>
      <c r="X18" s="2016"/>
      <c r="Y18" s="2016"/>
      <c r="Z18" s="2016"/>
      <c r="AA18" s="2016"/>
      <c r="AB18" s="2016"/>
      <c r="AC18" s="2016"/>
      <c r="AD18" s="2016"/>
      <c r="AE18" s="2016"/>
      <c r="AF18" s="2016"/>
      <c r="AG18" s="2016"/>
      <c r="AH18" s="2016"/>
      <c r="AI18" s="2016"/>
      <c r="AJ18" s="2016"/>
      <c r="AK18" s="2016"/>
      <c r="AL18" s="2016"/>
      <c r="AM18" s="2016"/>
      <c r="AN18" s="2016"/>
      <c r="AO18" s="2016"/>
      <c r="AP18" s="2016"/>
      <c r="AQ18" s="2016"/>
      <c r="AR18" s="2016"/>
      <c r="AS18" s="2016"/>
      <c r="AT18" s="2016"/>
      <c r="AU18" s="2016"/>
      <c r="AV18" s="2016"/>
      <c r="AW18" s="2016"/>
      <c r="AX18" s="2016"/>
      <c r="AY18" s="2016"/>
      <c r="AZ18" s="2016"/>
      <c r="BA18" s="2016"/>
      <c r="BB18" s="2016"/>
      <c r="BC18" s="2016"/>
      <c r="BD18" s="2016"/>
      <c r="BE18" s="2016"/>
      <c r="BF18" s="2016"/>
      <c r="BG18" s="2016"/>
      <c r="BH18" s="2016"/>
      <c r="BI18" s="2016"/>
      <c r="BJ18" s="2016"/>
      <c r="BK18" s="2016"/>
    </row>
    <row r="19" spans="1:63" s="425" customFormat="1" ht="15" customHeight="1">
      <c r="A19" s="2112"/>
      <c r="B19" s="2022" t="s">
        <v>357</v>
      </c>
      <c r="C19" s="2186"/>
      <c r="D19" s="2187"/>
      <c r="E19" s="2188"/>
      <c r="F19" s="2127"/>
      <c r="G19" s="2016"/>
      <c r="H19" s="2016"/>
      <c r="I19" s="2016"/>
      <c r="J19" s="2016"/>
      <c r="K19" s="2016"/>
      <c r="L19" s="2016"/>
      <c r="M19" s="2016"/>
      <c r="N19" s="2016"/>
      <c r="O19" s="2016"/>
      <c r="P19" s="2016"/>
      <c r="Q19" s="2016"/>
      <c r="R19" s="2016"/>
      <c r="S19" s="2016"/>
      <c r="T19" s="2016"/>
      <c r="U19" s="2016"/>
      <c r="V19" s="2016"/>
      <c r="W19" s="2016"/>
      <c r="X19" s="2016"/>
      <c r="Y19" s="2016"/>
      <c r="Z19" s="2016"/>
      <c r="AA19" s="2016"/>
      <c r="AB19" s="2016"/>
      <c r="AC19" s="2016"/>
      <c r="AD19" s="2016"/>
      <c r="AE19" s="2016"/>
      <c r="AF19" s="2016"/>
      <c r="AG19" s="2016"/>
      <c r="AH19" s="2016"/>
      <c r="AI19" s="2016"/>
      <c r="AJ19" s="2016"/>
      <c r="AK19" s="2016"/>
      <c r="AL19" s="2016"/>
      <c r="AM19" s="2016"/>
      <c r="AN19" s="2016"/>
      <c r="AO19" s="2016"/>
      <c r="AP19" s="2016"/>
      <c r="AQ19" s="2016"/>
      <c r="AR19" s="2016"/>
      <c r="AS19" s="2016"/>
      <c r="AT19" s="2016"/>
      <c r="AU19" s="2016"/>
      <c r="AV19" s="2016"/>
      <c r="AW19" s="2016"/>
      <c r="AX19" s="2016"/>
      <c r="AY19" s="2016"/>
      <c r="AZ19" s="2016"/>
      <c r="BA19" s="2016"/>
      <c r="BB19" s="2016"/>
      <c r="BC19" s="2016"/>
      <c r="BD19" s="2016"/>
      <c r="BE19" s="2016"/>
      <c r="BF19" s="2016"/>
      <c r="BG19" s="2016"/>
      <c r="BH19" s="2016"/>
      <c r="BI19" s="2016"/>
      <c r="BJ19" s="2016"/>
      <c r="BK19" s="2016"/>
    </row>
    <row r="20" spans="1:63" s="425" customFormat="1" ht="15" customHeight="1">
      <c r="A20" s="2112"/>
      <c r="B20" s="2022" t="s">
        <v>358</v>
      </c>
      <c r="C20" s="2186"/>
      <c r="D20" s="2187"/>
      <c r="E20" s="2188"/>
      <c r="F20" s="2127"/>
      <c r="G20" s="2016"/>
      <c r="H20" s="2016"/>
      <c r="I20" s="2016"/>
      <c r="J20" s="2016"/>
      <c r="K20" s="2016"/>
      <c r="L20" s="2016"/>
      <c r="M20" s="2016"/>
      <c r="N20" s="2016"/>
      <c r="O20" s="2016"/>
      <c r="P20" s="2016"/>
      <c r="Q20" s="2016"/>
      <c r="R20" s="2016"/>
      <c r="S20" s="2016"/>
      <c r="T20" s="2016"/>
      <c r="U20" s="2016"/>
      <c r="V20" s="2016"/>
      <c r="W20" s="2016"/>
      <c r="X20" s="2016"/>
      <c r="Y20" s="2016"/>
      <c r="Z20" s="2016"/>
      <c r="AA20" s="2016"/>
      <c r="AB20" s="2016"/>
      <c r="AC20" s="2016"/>
      <c r="AD20" s="2016"/>
      <c r="AE20" s="2016"/>
      <c r="AF20" s="2016"/>
      <c r="AG20" s="2016"/>
      <c r="AH20" s="2016"/>
      <c r="AI20" s="2016"/>
      <c r="AJ20" s="2016"/>
      <c r="AK20" s="2016"/>
      <c r="AL20" s="2016"/>
      <c r="AM20" s="2016"/>
      <c r="AN20" s="2016"/>
      <c r="AO20" s="2016"/>
      <c r="AP20" s="2016"/>
      <c r="AQ20" s="2016"/>
      <c r="AR20" s="2016"/>
      <c r="AS20" s="2016"/>
      <c r="AT20" s="2016"/>
      <c r="AU20" s="2016"/>
      <c r="AV20" s="2016"/>
      <c r="AW20" s="2016"/>
      <c r="AX20" s="2016"/>
      <c r="AY20" s="2016"/>
      <c r="AZ20" s="2016"/>
      <c r="BA20" s="2016"/>
      <c r="BB20" s="2016"/>
      <c r="BC20" s="2016"/>
      <c r="BD20" s="2016"/>
      <c r="BE20" s="2016"/>
      <c r="BF20" s="2016"/>
      <c r="BG20" s="2016"/>
      <c r="BH20" s="2016"/>
      <c r="BI20" s="2016"/>
      <c r="BJ20" s="2016"/>
      <c r="BK20" s="2016"/>
    </row>
    <row r="21" spans="1:63" s="425" customFormat="1" ht="15" customHeight="1">
      <c r="A21" s="2112"/>
      <c r="B21" s="2022" t="s">
        <v>359</v>
      </c>
      <c r="C21" s="2186"/>
      <c r="D21" s="2187"/>
      <c r="E21" s="2188"/>
      <c r="F21" s="2127"/>
      <c r="G21" s="2016"/>
      <c r="H21" s="2016"/>
      <c r="I21" s="2016"/>
      <c r="J21" s="2016"/>
      <c r="K21" s="2016"/>
      <c r="L21" s="2016"/>
      <c r="M21" s="2016"/>
      <c r="N21" s="2016"/>
      <c r="O21" s="2016"/>
      <c r="P21" s="2016"/>
      <c r="Q21" s="2016"/>
      <c r="R21" s="2016"/>
      <c r="S21" s="2016"/>
      <c r="T21" s="2016"/>
      <c r="U21" s="2016"/>
      <c r="V21" s="2016"/>
      <c r="W21" s="2016"/>
      <c r="X21" s="2016"/>
      <c r="Y21" s="2016"/>
      <c r="Z21" s="2016"/>
      <c r="AA21" s="2016"/>
      <c r="AB21" s="2016"/>
      <c r="AC21" s="2016"/>
      <c r="AD21" s="2016"/>
      <c r="AE21" s="2016"/>
      <c r="AF21" s="2016"/>
      <c r="AG21" s="2016"/>
      <c r="AH21" s="2016"/>
      <c r="AI21" s="2016"/>
      <c r="AJ21" s="2016"/>
      <c r="AK21" s="2016"/>
      <c r="AL21" s="2016"/>
      <c r="AM21" s="2016"/>
      <c r="AN21" s="2016"/>
      <c r="AO21" s="2016"/>
      <c r="AP21" s="2016"/>
      <c r="AQ21" s="2016"/>
      <c r="AR21" s="2016"/>
      <c r="AS21" s="2016"/>
      <c r="AT21" s="2016"/>
      <c r="AU21" s="2016"/>
      <c r="AV21" s="2016"/>
      <c r="AW21" s="2016"/>
      <c r="AX21" s="2016"/>
      <c r="AY21" s="2016"/>
      <c r="AZ21" s="2016"/>
      <c r="BA21" s="2016"/>
      <c r="BB21" s="2016"/>
      <c r="BC21" s="2016"/>
      <c r="BD21" s="2016"/>
      <c r="BE21" s="2016"/>
      <c r="BF21" s="2016"/>
      <c r="BG21" s="2016"/>
      <c r="BH21" s="2016"/>
      <c r="BI21" s="2016"/>
      <c r="BJ21" s="2016"/>
      <c r="BK21" s="2016"/>
    </row>
    <row r="22" spans="1:63" s="425" customFormat="1" ht="15" customHeight="1">
      <c r="A22" s="2112"/>
      <c r="B22" s="2022" t="s">
        <v>360</v>
      </c>
      <c r="C22" s="2186"/>
      <c r="D22" s="2187"/>
      <c r="E22" s="2188"/>
      <c r="F22" s="2127"/>
      <c r="G22" s="2016"/>
      <c r="H22" s="2016"/>
      <c r="I22" s="2016"/>
      <c r="J22" s="2016"/>
      <c r="K22" s="2016"/>
      <c r="L22" s="2016"/>
      <c r="M22" s="2016"/>
      <c r="N22" s="2016"/>
      <c r="O22" s="2016"/>
      <c r="P22" s="2016"/>
      <c r="Q22" s="2016"/>
      <c r="R22" s="2016"/>
      <c r="S22" s="2016"/>
      <c r="T22" s="2016"/>
      <c r="U22" s="2016"/>
      <c r="V22" s="2016"/>
      <c r="W22" s="2016"/>
      <c r="X22" s="2016"/>
      <c r="Y22" s="2016"/>
      <c r="Z22" s="2016"/>
      <c r="AA22" s="2016"/>
      <c r="AB22" s="2016"/>
      <c r="AC22" s="2016"/>
      <c r="AD22" s="2016"/>
      <c r="AE22" s="2016"/>
      <c r="AF22" s="2016"/>
      <c r="AG22" s="2016"/>
      <c r="AH22" s="2016"/>
      <c r="AI22" s="2016"/>
      <c r="AJ22" s="2016"/>
      <c r="AK22" s="2016"/>
      <c r="AL22" s="2016"/>
      <c r="AM22" s="2016"/>
      <c r="AN22" s="2016"/>
      <c r="AO22" s="2016"/>
      <c r="AP22" s="2016"/>
      <c r="AQ22" s="2016"/>
      <c r="AR22" s="2016"/>
      <c r="AS22" s="2016"/>
      <c r="AT22" s="2016"/>
      <c r="AU22" s="2016"/>
      <c r="AV22" s="2016"/>
      <c r="AW22" s="2016"/>
      <c r="AX22" s="2016"/>
      <c r="AY22" s="2016"/>
      <c r="AZ22" s="2016"/>
      <c r="BA22" s="2016"/>
      <c r="BB22" s="2016"/>
      <c r="BC22" s="2016"/>
      <c r="BD22" s="2016"/>
      <c r="BE22" s="2016"/>
      <c r="BF22" s="2016"/>
      <c r="BG22" s="2016"/>
      <c r="BH22" s="2016"/>
      <c r="BI22" s="2016"/>
      <c r="BJ22" s="2016"/>
      <c r="BK22" s="2016"/>
    </row>
    <row r="23" spans="1:63" s="425" customFormat="1" ht="15" customHeight="1">
      <c r="A23" s="2112"/>
      <c r="B23" s="2022" t="s">
        <v>361</v>
      </c>
      <c r="C23" s="2186"/>
      <c r="D23" s="2187"/>
      <c r="E23" s="2188"/>
      <c r="F23" s="2127"/>
      <c r="G23" s="2016"/>
      <c r="H23" s="2016"/>
      <c r="I23" s="2016"/>
      <c r="J23" s="2016"/>
      <c r="K23" s="2016"/>
      <c r="L23" s="2016"/>
      <c r="M23" s="2016"/>
      <c r="N23" s="2016"/>
      <c r="O23" s="2016"/>
      <c r="P23" s="2016"/>
      <c r="Q23" s="2016"/>
      <c r="R23" s="2016"/>
      <c r="S23" s="2016"/>
      <c r="T23" s="2016"/>
      <c r="U23" s="2016"/>
      <c r="V23" s="2016"/>
      <c r="W23" s="2016"/>
      <c r="X23" s="2016"/>
      <c r="Y23" s="2016"/>
      <c r="Z23" s="2016"/>
      <c r="AA23" s="2016"/>
      <c r="AB23" s="2016"/>
      <c r="AC23" s="2016"/>
      <c r="AD23" s="2016"/>
      <c r="AE23" s="2016"/>
      <c r="AF23" s="2016"/>
      <c r="AG23" s="2016"/>
      <c r="AH23" s="2016"/>
      <c r="AI23" s="2016"/>
      <c r="AJ23" s="2016"/>
      <c r="AK23" s="2016"/>
      <c r="AL23" s="2016"/>
      <c r="AM23" s="2016"/>
      <c r="AN23" s="2016"/>
      <c r="AO23" s="2016"/>
      <c r="AP23" s="2016"/>
      <c r="AQ23" s="2016"/>
      <c r="AR23" s="2016"/>
      <c r="AS23" s="2016"/>
      <c r="AT23" s="2016"/>
      <c r="AU23" s="2016"/>
      <c r="AV23" s="2016"/>
      <c r="AW23" s="2016"/>
      <c r="AX23" s="2016"/>
      <c r="AY23" s="2016"/>
      <c r="AZ23" s="2016"/>
      <c r="BA23" s="2016"/>
      <c r="BB23" s="2016"/>
      <c r="BC23" s="2016"/>
      <c r="BD23" s="2016"/>
      <c r="BE23" s="2016"/>
      <c r="BF23" s="2016"/>
      <c r="BG23" s="2016"/>
      <c r="BH23" s="2016"/>
      <c r="BI23" s="2016"/>
      <c r="BJ23" s="2016"/>
      <c r="BK23" s="2016"/>
    </row>
    <row r="24" spans="1:63" s="425" customFormat="1" ht="15" customHeight="1">
      <c r="A24" s="2112"/>
      <c r="B24" s="2022" t="s">
        <v>362</v>
      </c>
      <c r="C24" s="2186"/>
      <c r="D24" s="2187"/>
      <c r="E24" s="2188"/>
      <c r="F24" s="2127"/>
      <c r="G24" s="2016"/>
      <c r="H24" s="2016"/>
      <c r="I24" s="2016"/>
      <c r="J24" s="2016"/>
      <c r="K24" s="2016"/>
      <c r="L24" s="2016"/>
      <c r="M24" s="2016"/>
      <c r="N24" s="2016"/>
      <c r="O24" s="2016"/>
      <c r="P24" s="2016"/>
      <c r="Q24" s="2016"/>
      <c r="R24" s="2016"/>
      <c r="S24" s="2016"/>
      <c r="T24" s="2016"/>
      <c r="U24" s="2016"/>
      <c r="V24" s="2016"/>
      <c r="W24" s="2016"/>
      <c r="X24" s="2016"/>
      <c r="Y24" s="2016"/>
      <c r="Z24" s="2016"/>
      <c r="AA24" s="2016"/>
      <c r="AB24" s="2016"/>
      <c r="AC24" s="2016"/>
      <c r="AD24" s="2016"/>
      <c r="AE24" s="2016"/>
      <c r="AF24" s="2016"/>
      <c r="AG24" s="2016"/>
      <c r="AH24" s="2016"/>
      <c r="AI24" s="2016"/>
      <c r="AJ24" s="2016"/>
      <c r="AK24" s="2016"/>
      <c r="AL24" s="2016"/>
      <c r="AM24" s="2016"/>
      <c r="AN24" s="2016"/>
      <c r="AO24" s="2016"/>
      <c r="AP24" s="2016"/>
      <c r="AQ24" s="2016"/>
      <c r="AR24" s="2016"/>
      <c r="AS24" s="2016"/>
      <c r="AT24" s="2016"/>
      <c r="AU24" s="2016"/>
      <c r="AV24" s="2016"/>
      <c r="AW24" s="2016"/>
      <c r="AX24" s="2016"/>
      <c r="AY24" s="2016"/>
      <c r="AZ24" s="2016"/>
      <c r="BA24" s="2016"/>
      <c r="BB24" s="2016"/>
      <c r="BC24" s="2016"/>
      <c r="BD24" s="2016"/>
      <c r="BE24" s="2016"/>
      <c r="BF24" s="2016"/>
      <c r="BG24" s="2016"/>
      <c r="BH24" s="2016"/>
      <c r="BI24" s="2016"/>
      <c r="BJ24" s="2016"/>
      <c r="BK24" s="2016"/>
    </row>
    <row r="25" spans="1:63" s="425" customFormat="1" ht="15" customHeight="1">
      <c r="A25" s="2112"/>
      <c r="B25" s="2022" t="s">
        <v>363</v>
      </c>
      <c r="C25" s="2186"/>
      <c r="D25" s="2187"/>
      <c r="E25" s="2188"/>
      <c r="F25" s="2127"/>
      <c r="G25" s="2016"/>
      <c r="H25" s="2016"/>
      <c r="I25" s="2016"/>
      <c r="J25" s="2016"/>
      <c r="K25" s="2016"/>
      <c r="L25" s="2016"/>
      <c r="M25" s="2016"/>
      <c r="N25" s="2016"/>
      <c r="O25" s="2016"/>
      <c r="P25" s="2016"/>
      <c r="Q25" s="2016"/>
      <c r="R25" s="2016"/>
      <c r="S25" s="2016"/>
      <c r="T25" s="2016"/>
      <c r="U25" s="2016"/>
      <c r="V25" s="2016"/>
      <c r="W25" s="2016"/>
      <c r="X25" s="2016"/>
      <c r="Y25" s="2016"/>
      <c r="Z25" s="2016"/>
      <c r="AA25" s="2016"/>
      <c r="AB25" s="2016"/>
      <c r="AC25" s="2016"/>
      <c r="AD25" s="2016"/>
      <c r="AE25" s="2016"/>
      <c r="AF25" s="2016"/>
      <c r="AG25" s="2016"/>
      <c r="AH25" s="2016"/>
      <c r="AI25" s="2016"/>
      <c r="AJ25" s="2016"/>
      <c r="AK25" s="2016"/>
      <c r="AL25" s="2016"/>
      <c r="AM25" s="2016"/>
      <c r="AN25" s="2016"/>
      <c r="AO25" s="2016"/>
      <c r="AP25" s="2016"/>
      <c r="AQ25" s="2016"/>
      <c r="AR25" s="2016"/>
      <c r="AS25" s="2016"/>
      <c r="AT25" s="2016"/>
      <c r="AU25" s="2016"/>
      <c r="AV25" s="2016"/>
      <c r="AW25" s="2016"/>
      <c r="AX25" s="2016"/>
      <c r="AY25" s="2016"/>
      <c r="AZ25" s="2016"/>
      <c r="BA25" s="2016"/>
      <c r="BB25" s="2016"/>
      <c r="BC25" s="2016"/>
      <c r="BD25" s="2016"/>
      <c r="BE25" s="2016"/>
      <c r="BF25" s="2016"/>
      <c r="BG25" s="2016"/>
      <c r="BH25" s="2016"/>
      <c r="BI25" s="2016"/>
      <c r="BJ25" s="2016"/>
      <c r="BK25" s="2016"/>
    </row>
    <row r="26" spans="1:63" s="425" customFormat="1" ht="15" customHeight="1">
      <c r="A26" s="2112"/>
      <c r="B26" s="2022" t="s">
        <v>274</v>
      </c>
      <c r="C26" s="2186"/>
      <c r="D26" s="2187"/>
      <c r="E26" s="2188"/>
      <c r="F26" s="2127"/>
      <c r="G26" s="2016"/>
      <c r="H26" s="2016"/>
      <c r="I26" s="2016"/>
      <c r="J26" s="2016"/>
      <c r="K26" s="2016"/>
      <c r="L26" s="2016"/>
      <c r="M26" s="2016"/>
      <c r="N26" s="2016"/>
      <c r="O26" s="2016"/>
      <c r="P26" s="2016"/>
      <c r="Q26" s="2016"/>
      <c r="R26" s="2016"/>
      <c r="S26" s="2016"/>
      <c r="T26" s="2016"/>
      <c r="U26" s="2016"/>
      <c r="V26" s="2016"/>
      <c r="W26" s="2016"/>
      <c r="X26" s="2016"/>
      <c r="Y26" s="2016"/>
      <c r="Z26" s="2016"/>
      <c r="AA26" s="2016"/>
      <c r="AB26" s="2016"/>
      <c r="AC26" s="2016"/>
      <c r="AD26" s="2016"/>
      <c r="AE26" s="2016"/>
      <c r="AF26" s="2016"/>
      <c r="AG26" s="2016"/>
      <c r="AH26" s="2016"/>
      <c r="AI26" s="2016"/>
      <c r="AJ26" s="2016"/>
      <c r="AK26" s="2016"/>
      <c r="AL26" s="2016"/>
      <c r="AM26" s="2016"/>
      <c r="AN26" s="2016"/>
      <c r="AO26" s="2016"/>
      <c r="AP26" s="2016"/>
      <c r="AQ26" s="2016"/>
      <c r="AR26" s="2016"/>
      <c r="AS26" s="2016"/>
      <c r="AT26" s="2016"/>
      <c r="AU26" s="2016"/>
      <c r="AV26" s="2016"/>
      <c r="AW26" s="2016"/>
      <c r="AX26" s="2016"/>
      <c r="AY26" s="2016"/>
      <c r="AZ26" s="2016"/>
      <c r="BA26" s="2016"/>
      <c r="BB26" s="2016"/>
      <c r="BC26" s="2016"/>
      <c r="BD26" s="2016"/>
      <c r="BE26" s="2016"/>
      <c r="BF26" s="2016"/>
      <c r="BG26" s="2016"/>
      <c r="BH26" s="2016"/>
      <c r="BI26" s="2016"/>
      <c r="BJ26" s="2016"/>
      <c r="BK26" s="2016"/>
    </row>
    <row r="27" spans="1:63" s="425" customFormat="1" ht="15" customHeight="1">
      <c r="A27" s="2112"/>
      <c r="B27" s="2022" t="s">
        <v>274</v>
      </c>
      <c r="C27" s="2186"/>
      <c r="D27" s="2187"/>
      <c r="E27" s="2188"/>
      <c r="F27" s="2127"/>
      <c r="G27" s="2016"/>
      <c r="H27" s="2016"/>
      <c r="I27" s="2016"/>
      <c r="J27" s="2016"/>
      <c r="K27" s="2016"/>
      <c r="L27" s="2016"/>
      <c r="M27" s="2016"/>
      <c r="N27" s="2016"/>
      <c r="O27" s="2016"/>
      <c r="P27" s="2016"/>
      <c r="Q27" s="2016"/>
      <c r="R27" s="2016"/>
      <c r="S27" s="2016"/>
      <c r="T27" s="2016"/>
      <c r="U27" s="2016"/>
      <c r="V27" s="2016"/>
      <c r="W27" s="2016"/>
      <c r="X27" s="2016"/>
      <c r="Y27" s="2016"/>
      <c r="Z27" s="2016"/>
      <c r="AA27" s="2016"/>
      <c r="AB27" s="2016"/>
      <c r="AC27" s="2016"/>
      <c r="AD27" s="2016"/>
      <c r="AE27" s="2016"/>
      <c r="AF27" s="2016"/>
      <c r="AG27" s="2016"/>
      <c r="AH27" s="2016"/>
      <c r="AI27" s="2016"/>
      <c r="AJ27" s="2016"/>
      <c r="AK27" s="2016"/>
      <c r="AL27" s="2016"/>
      <c r="AM27" s="2016"/>
      <c r="AN27" s="2016"/>
      <c r="AO27" s="2016"/>
      <c r="AP27" s="2016"/>
      <c r="AQ27" s="2016"/>
      <c r="AR27" s="2016"/>
      <c r="AS27" s="2016"/>
      <c r="AT27" s="2016"/>
      <c r="AU27" s="2016"/>
      <c r="AV27" s="2016"/>
      <c r="AW27" s="2016"/>
      <c r="AX27" s="2016"/>
      <c r="AY27" s="2016"/>
      <c r="AZ27" s="2016"/>
      <c r="BA27" s="2016"/>
      <c r="BB27" s="2016"/>
      <c r="BC27" s="2016"/>
      <c r="BD27" s="2016"/>
      <c r="BE27" s="2016"/>
      <c r="BF27" s="2016"/>
      <c r="BG27" s="2016"/>
      <c r="BH27" s="2016"/>
      <c r="BI27" s="2016"/>
      <c r="BJ27" s="2016"/>
      <c r="BK27" s="2016"/>
    </row>
    <row r="28" spans="1:63" s="425" customFormat="1" ht="15" customHeight="1">
      <c r="A28" s="2112"/>
      <c r="B28" s="2022" t="s">
        <v>364</v>
      </c>
      <c r="C28" s="2186"/>
      <c r="D28" s="2187"/>
      <c r="E28" s="2188"/>
      <c r="F28" s="2127"/>
      <c r="G28" s="2016"/>
      <c r="H28" s="2016"/>
      <c r="I28" s="2016"/>
      <c r="J28" s="2016"/>
      <c r="K28" s="2016"/>
      <c r="L28" s="2016"/>
      <c r="M28" s="2016"/>
      <c r="N28" s="2016"/>
      <c r="O28" s="2016"/>
      <c r="P28" s="2016"/>
      <c r="Q28" s="2016"/>
      <c r="R28" s="2016"/>
      <c r="S28" s="2016"/>
      <c r="T28" s="2016"/>
      <c r="U28" s="2016"/>
      <c r="V28" s="2016"/>
      <c r="W28" s="2016"/>
      <c r="X28" s="2016"/>
      <c r="Y28" s="2016"/>
      <c r="Z28" s="2016"/>
      <c r="AA28" s="2016"/>
      <c r="AB28" s="2016"/>
      <c r="AC28" s="2016"/>
      <c r="AD28" s="2016"/>
      <c r="AE28" s="2016"/>
      <c r="AF28" s="2016"/>
      <c r="AG28" s="2016"/>
      <c r="AH28" s="2016"/>
      <c r="AI28" s="2016"/>
      <c r="AJ28" s="2016"/>
      <c r="AK28" s="2016"/>
      <c r="AL28" s="2016"/>
      <c r="AM28" s="2016"/>
      <c r="AN28" s="2016"/>
      <c r="AO28" s="2016"/>
      <c r="AP28" s="2016"/>
      <c r="AQ28" s="2016"/>
      <c r="AR28" s="2016"/>
      <c r="AS28" s="2016"/>
      <c r="AT28" s="2016"/>
      <c r="AU28" s="2016"/>
      <c r="AV28" s="2016"/>
      <c r="AW28" s="2016"/>
      <c r="AX28" s="2016"/>
      <c r="AY28" s="2016"/>
      <c r="AZ28" s="2016"/>
      <c r="BA28" s="2016"/>
      <c r="BB28" s="2016"/>
      <c r="BC28" s="2016"/>
      <c r="BD28" s="2016"/>
      <c r="BE28" s="2016"/>
      <c r="BF28" s="2016"/>
      <c r="BG28" s="2016"/>
      <c r="BH28" s="2016"/>
      <c r="BI28" s="2016"/>
      <c r="BJ28" s="2016"/>
      <c r="BK28" s="2016"/>
    </row>
    <row r="29" spans="1:63" s="425" customFormat="1" ht="15" customHeight="1">
      <c r="A29" s="2112"/>
      <c r="B29" s="2022" t="s">
        <v>365</v>
      </c>
      <c r="C29" s="2186"/>
      <c r="D29" s="2187"/>
      <c r="E29" s="2188"/>
      <c r="F29" s="2127"/>
      <c r="G29" s="2016"/>
      <c r="H29" s="2016"/>
      <c r="I29" s="2016"/>
      <c r="J29" s="2016"/>
      <c r="K29" s="2016"/>
      <c r="L29" s="2016"/>
      <c r="M29" s="2016"/>
      <c r="N29" s="2016"/>
      <c r="O29" s="2016"/>
      <c r="P29" s="2016"/>
      <c r="Q29" s="2016"/>
      <c r="R29" s="2016"/>
      <c r="S29" s="2016"/>
      <c r="T29" s="2016"/>
      <c r="U29" s="2016"/>
      <c r="V29" s="2016"/>
      <c r="W29" s="2016"/>
      <c r="X29" s="2016"/>
      <c r="Y29" s="2016"/>
      <c r="Z29" s="2016"/>
      <c r="AA29" s="2016"/>
      <c r="AB29" s="2016"/>
      <c r="AC29" s="2016"/>
      <c r="AD29" s="2016"/>
      <c r="AE29" s="2016"/>
      <c r="AF29" s="2016"/>
      <c r="AG29" s="2016"/>
      <c r="AH29" s="2016"/>
      <c r="AI29" s="2016"/>
      <c r="AJ29" s="2016"/>
      <c r="AK29" s="2016"/>
      <c r="AL29" s="2016"/>
      <c r="AM29" s="2016"/>
      <c r="AN29" s="2016"/>
      <c r="AO29" s="2016"/>
      <c r="AP29" s="2016"/>
      <c r="AQ29" s="2016"/>
      <c r="AR29" s="2016"/>
      <c r="AS29" s="2016"/>
      <c r="AT29" s="2016"/>
      <c r="AU29" s="2016"/>
      <c r="AV29" s="2016"/>
      <c r="AW29" s="2016"/>
      <c r="AX29" s="2016"/>
      <c r="AY29" s="2016"/>
      <c r="AZ29" s="2016"/>
      <c r="BA29" s="2016"/>
      <c r="BB29" s="2016"/>
      <c r="BC29" s="2016"/>
      <c r="BD29" s="2016"/>
      <c r="BE29" s="2016"/>
      <c r="BF29" s="2016"/>
      <c r="BG29" s="2016"/>
      <c r="BH29" s="2016"/>
      <c r="BI29" s="2016"/>
      <c r="BJ29" s="2016"/>
      <c r="BK29" s="2016"/>
    </row>
    <row r="30" spans="1:63" s="425" customFormat="1" ht="15" customHeight="1" thickBot="1">
      <c r="A30" s="2112"/>
      <c r="B30" s="2023" t="s">
        <v>366</v>
      </c>
      <c r="C30" s="2194"/>
      <c r="D30" s="2195"/>
      <c r="E30" s="2196"/>
      <c r="F30" s="2127"/>
      <c r="G30" s="2016"/>
      <c r="H30" s="2016"/>
      <c r="I30" s="2016"/>
      <c r="J30" s="2016"/>
      <c r="K30" s="2016"/>
      <c r="L30" s="2016"/>
      <c r="M30" s="2016"/>
      <c r="N30" s="2016"/>
      <c r="O30" s="2016"/>
      <c r="P30" s="2016"/>
      <c r="Q30" s="2016"/>
      <c r="R30" s="2016"/>
      <c r="S30" s="2016"/>
      <c r="T30" s="2016"/>
      <c r="U30" s="2016"/>
      <c r="V30" s="2016"/>
      <c r="W30" s="2016"/>
      <c r="X30" s="2016"/>
      <c r="Y30" s="2016"/>
      <c r="Z30" s="2016"/>
      <c r="AA30" s="2016"/>
      <c r="AB30" s="2016"/>
      <c r="AC30" s="2016"/>
      <c r="AD30" s="2016"/>
      <c r="AE30" s="2016"/>
      <c r="AF30" s="2016"/>
      <c r="AG30" s="2016"/>
      <c r="AH30" s="2016"/>
      <c r="AI30" s="2016"/>
      <c r="AJ30" s="2016"/>
      <c r="AK30" s="2016"/>
      <c r="AL30" s="2016"/>
      <c r="AM30" s="2016"/>
      <c r="AN30" s="2016"/>
      <c r="AO30" s="2016"/>
      <c r="AP30" s="2016"/>
      <c r="AQ30" s="2016"/>
      <c r="AR30" s="2016"/>
      <c r="AS30" s="2016"/>
      <c r="AT30" s="2016"/>
      <c r="AU30" s="2016"/>
      <c r="AV30" s="2016"/>
      <c r="AW30" s="2016"/>
      <c r="AX30" s="2016"/>
      <c r="AY30" s="2016"/>
      <c r="AZ30" s="2016"/>
      <c r="BA30" s="2016"/>
      <c r="BB30" s="2016"/>
      <c r="BC30" s="2016"/>
      <c r="BD30" s="2016"/>
      <c r="BE30" s="2016"/>
      <c r="BF30" s="2016"/>
      <c r="BG30" s="2016"/>
      <c r="BH30" s="2016"/>
      <c r="BI30" s="2016"/>
      <c r="BJ30" s="2016"/>
      <c r="BK30" s="2016"/>
    </row>
    <row r="31" spans="1:63" s="425" customFormat="1" ht="13.5" thickBot="1">
      <c r="A31" s="2112"/>
      <c r="B31" s="2112"/>
      <c r="C31" s="2020"/>
      <c r="D31" s="2020"/>
      <c r="E31" s="2112"/>
      <c r="F31" s="2127"/>
      <c r="G31" s="2016"/>
      <c r="H31" s="2016"/>
      <c r="I31" s="2016"/>
      <c r="J31" s="2016"/>
      <c r="K31" s="2016"/>
      <c r="L31" s="2016"/>
      <c r="M31" s="2016"/>
      <c r="N31" s="2016"/>
      <c r="O31" s="2016"/>
      <c r="P31" s="2016"/>
      <c r="Q31" s="2016"/>
      <c r="R31" s="2016"/>
      <c r="S31" s="2016"/>
      <c r="T31" s="2016"/>
      <c r="U31" s="2016"/>
      <c r="V31" s="2016"/>
      <c r="W31" s="2016"/>
      <c r="X31" s="2016"/>
      <c r="Y31" s="2016"/>
      <c r="Z31" s="2016"/>
      <c r="AA31" s="2016"/>
      <c r="AB31" s="2016"/>
      <c r="AC31" s="2016"/>
      <c r="AD31" s="2016"/>
      <c r="AE31" s="2016"/>
      <c r="AF31" s="2016"/>
      <c r="AG31" s="2016"/>
      <c r="AH31" s="2016"/>
      <c r="AI31" s="2016"/>
      <c r="AJ31" s="2016"/>
      <c r="AK31" s="2016"/>
      <c r="AL31" s="2016"/>
      <c r="AM31" s="2016"/>
      <c r="AN31" s="2016"/>
      <c r="AO31" s="2016"/>
      <c r="AP31" s="2016"/>
      <c r="AQ31" s="2016"/>
      <c r="AR31" s="2016"/>
      <c r="AS31" s="2016"/>
      <c r="AT31" s="2016"/>
      <c r="AU31" s="2016"/>
      <c r="AV31" s="2016"/>
      <c r="AW31" s="2016"/>
      <c r="AX31" s="2016"/>
      <c r="AY31" s="2016"/>
      <c r="AZ31" s="2016"/>
      <c r="BA31" s="2016"/>
      <c r="BB31" s="2016"/>
      <c r="BC31" s="2016"/>
      <c r="BD31" s="2016"/>
      <c r="BE31" s="2016"/>
      <c r="BF31" s="2016"/>
      <c r="BG31" s="2016"/>
      <c r="BH31" s="2016"/>
      <c r="BI31" s="2016"/>
      <c r="BJ31" s="2016"/>
      <c r="BK31" s="2016"/>
    </row>
    <row r="32" spans="1:63" s="425" customFormat="1">
      <c r="A32" s="2112"/>
      <c r="B32" s="2021" t="s">
        <v>1231</v>
      </c>
      <c r="C32" s="2214"/>
      <c r="D32" s="2215"/>
      <c r="E32" s="2216"/>
      <c r="F32" s="2127"/>
      <c r="G32" s="2016"/>
      <c r="H32" s="2016"/>
      <c r="I32" s="2016"/>
      <c r="J32" s="2016"/>
      <c r="K32" s="2016"/>
      <c r="L32" s="2016"/>
      <c r="M32" s="2016"/>
      <c r="N32" s="2016"/>
      <c r="O32" s="2016"/>
      <c r="P32" s="2016"/>
      <c r="Q32" s="2016"/>
      <c r="R32" s="2016"/>
      <c r="S32" s="2016"/>
      <c r="T32" s="2016"/>
      <c r="U32" s="2016"/>
      <c r="V32" s="2016"/>
      <c r="W32" s="2016"/>
      <c r="X32" s="2016"/>
      <c r="Y32" s="2016"/>
      <c r="Z32" s="2016"/>
      <c r="AA32" s="2016"/>
      <c r="AB32" s="2016"/>
      <c r="AC32" s="2016"/>
      <c r="AD32" s="2016"/>
      <c r="AE32" s="2016"/>
      <c r="AF32" s="2016"/>
      <c r="AG32" s="2016"/>
      <c r="AH32" s="2016"/>
      <c r="AI32" s="2016"/>
      <c r="AJ32" s="2016"/>
      <c r="AK32" s="2016"/>
      <c r="AL32" s="2016"/>
      <c r="AM32" s="2016"/>
      <c r="AN32" s="2016"/>
      <c r="AO32" s="2016"/>
      <c r="AP32" s="2016"/>
      <c r="AQ32" s="2016"/>
      <c r="AR32" s="2016"/>
      <c r="AS32" s="2016"/>
      <c r="AT32" s="2016"/>
      <c r="AU32" s="2016"/>
      <c r="AV32" s="2016"/>
      <c r="AW32" s="2016"/>
      <c r="AX32" s="2016"/>
      <c r="AY32" s="2016"/>
      <c r="AZ32" s="2016"/>
      <c r="BA32" s="2016"/>
      <c r="BB32" s="2016"/>
      <c r="BC32" s="2016"/>
      <c r="BD32" s="2016"/>
      <c r="BE32" s="2016"/>
      <c r="BF32" s="2016"/>
      <c r="BG32" s="2016"/>
      <c r="BH32" s="2016"/>
      <c r="BI32" s="2016"/>
      <c r="BJ32" s="2016"/>
      <c r="BK32" s="2016"/>
    </row>
    <row r="33" spans="1:63" s="425" customFormat="1" ht="13.5" thickBot="1">
      <c r="A33" s="2112"/>
      <c r="B33" s="2023" t="s">
        <v>1436</v>
      </c>
      <c r="C33" s="2217"/>
      <c r="D33" s="2217"/>
      <c r="E33" s="2218"/>
      <c r="F33" s="2127"/>
      <c r="G33" s="2016"/>
      <c r="H33" s="2016"/>
      <c r="I33" s="2016"/>
      <c r="J33" s="2016"/>
      <c r="K33" s="2016"/>
      <c r="L33" s="2016"/>
      <c r="M33" s="2016"/>
      <c r="N33" s="2016"/>
      <c r="O33" s="2016"/>
      <c r="P33" s="2016"/>
      <c r="Q33" s="2016"/>
      <c r="R33" s="2016"/>
      <c r="S33" s="2016"/>
      <c r="T33" s="2016"/>
      <c r="U33" s="2016"/>
      <c r="V33" s="2016"/>
      <c r="W33" s="2016"/>
      <c r="X33" s="2016"/>
      <c r="Y33" s="2016"/>
      <c r="Z33" s="2016"/>
      <c r="AA33" s="2016"/>
      <c r="AB33" s="2016"/>
      <c r="AC33" s="2016"/>
      <c r="AD33" s="2016"/>
      <c r="AE33" s="2016"/>
      <c r="AF33" s="2016"/>
      <c r="AG33" s="2016"/>
      <c r="AH33" s="2016"/>
      <c r="AI33" s="2016"/>
      <c r="AJ33" s="2016"/>
      <c r="AK33" s="2016"/>
      <c r="AL33" s="2016"/>
      <c r="AM33" s="2016"/>
      <c r="AN33" s="2016"/>
      <c r="AO33" s="2016"/>
      <c r="AP33" s="2016"/>
      <c r="AQ33" s="2016"/>
      <c r="AR33" s="2016"/>
      <c r="AS33" s="2016"/>
      <c r="AT33" s="2016"/>
      <c r="AU33" s="2016"/>
      <c r="AV33" s="2016"/>
      <c r="AW33" s="2016"/>
      <c r="AX33" s="2016"/>
      <c r="AY33" s="2016"/>
      <c r="AZ33" s="2016"/>
      <c r="BA33" s="2016"/>
      <c r="BB33" s="2016"/>
      <c r="BC33" s="2016"/>
      <c r="BD33" s="2016"/>
      <c r="BE33" s="2016"/>
      <c r="BF33" s="2016"/>
      <c r="BG33" s="2016"/>
      <c r="BH33" s="2016"/>
      <c r="BI33" s="2016"/>
      <c r="BJ33" s="2016"/>
      <c r="BK33" s="2016"/>
    </row>
    <row r="34" spans="1:63" s="425" customFormat="1" ht="13.5" thickBot="1">
      <c r="A34" s="2112"/>
      <c r="B34" s="2112"/>
      <c r="C34" s="2020"/>
      <c r="D34" s="2020"/>
      <c r="E34" s="2112"/>
      <c r="F34" s="2127"/>
      <c r="G34" s="2016"/>
      <c r="H34" s="2016"/>
      <c r="I34" s="2016"/>
      <c r="J34" s="2016"/>
      <c r="K34" s="2016"/>
      <c r="L34" s="2016"/>
      <c r="M34" s="2016"/>
      <c r="N34" s="2016"/>
      <c r="O34" s="2016"/>
      <c r="P34" s="2016"/>
      <c r="Q34" s="2016"/>
      <c r="R34" s="2016"/>
      <c r="S34" s="2016"/>
      <c r="T34" s="2016"/>
      <c r="U34" s="2016"/>
      <c r="V34" s="2016"/>
      <c r="W34" s="2016"/>
      <c r="X34" s="2016"/>
      <c r="Y34" s="2016"/>
      <c r="Z34" s="2016"/>
      <c r="AA34" s="2016"/>
      <c r="AB34" s="2016"/>
      <c r="AC34" s="2016"/>
      <c r="AD34" s="2016"/>
      <c r="AE34" s="2016"/>
      <c r="AF34" s="2016"/>
      <c r="AG34" s="2016"/>
      <c r="AH34" s="2016"/>
      <c r="AI34" s="2016"/>
      <c r="AJ34" s="2016"/>
      <c r="AK34" s="2016"/>
      <c r="AL34" s="2016"/>
      <c r="AM34" s="2016"/>
      <c r="AN34" s="2016"/>
      <c r="AO34" s="2016"/>
      <c r="AP34" s="2016"/>
      <c r="AQ34" s="2016"/>
      <c r="AR34" s="2016"/>
      <c r="AS34" s="2016"/>
      <c r="AT34" s="2016"/>
      <c r="AU34" s="2016"/>
      <c r="AV34" s="2016"/>
      <c r="AW34" s="2016"/>
      <c r="AX34" s="2016"/>
      <c r="AY34" s="2016"/>
      <c r="AZ34" s="2016"/>
      <c r="BA34" s="2016"/>
      <c r="BB34" s="2016"/>
      <c r="BC34" s="2016"/>
      <c r="BD34" s="2016"/>
      <c r="BE34" s="2016"/>
      <c r="BF34" s="2016"/>
      <c r="BG34" s="2016"/>
      <c r="BH34" s="2016"/>
      <c r="BI34" s="2016"/>
      <c r="BJ34" s="2016"/>
      <c r="BK34" s="2016"/>
    </row>
    <row r="35" spans="1:63" s="425" customFormat="1" ht="19.5" customHeight="1">
      <c r="A35" s="2112"/>
      <c r="B35" s="2205" t="s">
        <v>1434</v>
      </c>
      <c r="C35" s="2206"/>
      <c r="D35" s="2206"/>
      <c r="E35" s="2207"/>
      <c r="F35" s="2127"/>
      <c r="G35" s="2016"/>
      <c r="H35" s="2016"/>
      <c r="I35" s="2016"/>
      <c r="J35" s="2016"/>
      <c r="K35" s="2016"/>
      <c r="L35" s="2016"/>
      <c r="M35" s="2016"/>
      <c r="N35" s="2016"/>
      <c r="O35" s="2016"/>
      <c r="P35" s="2016"/>
      <c r="Q35" s="2016"/>
      <c r="R35" s="2016"/>
      <c r="S35" s="2016"/>
      <c r="T35" s="2016"/>
      <c r="U35" s="2016"/>
      <c r="V35" s="2016"/>
      <c r="W35" s="2016"/>
      <c r="X35" s="2016"/>
      <c r="Y35" s="2016"/>
      <c r="Z35" s="2016"/>
      <c r="AA35" s="2016"/>
      <c r="AB35" s="2016"/>
      <c r="AC35" s="2016"/>
      <c r="AD35" s="2016"/>
      <c r="AE35" s="2016"/>
      <c r="AF35" s="2016"/>
      <c r="AG35" s="2016"/>
      <c r="AH35" s="2016"/>
      <c r="AI35" s="2016"/>
      <c r="AJ35" s="2016"/>
      <c r="AK35" s="2016"/>
      <c r="AL35" s="2016"/>
      <c r="AM35" s="2016"/>
      <c r="AN35" s="2016"/>
      <c r="AO35" s="2016"/>
      <c r="AP35" s="2016"/>
      <c r="AQ35" s="2016"/>
      <c r="AR35" s="2016"/>
      <c r="AS35" s="2016"/>
      <c r="AT35" s="2016"/>
      <c r="AU35" s="2016"/>
      <c r="AV35" s="2016"/>
      <c r="AW35" s="2016"/>
      <c r="AX35" s="2016"/>
      <c r="AY35" s="2016"/>
      <c r="AZ35" s="2016"/>
      <c r="BA35" s="2016"/>
      <c r="BB35" s="2016"/>
      <c r="BC35" s="2016"/>
      <c r="BD35" s="2016"/>
      <c r="BE35" s="2016"/>
      <c r="BF35" s="2016"/>
      <c r="BG35" s="2016"/>
      <c r="BH35" s="2016"/>
      <c r="BI35" s="2016"/>
      <c r="BJ35" s="2016"/>
      <c r="BK35" s="2016"/>
    </row>
    <row r="36" spans="1:63" s="425" customFormat="1" ht="27" customHeight="1" thickBot="1">
      <c r="A36" s="2112"/>
      <c r="B36" s="2208" t="s">
        <v>1435</v>
      </c>
      <c r="C36" s="2209"/>
      <c r="D36" s="2209"/>
      <c r="E36" s="2210"/>
      <c r="F36" s="2127"/>
      <c r="G36" s="2016"/>
      <c r="H36" s="2016"/>
      <c r="I36" s="2016"/>
      <c r="J36" s="2016"/>
      <c r="K36" s="2016"/>
      <c r="L36" s="2016"/>
      <c r="M36" s="2016"/>
      <c r="N36" s="2016"/>
      <c r="O36" s="2016"/>
      <c r="P36" s="2016"/>
      <c r="Q36" s="2016"/>
      <c r="R36" s="2016"/>
      <c r="S36" s="2016"/>
      <c r="T36" s="2016"/>
      <c r="U36" s="2016"/>
      <c r="V36" s="2016"/>
      <c r="W36" s="2016"/>
      <c r="X36" s="2016"/>
      <c r="Y36" s="2016"/>
      <c r="Z36" s="2016"/>
      <c r="AA36" s="2016"/>
      <c r="AB36" s="2016"/>
      <c r="AC36" s="2016"/>
      <c r="AD36" s="2016"/>
      <c r="AE36" s="2016"/>
      <c r="AF36" s="2016"/>
      <c r="AG36" s="2016"/>
      <c r="AH36" s="2016"/>
      <c r="AI36" s="2016"/>
      <c r="AJ36" s="2016"/>
      <c r="AK36" s="2016"/>
      <c r="AL36" s="2016"/>
      <c r="AM36" s="2016"/>
      <c r="AN36" s="2016"/>
      <c r="AO36" s="2016"/>
      <c r="AP36" s="2016"/>
      <c r="AQ36" s="2016"/>
      <c r="AR36" s="2016"/>
      <c r="AS36" s="2016"/>
      <c r="AT36" s="2016"/>
      <c r="AU36" s="2016"/>
      <c r="AV36" s="2016"/>
      <c r="AW36" s="2016"/>
      <c r="AX36" s="2016"/>
      <c r="AY36" s="2016"/>
      <c r="AZ36" s="2016"/>
      <c r="BA36" s="2016"/>
      <c r="BB36" s="2016"/>
      <c r="BC36" s="2016"/>
      <c r="BD36" s="2016"/>
      <c r="BE36" s="2016"/>
      <c r="BF36" s="2016"/>
      <c r="BG36" s="2016"/>
      <c r="BH36" s="2016"/>
      <c r="BI36" s="2016"/>
      <c r="BJ36" s="2016"/>
      <c r="BK36" s="2016"/>
    </row>
    <row r="37" spans="1:63" s="425" customFormat="1" ht="28.5" customHeight="1" thickBot="1">
      <c r="A37" s="2112"/>
      <c r="B37" s="1346" t="s">
        <v>1461</v>
      </c>
      <c r="C37" s="2028" t="s">
        <v>1431</v>
      </c>
      <c r="D37" s="2028" t="s">
        <v>1432</v>
      </c>
      <c r="E37" s="2028" t="s">
        <v>1433</v>
      </c>
      <c r="F37" s="2127"/>
      <c r="G37" s="2202" t="s">
        <v>2073</v>
      </c>
      <c r="H37" s="2203"/>
      <c r="I37" s="2204"/>
      <c r="J37" s="2016"/>
      <c r="K37" s="2016"/>
      <c r="L37" s="2016"/>
      <c r="M37" s="2016"/>
      <c r="N37" s="2016"/>
      <c r="O37" s="2016"/>
      <c r="P37" s="2016"/>
      <c r="Q37" s="2016"/>
      <c r="R37" s="2016"/>
      <c r="S37" s="2016"/>
      <c r="T37" s="2016"/>
      <c r="U37" s="2016"/>
      <c r="V37" s="2016"/>
      <c r="W37" s="2016"/>
      <c r="X37" s="2016"/>
      <c r="Y37" s="2016"/>
      <c r="Z37" s="2016"/>
      <c r="AA37" s="2016"/>
      <c r="AB37" s="2016"/>
      <c r="AC37" s="2016"/>
      <c r="AD37" s="2016"/>
      <c r="AE37" s="2016"/>
      <c r="AF37" s="2016"/>
      <c r="AG37" s="2016"/>
      <c r="AH37" s="2016"/>
      <c r="AI37" s="2016"/>
      <c r="AJ37" s="2016"/>
      <c r="AK37" s="2016"/>
      <c r="AL37" s="2016"/>
      <c r="AM37" s="2016"/>
      <c r="AN37" s="2016"/>
      <c r="AO37" s="2016"/>
      <c r="AP37" s="2016"/>
      <c r="AQ37" s="2016"/>
      <c r="AR37" s="2016"/>
      <c r="AS37" s="2016"/>
      <c r="AT37" s="2016"/>
      <c r="AU37" s="2016"/>
      <c r="AV37" s="2016"/>
      <c r="AW37" s="2016"/>
      <c r="AX37" s="2016"/>
      <c r="AY37" s="2016"/>
      <c r="AZ37" s="2016"/>
      <c r="BA37" s="2016"/>
      <c r="BB37" s="2016"/>
      <c r="BC37" s="2016"/>
      <c r="BD37" s="2016"/>
      <c r="BE37" s="2016"/>
      <c r="BF37" s="2016"/>
      <c r="BG37" s="2016"/>
      <c r="BH37" s="2016"/>
      <c r="BI37" s="2016"/>
      <c r="BJ37" s="2016"/>
      <c r="BK37" s="2016"/>
    </row>
    <row r="38" spans="1:63" s="425" customFormat="1" ht="15" customHeight="1">
      <c r="A38" s="2112"/>
      <c r="B38" s="1347" t="str">
        <f>B130&amp;" area in m²:"</f>
        <v>Cellular office area in m²:</v>
      </c>
      <c r="C38" s="2134"/>
      <c r="D38" s="2134"/>
      <c r="E38" s="2134"/>
      <c r="F38" s="2127"/>
      <c r="G38" s="2029">
        <f>SUM(C38:E38)</f>
        <v>0</v>
      </c>
      <c r="H38" s="2030" t="s">
        <v>982</v>
      </c>
      <c r="I38" s="2031"/>
      <c r="J38" s="2016"/>
      <c r="K38" s="2016"/>
      <c r="L38" s="2016"/>
      <c r="M38" s="2016"/>
      <c r="N38" s="2016"/>
      <c r="O38" s="2016"/>
      <c r="P38" s="2016"/>
      <c r="Q38" s="2016"/>
      <c r="R38" s="2016"/>
      <c r="S38" s="2016"/>
      <c r="T38" s="2016"/>
      <c r="U38" s="2016"/>
      <c r="V38" s="2016"/>
      <c r="W38" s="2016"/>
      <c r="X38" s="2016"/>
      <c r="Y38" s="2016"/>
      <c r="Z38" s="2016"/>
      <c r="AA38" s="2016"/>
      <c r="AB38" s="2016"/>
      <c r="AC38" s="2016"/>
      <c r="AD38" s="2016"/>
      <c r="AE38" s="2016"/>
      <c r="AF38" s="2016"/>
      <c r="AG38" s="2016"/>
      <c r="AH38" s="2016"/>
      <c r="AI38" s="2016"/>
      <c r="AJ38" s="2016"/>
      <c r="AK38" s="2016"/>
      <c r="AL38" s="2016"/>
      <c r="AM38" s="2016"/>
      <c r="AN38" s="2016"/>
      <c r="AO38" s="2016"/>
      <c r="AP38" s="2016"/>
      <c r="AQ38" s="2016"/>
      <c r="AR38" s="2016"/>
      <c r="AS38" s="2016"/>
      <c r="AT38" s="2016"/>
      <c r="AU38" s="2016"/>
      <c r="AV38" s="2016"/>
      <c r="AW38" s="2016"/>
      <c r="AX38" s="2016"/>
      <c r="AY38" s="2016"/>
      <c r="AZ38" s="2016"/>
      <c r="BA38" s="2016"/>
      <c r="BB38" s="2016"/>
      <c r="BC38" s="2016"/>
      <c r="BD38" s="2016"/>
      <c r="BE38" s="2016"/>
      <c r="BF38" s="2016"/>
      <c r="BG38" s="2016"/>
      <c r="BH38" s="2016"/>
      <c r="BI38" s="2016"/>
      <c r="BJ38" s="2016"/>
      <c r="BK38" s="2016"/>
    </row>
    <row r="39" spans="1:63" s="425" customFormat="1" ht="15" customHeight="1">
      <c r="A39" s="2112"/>
      <c r="B39" s="1348" t="str">
        <f t="shared" ref="B39:B55" si="0">B131&amp;" area in m²:"</f>
        <v>Changing facilities area in m²:</v>
      </c>
      <c r="C39" s="2135"/>
      <c r="D39" s="2135"/>
      <c r="E39" s="2135"/>
      <c r="F39" s="2127"/>
      <c r="G39" s="2032" t="s">
        <v>2074</v>
      </c>
      <c r="H39" s="2030"/>
      <c r="I39" s="2031"/>
      <c r="J39" s="2016"/>
      <c r="K39" s="2016"/>
      <c r="L39" s="2016"/>
      <c r="M39" s="2016"/>
      <c r="N39" s="2016"/>
      <c r="O39" s="2016"/>
      <c r="P39" s="2016"/>
      <c r="Q39" s="2016"/>
      <c r="R39" s="2016"/>
      <c r="S39" s="2016"/>
      <c r="T39" s="2016"/>
      <c r="U39" s="2016"/>
      <c r="V39" s="2016"/>
      <c r="W39" s="2016"/>
      <c r="X39" s="2016"/>
      <c r="Y39" s="2016"/>
      <c r="Z39" s="2016"/>
      <c r="AA39" s="2016"/>
      <c r="AB39" s="2016"/>
      <c r="AC39" s="2016"/>
      <c r="AD39" s="2016"/>
      <c r="AE39" s="2016"/>
      <c r="AF39" s="2016"/>
      <c r="AG39" s="2016"/>
      <c r="AH39" s="2016"/>
      <c r="AI39" s="2016"/>
      <c r="AJ39" s="2016"/>
      <c r="AK39" s="2016"/>
      <c r="AL39" s="2016"/>
      <c r="AM39" s="2016"/>
      <c r="AN39" s="2016"/>
      <c r="AO39" s="2016"/>
      <c r="AP39" s="2016"/>
      <c r="AQ39" s="2016"/>
      <c r="AR39" s="2016"/>
      <c r="AS39" s="2016"/>
      <c r="AT39" s="2016"/>
      <c r="AU39" s="2016"/>
      <c r="AV39" s="2016"/>
      <c r="AW39" s="2016"/>
      <c r="AX39" s="2016"/>
      <c r="AY39" s="2016"/>
      <c r="AZ39" s="2016"/>
      <c r="BA39" s="2016"/>
      <c r="BB39" s="2016"/>
      <c r="BC39" s="2016"/>
      <c r="BD39" s="2016"/>
      <c r="BE39" s="2016"/>
      <c r="BF39" s="2016"/>
      <c r="BG39" s="2016"/>
      <c r="BH39" s="2016"/>
      <c r="BI39" s="2016"/>
      <c r="BJ39" s="2016"/>
      <c r="BK39" s="2016"/>
    </row>
    <row r="40" spans="1:63" s="425" customFormat="1" ht="15" customHeight="1">
      <c r="A40" s="2112"/>
      <c r="B40" s="1348" t="str">
        <f t="shared" si="0"/>
        <v>Circulation area (corridors and stairways) - non public area in m²:</v>
      </c>
      <c r="C40" s="2135"/>
      <c r="D40" s="2135"/>
      <c r="E40" s="2135"/>
      <c r="F40" s="2127"/>
      <c r="G40" s="2033"/>
      <c r="H40" s="2034" t="str">
        <f ca="1">IF(CELL("type",G40)="v","m²","Enter occupied space area")</f>
        <v>Enter occupied space area</v>
      </c>
      <c r="I40" s="2035"/>
      <c r="J40" s="2016"/>
      <c r="K40" s="2016"/>
      <c r="L40" s="2016"/>
      <c r="M40" s="2016"/>
      <c r="N40" s="2016"/>
      <c r="O40" s="2016"/>
      <c r="P40" s="2016"/>
      <c r="Q40" s="2016"/>
      <c r="R40" s="2016"/>
      <c r="S40" s="2016"/>
      <c r="T40" s="2016"/>
      <c r="U40" s="2016"/>
      <c r="V40" s="2016"/>
      <c r="W40" s="2016"/>
      <c r="X40" s="2016"/>
      <c r="Y40" s="2016"/>
      <c r="Z40" s="2016"/>
      <c r="AA40" s="2016"/>
      <c r="AB40" s="2016"/>
      <c r="AC40" s="2016"/>
      <c r="AD40" s="2016"/>
      <c r="AE40" s="2016"/>
      <c r="AF40" s="2016"/>
      <c r="AG40" s="2016"/>
      <c r="AH40" s="2016"/>
      <c r="AI40" s="2016"/>
      <c r="AJ40" s="2016"/>
      <c r="AK40" s="2016"/>
      <c r="AL40" s="2016"/>
      <c r="AM40" s="2016"/>
      <c r="AN40" s="2016"/>
      <c r="AO40" s="2016"/>
      <c r="AP40" s="2016"/>
      <c r="AQ40" s="2016"/>
      <c r="AR40" s="2016"/>
      <c r="AS40" s="2016"/>
      <c r="AT40" s="2016"/>
      <c r="AU40" s="2016"/>
      <c r="AV40" s="2016"/>
      <c r="AW40" s="2016"/>
      <c r="AX40" s="2016"/>
      <c r="AY40" s="2016"/>
      <c r="AZ40" s="2016"/>
      <c r="BA40" s="2016"/>
      <c r="BB40" s="2016"/>
      <c r="BC40" s="2016"/>
      <c r="BD40" s="2016"/>
      <c r="BE40" s="2016"/>
      <c r="BF40" s="2016"/>
      <c r="BG40" s="2016"/>
      <c r="BH40" s="2016"/>
      <c r="BI40" s="2016"/>
      <c r="BJ40" s="2016"/>
      <c r="BK40" s="2016"/>
    </row>
    <row r="41" spans="1:63" s="425" customFormat="1" ht="15" customHeight="1">
      <c r="A41" s="2112"/>
      <c r="B41" s="1348" t="str">
        <f t="shared" si="0"/>
        <v>Common room/staff room/lounge area in m²:</v>
      </c>
      <c r="C41" s="2135"/>
      <c r="D41" s="2135"/>
      <c r="E41" s="2135"/>
      <c r="F41" s="2127"/>
      <c r="G41" s="2029">
        <f>SUM(C41:E41)</f>
        <v>0</v>
      </c>
      <c r="H41" s="2030" t="s">
        <v>982</v>
      </c>
      <c r="I41" s="2031"/>
      <c r="J41" s="2016"/>
      <c r="K41" s="2016"/>
      <c r="L41" s="2016"/>
      <c r="M41" s="2016"/>
      <c r="N41" s="2016"/>
      <c r="O41" s="2016"/>
      <c r="P41" s="2016"/>
      <c r="Q41" s="2016"/>
      <c r="R41" s="2016"/>
      <c r="S41" s="2016"/>
      <c r="T41" s="2016"/>
      <c r="U41" s="2016"/>
      <c r="V41" s="2016"/>
      <c r="W41" s="2016"/>
      <c r="X41" s="2016"/>
      <c r="Y41" s="2016"/>
      <c r="Z41" s="2016"/>
      <c r="AA41" s="2016"/>
      <c r="AB41" s="2016"/>
      <c r="AC41" s="2016"/>
      <c r="AD41" s="2016"/>
      <c r="AE41" s="2016"/>
      <c r="AF41" s="2016"/>
      <c r="AG41" s="2016"/>
      <c r="AH41" s="2016"/>
      <c r="AI41" s="2016"/>
      <c r="AJ41" s="2016"/>
      <c r="AK41" s="2016"/>
      <c r="AL41" s="2016"/>
      <c r="AM41" s="2016"/>
      <c r="AN41" s="2016"/>
      <c r="AO41" s="2016"/>
      <c r="AP41" s="2016"/>
      <c r="AQ41" s="2016"/>
      <c r="AR41" s="2016"/>
      <c r="AS41" s="2016"/>
      <c r="AT41" s="2016"/>
      <c r="AU41" s="2016"/>
      <c r="AV41" s="2016"/>
      <c r="AW41" s="2016"/>
      <c r="AX41" s="2016"/>
      <c r="AY41" s="2016"/>
      <c r="AZ41" s="2016"/>
      <c r="BA41" s="2016"/>
      <c r="BB41" s="2016"/>
      <c r="BC41" s="2016"/>
      <c r="BD41" s="2016"/>
      <c r="BE41" s="2016"/>
      <c r="BF41" s="2016"/>
      <c r="BG41" s="2016"/>
      <c r="BH41" s="2016"/>
      <c r="BI41" s="2016"/>
      <c r="BJ41" s="2016"/>
      <c r="BK41" s="2016"/>
    </row>
    <row r="42" spans="1:63" s="425" customFormat="1" ht="15" customHeight="1">
      <c r="A42" s="2112"/>
      <c r="B42" s="1348" t="str">
        <f t="shared" si="0"/>
        <v>Eating/drinking area in m²:</v>
      </c>
      <c r="C42" s="2135"/>
      <c r="D42" s="2135"/>
      <c r="E42" s="2135"/>
      <c r="F42" s="2127"/>
      <c r="G42" s="2029">
        <f>SUM(C42:E42)</f>
        <v>0</v>
      </c>
      <c r="H42" s="2030" t="s">
        <v>982</v>
      </c>
      <c r="I42" s="2031"/>
      <c r="J42" s="2016"/>
      <c r="K42" s="2016"/>
      <c r="L42" s="2016"/>
      <c r="M42" s="2016"/>
      <c r="N42" s="2016"/>
      <c r="O42" s="2016"/>
      <c r="P42" s="2016"/>
      <c r="Q42" s="2016"/>
      <c r="R42" s="2016"/>
      <c r="S42" s="2016"/>
      <c r="T42" s="2016"/>
      <c r="U42" s="2016"/>
      <c r="V42" s="2016"/>
      <c r="W42" s="2016"/>
      <c r="X42" s="2016"/>
      <c r="Y42" s="2016"/>
      <c r="Z42" s="2016"/>
      <c r="AA42" s="2016"/>
      <c r="AB42" s="2016"/>
      <c r="AC42" s="2016"/>
      <c r="AD42" s="2016"/>
      <c r="AE42" s="2016"/>
      <c r="AF42" s="2016"/>
      <c r="AG42" s="2016"/>
      <c r="AH42" s="2016"/>
      <c r="AI42" s="2016"/>
      <c r="AJ42" s="2016"/>
      <c r="AK42" s="2016"/>
      <c r="AL42" s="2016"/>
      <c r="AM42" s="2016"/>
      <c r="AN42" s="2016"/>
      <c r="AO42" s="2016"/>
      <c r="AP42" s="2016"/>
      <c r="AQ42" s="2016"/>
      <c r="AR42" s="2016"/>
      <c r="AS42" s="2016"/>
      <c r="AT42" s="2016"/>
      <c r="AU42" s="2016"/>
      <c r="AV42" s="2016"/>
      <c r="AW42" s="2016"/>
      <c r="AX42" s="2016"/>
      <c r="AY42" s="2016"/>
      <c r="AZ42" s="2016"/>
      <c r="BA42" s="2016"/>
      <c r="BB42" s="2016"/>
      <c r="BC42" s="2016"/>
      <c r="BD42" s="2016"/>
      <c r="BE42" s="2016"/>
      <c r="BF42" s="2016"/>
      <c r="BG42" s="2016"/>
      <c r="BH42" s="2016"/>
      <c r="BI42" s="2016"/>
      <c r="BJ42" s="2016"/>
      <c r="BK42" s="2016"/>
    </row>
    <row r="43" spans="1:63" s="425" customFormat="1" ht="15" customHeight="1">
      <c r="A43" s="2112"/>
      <c r="B43" s="1348" t="str">
        <f t="shared" si="0"/>
        <v>Food preparation area in m²:</v>
      </c>
      <c r="C43" s="2135"/>
      <c r="D43" s="2135"/>
      <c r="E43" s="2135"/>
      <c r="F43" s="2127"/>
      <c r="G43" s="2029">
        <f>SUM(C43:E43)</f>
        <v>0</v>
      </c>
      <c r="H43" s="2030" t="s">
        <v>982</v>
      </c>
      <c r="I43" s="2031"/>
      <c r="J43" s="2016"/>
      <c r="K43" s="2016"/>
      <c r="L43" s="2016"/>
      <c r="M43" s="2016"/>
      <c r="N43" s="2016"/>
      <c r="O43" s="2016"/>
      <c r="P43" s="2016"/>
      <c r="Q43" s="2016"/>
      <c r="R43" s="2016"/>
      <c r="S43" s="2016"/>
      <c r="T43" s="2016"/>
      <c r="U43" s="2016"/>
      <c r="V43" s="2016"/>
      <c r="W43" s="2016"/>
      <c r="X43" s="2016"/>
      <c r="Y43" s="2016"/>
      <c r="Z43" s="2016"/>
      <c r="AA43" s="2016"/>
      <c r="AB43" s="2016"/>
      <c r="AC43" s="2016"/>
      <c r="AD43" s="2016"/>
      <c r="AE43" s="2016"/>
      <c r="AF43" s="2016"/>
      <c r="AG43" s="2016"/>
      <c r="AH43" s="2016"/>
      <c r="AI43" s="2016"/>
      <c r="AJ43" s="2016"/>
      <c r="AK43" s="2016"/>
      <c r="AL43" s="2016"/>
      <c r="AM43" s="2016"/>
      <c r="AN43" s="2016"/>
      <c r="AO43" s="2016"/>
      <c r="AP43" s="2016"/>
      <c r="AQ43" s="2016"/>
      <c r="AR43" s="2016"/>
      <c r="AS43" s="2016"/>
      <c r="AT43" s="2016"/>
      <c r="AU43" s="2016"/>
      <c r="AV43" s="2016"/>
      <c r="AW43" s="2016"/>
      <c r="AX43" s="2016"/>
      <c r="AY43" s="2016"/>
      <c r="AZ43" s="2016"/>
      <c r="BA43" s="2016"/>
      <c r="BB43" s="2016"/>
      <c r="BC43" s="2016"/>
      <c r="BD43" s="2016"/>
      <c r="BE43" s="2016"/>
      <c r="BF43" s="2016"/>
      <c r="BG43" s="2016"/>
      <c r="BH43" s="2016"/>
      <c r="BI43" s="2016"/>
      <c r="BJ43" s="2016"/>
      <c r="BK43" s="2016"/>
    </row>
    <row r="44" spans="1:63" s="425" customFormat="1" ht="15" customHeight="1">
      <c r="A44" s="2112"/>
      <c r="B44" s="1348" t="str">
        <f t="shared" si="0"/>
        <v>Hall/lecture theatre/assembly area in m²:</v>
      </c>
      <c r="C44" s="2135"/>
      <c r="D44" s="2135"/>
      <c r="E44" s="2135"/>
      <c r="F44" s="2127"/>
      <c r="G44" s="2029">
        <f>SUM(C44:E44)</f>
        <v>0</v>
      </c>
      <c r="H44" s="2030" t="s">
        <v>982</v>
      </c>
      <c r="I44" s="2031"/>
      <c r="J44" s="2016"/>
      <c r="K44" s="2016"/>
      <c r="L44" s="2016"/>
      <c r="M44" s="2016"/>
      <c r="N44" s="2016"/>
      <c r="O44" s="2016"/>
      <c r="P44" s="2016"/>
      <c r="Q44" s="2016"/>
      <c r="R44" s="2016"/>
      <c r="S44" s="2016"/>
      <c r="T44" s="2016"/>
      <c r="U44" s="2016"/>
      <c r="V44" s="2016"/>
      <c r="W44" s="2016"/>
      <c r="X44" s="2016"/>
      <c r="Y44" s="2016"/>
      <c r="Z44" s="2016"/>
      <c r="AA44" s="2016"/>
      <c r="AB44" s="2016"/>
      <c r="AC44" s="2016"/>
      <c r="AD44" s="2016"/>
      <c r="AE44" s="2016"/>
      <c r="AF44" s="2016"/>
      <c r="AG44" s="2016"/>
      <c r="AH44" s="2016"/>
      <c r="AI44" s="2016"/>
      <c r="AJ44" s="2016"/>
      <c r="AK44" s="2016"/>
      <c r="AL44" s="2016"/>
      <c r="AM44" s="2016"/>
      <c r="AN44" s="2016"/>
      <c r="AO44" s="2016"/>
      <c r="AP44" s="2016"/>
      <c r="AQ44" s="2016"/>
      <c r="AR44" s="2016"/>
      <c r="AS44" s="2016"/>
      <c r="AT44" s="2016"/>
      <c r="AU44" s="2016"/>
      <c r="AV44" s="2016"/>
      <c r="AW44" s="2016"/>
      <c r="AX44" s="2016"/>
      <c r="AY44" s="2016"/>
      <c r="AZ44" s="2016"/>
      <c r="BA44" s="2016"/>
      <c r="BB44" s="2016"/>
      <c r="BC44" s="2016"/>
      <c r="BD44" s="2016"/>
      <c r="BE44" s="2016"/>
      <c r="BF44" s="2016"/>
      <c r="BG44" s="2016"/>
      <c r="BH44" s="2016"/>
      <c r="BI44" s="2016"/>
      <c r="BJ44" s="2016"/>
      <c r="BK44" s="2016"/>
    </row>
    <row r="45" spans="1:63" s="425" customFormat="1" ht="15" customHeight="1">
      <c r="A45" s="2112"/>
      <c r="B45" s="1348" t="str">
        <f t="shared" si="0"/>
        <v>High density IT work space area in m²:</v>
      </c>
      <c r="C45" s="2135"/>
      <c r="D45" s="2135"/>
      <c r="E45" s="2135"/>
      <c r="F45" s="2127"/>
      <c r="G45" s="2029">
        <f>SUM(C45:E45)</f>
        <v>0</v>
      </c>
      <c r="H45" s="2030" t="s">
        <v>982</v>
      </c>
      <c r="I45" s="2031"/>
      <c r="J45" s="2016"/>
      <c r="K45" s="2016"/>
      <c r="L45" s="2016"/>
      <c r="M45" s="2016"/>
      <c r="N45" s="2016"/>
      <c r="O45" s="2016"/>
      <c r="P45" s="2016"/>
      <c r="Q45" s="2016"/>
      <c r="R45" s="2016"/>
      <c r="S45" s="2016"/>
      <c r="T45" s="2016"/>
      <c r="U45" s="2016"/>
      <c r="V45" s="2016"/>
      <c r="W45" s="2016"/>
      <c r="X45" s="2016"/>
      <c r="Y45" s="2016"/>
      <c r="Z45" s="2016"/>
      <c r="AA45" s="2016"/>
      <c r="AB45" s="2016"/>
      <c r="AC45" s="2016"/>
      <c r="AD45" s="2016"/>
      <c r="AE45" s="2016"/>
      <c r="AF45" s="2016"/>
      <c r="AG45" s="2016"/>
      <c r="AH45" s="2016"/>
      <c r="AI45" s="2016"/>
      <c r="AJ45" s="2016"/>
      <c r="AK45" s="2016"/>
      <c r="AL45" s="2016"/>
      <c r="AM45" s="2016"/>
      <c r="AN45" s="2016"/>
      <c r="AO45" s="2016"/>
      <c r="AP45" s="2016"/>
      <c r="AQ45" s="2016"/>
      <c r="AR45" s="2016"/>
      <c r="AS45" s="2016"/>
      <c r="AT45" s="2016"/>
      <c r="AU45" s="2016"/>
      <c r="AV45" s="2016"/>
      <c r="AW45" s="2016"/>
      <c r="AX45" s="2016"/>
      <c r="AY45" s="2016"/>
      <c r="AZ45" s="2016"/>
      <c r="BA45" s="2016"/>
      <c r="BB45" s="2016"/>
      <c r="BC45" s="2016"/>
      <c r="BD45" s="2016"/>
      <c r="BE45" s="2016"/>
      <c r="BF45" s="2016"/>
      <c r="BG45" s="2016"/>
      <c r="BH45" s="2016"/>
      <c r="BI45" s="2016"/>
      <c r="BJ45" s="2016"/>
      <c r="BK45" s="2016"/>
    </row>
    <row r="46" spans="1:63" s="425" customFormat="1" ht="15" customHeight="1">
      <c r="A46" s="2112"/>
      <c r="B46" s="1348" t="str">
        <f t="shared" si="0"/>
        <v>IT equipment area in m²:</v>
      </c>
      <c r="C46" s="2135"/>
      <c r="D46" s="2135"/>
      <c r="E46" s="2135"/>
      <c r="F46" s="2127"/>
      <c r="G46" s="2032" t="s">
        <v>2074</v>
      </c>
      <c r="H46" s="2030"/>
      <c r="I46" s="2031"/>
      <c r="J46" s="2016"/>
      <c r="K46" s="2016"/>
      <c r="L46" s="2016"/>
      <c r="M46" s="2016"/>
      <c r="N46" s="2016"/>
      <c r="O46" s="2016"/>
      <c r="P46" s="2016"/>
      <c r="Q46" s="2016"/>
      <c r="R46" s="2016"/>
      <c r="S46" s="2016"/>
      <c r="T46" s="2016"/>
      <c r="U46" s="2016"/>
      <c r="V46" s="2016"/>
      <c r="W46" s="2016"/>
      <c r="X46" s="2016"/>
      <c r="Y46" s="2016"/>
      <c r="Z46" s="2016"/>
      <c r="AA46" s="2016"/>
      <c r="AB46" s="2016"/>
      <c r="AC46" s="2016"/>
      <c r="AD46" s="2016"/>
      <c r="AE46" s="2016"/>
      <c r="AF46" s="2016"/>
      <c r="AG46" s="2016"/>
      <c r="AH46" s="2016"/>
      <c r="AI46" s="2016"/>
      <c r="AJ46" s="2016"/>
      <c r="AK46" s="2016"/>
      <c r="AL46" s="2016"/>
      <c r="AM46" s="2016"/>
      <c r="AN46" s="2016"/>
      <c r="AO46" s="2016"/>
      <c r="AP46" s="2016"/>
      <c r="AQ46" s="2016"/>
      <c r="AR46" s="2016"/>
      <c r="AS46" s="2016"/>
      <c r="AT46" s="2016"/>
      <c r="AU46" s="2016"/>
      <c r="AV46" s="2016"/>
      <c r="AW46" s="2016"/>
      <c r="AX46" s="2016"/>
      <c r="AY46" s="2016"/>
      <c r="AZ46" s="2016"/>
      <c r="BA46" s="2016"/>
      <c r="BB46" s="2016"/>
      <c r="BC46" s="2016"/>
      <c r="BD46" s="2016"/>
      <c r="BE46" s="2016"/>
      <c r="BF46" s="2016"/>
      <c r="BG46" s="2016"/>
      <c r="BH46" s="2016"/>
      <c r="BI46" s="2016"/>
      <c r="BJ46" s="2016"/>
      <c r="BK46" s="2016"/>
    </row>
    <row r="47" spans="1:63" s="425" customFormat="1" ht="15" customHeight="1">
      <c r="A47" s="2112"/>
      <c r="B47" s="1348" t="str">
        <f t="shared" si="0"/>
        <v>Meeting room area in m²:</v>
      </c>
      <c r="C47" s="2135"/>
      <c r="D47" s="2135"/>
      <c r="E47" s="2135"/>
      <c r="F47" s="2127"/>
      <c r="G47" s="2029">
        <f>SUM(C47:E47)</f>
        <v>0</v>
      </c>
      <c r="H47" s="2030" t="s">
        <v>982</v>
      </c>
      <c r="I47" s="2031"/>
      <c r="J47" s="2016"/>
      <c r="K47" s="2016"/>
      <c r="L47" s="2016"/>
      <c r="M47" s="2016"/>
      <c r="N47" s="2016"/>
      <c r="O47" s="2016"/>
      <c r="P47" s="2016"/>
      <c r="Q47" s="2016"/>
      <c r="R47" s="2016"/>
      <c r="S47" s="2016"/>
      <c r="T47" s="2016"/>
      <c r="U47" s="2016"/>
      <c r="V47" s="2016"/>
      <c r="W47" s="2016"/>
      <c r="X47" s="2016"/>
      <c r="Y47" s="2016"/>
      <c r="Z47" s="2016"/>
      <c r="AA47" s="2016"/>
      <c r="AB47" s="2016"/>
      <c r="AC47" s="2016"/>
      <c r="AD47" s="2016"/>
      <c r="AE47" s="2016"/>
      <c r="AF47" s="2016"/>
      <c r="AG47" s="2016"/>
      <c r="AH47" s="2016"/>
      <c r="AI47" s="2016"/>
      <c r="AJ47" s="2016"/>
      <c r="AK47" s="2016"/>
      <c r="AL47" s="2016"/>
      <c r="AM47" s="2016"/>
      <c r="AN47" s="2016"/>
      <c r="AO47" s="2016"/>
      <c r="AP47" s="2016"/>
      <c r="AQ47" s="2016"/>
      <c r="AR47" s="2016"/>
      <c r="AS47" s="2016"/>
      <c r="AT47" s="2016"/>
      <c r="AU47" s="2016"/>
      <c r="AV47" s="2016"/>
      <c r="AW47" s="2016"/>
      <c r="AX47" s="2016"/>
      <c r="AY47" s="2016"/>
      <c r="AZ47" s="2016"/>
      <c r="BA47" s="2016"/>
      <c r="BB47" s="2016"/>
      <c r="BC47" s="2016"/>
      <c r="BD47" s="2016"/>
      <c r="BE47" s="2016"/>
      <c r="BF47" s="2016"/>
      <c r="BG47" s="2016"/>
      <c r="BH47" s="2016"/>
      <c r="BI47" s="2016"/>
      <c r="BJ47" s="2016"/>
      <c r="BK47" s="2016"/>
    </row>
    <row r="48" spans="1:63" s="425" customFormat="1" ht="15" customHeight="1">
      <c r="A48" s="2112"/>
      <c r="B48" s="1348" t="str">
        <f t="shared" si="0"/>
        <v>Open plan office area in m²:</v>
      </c>
      <c r="C48" s="2135"/>
      <c r="D48" s="2135"/>
      <c r="E48" s="2135"/>
      <c r="F48" s="2127"/>
      <c r="G48" s="2029">
        <f>SUM(C48:E48)</f>
        <v>0</v>
      </c>
      <c r="H48" s="2030" t="s">
        <v>982</v>
      </c>
      <c r="I48" s="2031"/>
      <c r="J48" s="2016"/>
      <c r="K48" s="2016"/>
      <c r="L48" s="2016"/>
      <c r="M48" s="2016"/>
      <c r="N48" s="2016"/>
      <c r="O48" s="2016"/>
      <c r="P48" s="2016"/>
      <c r="Q48" s="2016"/>
      <c r="R48" s="2016"/>
      <c r="S48" s="2016"/>
      <c r="T48" s="2016"/>
      <c r="U48" s="2016"/>
      <c r="V48" s="2016"/>
      <c r="W48" s="2016"/>
      <c r="X48" s="2016"/>
      <c r="Y48" s="2016"/>
      <c r="Z48" s="2016"/>
      <c r="AA48" s="2016"/>
      <c r="AB48" s="2016"/>
      <c r="AC48" s="2016"/>
      <c r="AD48" s="2016"/>
      <c r="AE48" s="2016"/>
      <c r="AF48" s="2016"/>
      <c r="AG48" s="2016"/>
      <c r="AH48" s="2016"/>
      <c r="AI48" s="2016"/>
      <c r="AJ48" s="2016"/>
      <c r="AK48" s="2016"/>
      <c r="AL48" s="2016"/>
      <c r="AM48" s="2016"/>
      <c r="AN48" s="2016"/>
      <c r="AO48" s="2016"/>
      <c r="AP48" s="2016"/>
      <c r="AQ48" s="2016"/>
      <c r="AR48" s="2016"/>
      <c r="AS48" s="2016"/>
      <c r="AT48" s="2016"/>
      <c r="AU48" s="2016"/>
      <c r="AV48" s="2016"/>
      <c r="AW48" s="2016"/>
      <c r="AX48" s="2016"/>
      <c r="AY48" s="2016"/>
      <c r="AZ48" s="2016"/>
      <c r="BA48" s="2016"/>
      <c r="BB48" s="2016"/>
      <c r="BC48" s="2016"/>
      <c r="BD48" s="2016"/>
      <c r="BE48" s="2016"/>
      <c r="BF48" s="2016"/>
      <c r="BG48" s="2016"/>
      <c r="BH48" s="2016"/>
      <c r="BI48" s="2016"/>
      <c r="BJ48" s="2016"/>
      <c r="BK48" s="2016"/>
    </row>
    <row r="49" spans="1:63" s="425" customFormat="1" ht="15" customHeight="1">
      <c r="A49" s="2112"/>
      <c r="B49" s="1348" t="str">
        <f t="shared" si="0"/>
        <v>Plant room area in m²:</v>
      </c>
      <c r="C49" s="2135"/>
      <c r="D49" s="2135"/>
      <c r="E49" s="2135"/>
      <c r="F49" s="2127"/>
      <c r="G49" s="2032" t="s">
        <v>2074</v>
      </c>
      <c r="H49" s="2030"/>
      <c r="I49" s="2031"/>
      <c r="J49" s="2016"/>
      <c r="K49" s="2016"/>
      <c r="L49" s="2016"/>
      <c r="M49" s="2016"/>
      <c r="N49" s="2016"/>
      <c r="O49" s="2016"/>
      <c r="P49" s="2016"/>
      <c r="Q49" s="2016"/>
      <c r="R49" s="2016"/>
      <c r="S49" s="2016"/>
      <c r="T49" s="2016"/>
      <c r="U49" s="2016"/>
      <c r="V49" s="2016"/>
      <c r="W49" s="2016"/>
      <c r="X49" s="2016"/>
      <c r="Y49" s="2016"/>
      <c r="Z49" s="2016"/>
      <c r="AA49" s="2016"/>
      <c r="AB49" s="2016"/>
      <c r="AC49" s="2016"/>
      <c r="AD49" s="2016"/>
      <c r="AE49" s="2016"/>
      <c r="AF49" s="2016"/>
      <c r="AG49" s="2016"/>
      <c r="AH49" s="2016"/>
      <c r="AI49" s="2016"/>
      <c r="AJ49" s="2016"/>
      <c r="AK49" s="2016"/>
      <c r="AL49" s="2016"/>
      <c r="AM49" s="2016"/>
      <c r="AN49" s="2016"/>
      <c r="AO49" s="2016"/>
      <c r="AP49" s="2016"/>
      <c r="AQ49" s="2016"/>
      <c r="AR49" s="2016"/>
      <c r="AS49" s="2016"/>
      <c r="AT49" s="2016"/>
      <c r="AU49" s="2016"/>
      <c r="AV49" s="2016"/>
      <c r="AW49" s="2016"/>
      <c r="AX49" s="2016"/>
      <c r="AY49" s="2016"/>
      <c r="AZ49" s="2016"/>
      <c r="BA49" s="2016"/>
      <c r="BB49" s="2016"/>
      <c r="BC49" s="2016"/>
      <c r="BD49" s="2016"/>
      <c r="BE49" s="2016"/>
      <c r="BF49" s="2016"/>
      <c r="BG49" s="2016"/>
      <c r="BH49" s="2016"/>
      <c r="BI49" s="2016"/>
      <c r="BJ49" s="2016"/>
      <c r="BK49" s="2016"/>
    </row>
    <row r="50" spans="1:63" s="425" customFormat="1" ht="15" customHeight="1">
      <c r="A50" s="2112"/>
      <c r="B50" s="1348" t="str">
        <f t="shared" si="0"/>
        <v>Public circulation area in m²:</v>
      </c>
      <c r="C50" s="2135"/>
      <c r="D50" s="2135"/>
      <c r="E50" s="2135"/>
      <c r="F50" s="2127"/>
      <c r="G50" s="2029">
        <f>SUM(C50:E50)</f>
        <v>0</v>
      </c>
      <c r="H50" s="2030" t="s">
        <v>982</v>
      </c>
      <c r="I50" s="2031"/>
      <c r="J50" s="2016"/>
      <c r="K50" s="2016"/>
      <c r="L50" s="2016"/>
      <c r="M50" s="2016"/>
      <c r="N50" s="2016"/>
      <c r="O50" s="2016"/>
      <c r="P50" s="2016"/>
      <c r="Q50" s="2016"/>
      <c r="R50" s="2016"/>
      <c r="S50" s="2016"/>
      <c r="T50" s="2016"/>
      <c r="U50" s="2016"/>
      <c r="V50" s="2016"/>
      <c r="W50" s="2016"/>
      <c r="X50" s="2016"/>
      <c r="Y50" s="2016"/>
      <c r="Z50" s="2016"/>
      <c r="AA50" s="2016"/>
      <c r="AB50" s="2016"/>
      <c r="AC50" s="2016"/>
      <c r="AD50" s="2016"/>
      <c r="AE50" s="2016"/>
      <c r="AF50" s="2016"/>
      <c r="AG50" s="2016"/>
      <c r="AH50" s="2016"/>
      <c r="AI50" s="2016"/>
      <c r="AJ50" s="2016"/>
      <c r="AK50" s="2016"/>
      <c r="AL50" s="2016"/>
      <c r="AM50" s="2016"/>
      <c r="AN50" s="2016"/>
      <c r="AO50" s="2016"/>
      <c r="AP50" s="2016"/>
      <c r="AQ50" s="2016"/>
      <c r="AR50" s="2016"/>
      <c r="AS50" s="2016"/>
      <c r="AT50" s="2016"/>
      <c r="AU50" s="2016"/>
      <c r="AV50" s="2016"/>
      <c r="AW50" s="2016"/>
      <c r="AX50" s="2016"/>
      <c r="AY50" s="2016"/>
      <c r="AZ50" s="2016"/>
      <c r="BA50" s="2016"/>
      <c r="BB50" s="2016"/>
      <c r="BC50" s="2016"/>
      <c r="BD50" s="2016"/>
      <c r="BE50" s="2016"/>
      <c r="BF50" s="2016"/>
      <c r="BG50" s="2016"/>
      <c r="BH50" s="2016"/>
      <c r="BI50" s="2016"/>
      <c r="BJ50" s="2016"/>
      <c r="BK50" s="2016"/>
    </row>
    <row r="51" spans="1:63" s="425" customFormat="1" ht="15" customHeight="1">
      <c r="A51" s="2112"/>
      <c r="B51" s="1348" t="str">
        <f t="shared" si="0"/>
        <v>Reception area in m²:</v>
      </c>
      <c r="C51" s="2135"/>
      <c r="D51" s="2135"/>
      <c r="E51" s="2135"/>
      <c r="F51" s="2127"/>
      <c r="G51" s="2029">
        <f>SUM(C51:E51)</f>
        <v>0</v>
      </c>
      <c r="H51" s="2030" t="s">
        <v>982</v>
      </c>
      <c r="I51" s="2031"/>
      <c r="J51" s="2016"/>
      <c r="K51" s="2016"/>
      <c r="L51" s="2016"/>
      <c r="M51" s="2016"/>
      <c r="N51" s="2016"/>
      <c r="O51" s="2016"/>
      <c r="P51" s="2016"/>
      <c r="Q51" s="2016"/>
      <c r="R51" s="2016"/>
      <c r="S51" s="2016"/>
      <c r="T51" s="2016"/>
      <c r="U51" s="2016"/>
      <c r="V51" s="2016"/>
      <c r="W51" s="2016"/>
      <c r="X51" s="2016"/>
      <c r="Y51" s="2016"/>
      <c r="Z51" s="2016"/>
      <c r="AA51" s="2016"/>
      <c r="AB51" s="2016"/>
      <c r="AC51" s="2016"/>
      <c r="AD51" s="2016"/>
      <c r="AE51" s="2016"/>
      <c r="AF51" s="2016"/>
      <c r="AG51" s="2016"/>
      <c r="AH51" s="2016"/>
      <c r="AI51" s="2016"/>
      <c r="AJ51" s="2016"/>
      <c r="AK51" s="2016"/>
      <c r="AL51" s="2016"/>
      <c r="AM51" s="2016"/>
      <c r="AN51" s="2016"/>
      <c r="AO51" s="2016"/>
      <c r="AP51" s="2016"/>
      <c r="AQ51" s="2016"/>
      <c r="AR51" s="2016"/>
      <c r="AS51" s="2016"/>
      <c r="AT51" s="2016"/>
      <c r="AU51" s="2016"/>
      <c r="AV51" s="2016"/>
      <c r="AW51" s="2016"/>
      <c r="AX51" s="2016"/>
      <c r="AY51" s="2016"/>
      <c r="AZ51" s="2016"/>
      <c r="BA51" s="2016"/>
      <c r="BB51" s="2016"/>
      <c r="BC51" s="2016"/>
      <c r="BD51" s="2016"/>
      <c r="BE51" s="2016"/>
      <c r="BF51" s="2016"/>
      <c r="BG51" s="2016"/>
      <c r="BH51" s="2016"/>
      <c r="BI51" s="2016"/>
      <c r="BJ51" s="2016"/>
      <c r="BK51" s="2016"/>
    </row>
    <row r="52" spans="1:63" s="425" customFormat="1" ht="15" customHeight="1">
      <c r="A52" s="2112"/>
      <c r="B52" s="1348" t="str">
        <f t="shared" si="0"/>
        <v>Storage area in m²:</v>
      </c>
      <c r="C52" s="2135"/>
      <c r="D52" s="2135"/>
      <c r="E52" s="2135"/>
      <c r="F52" s="2127"/>
      <c r="G52" s="2032" t="s">
        <v>2074</v>
      </c>
      <c r="H52" s="2030"/>
      <c r="I52" s="2031"/>
      <c r="J52" s="2016"/>
      <c r="K52" s="2016"/>
      <c r="L52" s="2016"/>
      <c r="M52" s="2016"/>
      <c r="N52" s="2016"/>
      <c r="O52" s="2016"/>
      <c r="P52" s="2016"/>
      <c r="Q52" s="2016"/>
      <c r="R52" s="2016"/>
      <c r="S52" s="2016"/>
      <c r="T52" s="2016"/>
      <c r="U52" s="2016"/>
      <c r="V52" s="2016"/>
      <c r="W52" s="2016"/>
      <c r="X52" s="2016"/>
      <c r="Y52" s="2016"/>
      <c r="Z52" s="2016"/>
      <c r="AA52" s="2016"/>
      <c r="AB52" s="2016"/>
      <c r="AC52" s="2016"/>
      <c r="AD52" s="2016"/>
      <c r="AE52" s="2016"/>
      <c r="AF52" s="2016"/>
      <c r="AG52" s="2016"/>
      <c r="AH52" s="2016"/>
      <c r="AI52" s="2016"/>
      <c r="AJ52" s="2016"/>
      <c r="AK52" s="2016"/>
      <c r="AL52" s="2016"/>
      <c r="AM52" s="2016"/>
      <c r="AN52" s="2016"/>
      <c r="AO52" s="2016"/>
      <c r="AP52" s="2016"/>
      <c r="AQ52" s="2016"/>
      <c r="AR52" s="2016"/>
      <c r="AS52" s="2016"/>
      <c r="AT52" s="2016"/>
      <c r="AU52" s="2016"/>
      <c r="AV52" s="2016"/>
      <c r="AW52" s="2016"/>
      <c r="AX52" s="2016"/>
      <c r="AY52" s="2016"/>
      <c r="AZ52" s="2016"/>
      <c r="BA52" s="2016"/>
      <c r="BB52" s="2016"/>
      <c r="BC52" s="2016"/>
      <c r="BD52" s="2016"/>
      <c r="BE52" s="2016"/>
      <c r="BF52" s="2016"/>
      <c r="BG52" s="2016"/>
      <c r="BH52" s="2016"/>
      <c r="BI52" s="2016"/>
      <c r="BJ52" s="2016"/>
      <c r="BK52" s="2016"/>
    </row>
    <row r="53" spans="1:63" s="425" customFormat="1" ht="15" customHeight="1">
      <c r="A53" s="2112"/>
      <c r="B53" s="1348" t="str">
        <f t="shared" si="0"/>
        <v>Tea Kitchen area in m²:</v>
      </c>
      <c r="C53" s="2135"/>
      <c r="D53" s="2135"/>
      <c r="E53" s="2135"/>
      <c r="F53" s="2127"/>
      <c r="G53" s="2032" t="s">
        <v>2074</v>
      </c>
      <c r="H53" s="2030"/>
      <c r="I53" s="2031"/>
      <c r="J53" s="2016"/>
      <c r="K53" s="2016"/>
      <c r="L53" s="2016"/>
      <c r="M53" s="2016"/>
      <c r="N53" s="2016"/>
      <c r="O53" s="2016"/>
      <c r="P53" s="2016"/>
      <c r="Q53" s="2016"/>
      <c r="R53" s="2016"/>
      <c r="S53" s="2016"/>
      <c r="T53" s="2016"/>
      <c r="U53" s="2016"/>
      <c r="V53" s="2016"/>
      <c r="W53" s="2016"/>
      <c r="X53" s="2016"/>
      <c r="Y53" s="2016"/>
      <c r="Z53" s="2016"/>
      <c r="AA53" s="2016"/>
      <c r="AB53" s="2016"/>
      <c r="AC53" s="2016"/>
      <c r="AD53" s="2016"/>
      <c r="AE53" s="2016"/>
      <c r="AF53" s="2016"/>
      <c r="AG53" s="2016"/>
      <c r="AH53" s="2016"/>
      <c r="AI53" s="2016"/>
      <c r="AJ53" s="2016"/>
      <c r="AK53" s="2016"/>
      <c r="AL53" s="2016"/>
      <c r="AM53" s="2016"/>
      <c r="AN53" s="2016"/>
      <c r="AO53" s="2016"/>
      <c r="AP53" s="2016"/>
      <c r="AQ53" s="2016"/>
      <c r="AR53" s="2016"/>
      <c r="AS53" s="2016"/>
      <c r="AT53" s="2016"/>
      <c r="AU53" s="2016"/>
      <c r="AV53" s="2016"/>
      <c r="AW53" s="2016"/>
      <c r="AX53" s="2016"/>
      <c r="AY53" s="2016"/>
      <c r="AZ53" s="2016"/>
      <c r="BA53" s="2016"/>
      <c r="BB53" s="2016"/>
      <c r="BC53" s="2016"/>
      <c r="BD53" s="2016"/>
      <c r="BE53" s="2016"/>
      <c r="BF53" s="2016"/>
      <c r="BG53" s="2016"/>
      <c r="BH53" s="2016"/>
      <c r="BI53" s="2016"/>
      <c r="BJ53" s="2016"/>
      <c r="BK53" s="2016"/>
    </row>
    <row r="54" spans="1:63" s="425" customFormat="1" ht="15" customHeight="1">
      <c r="A54" s="2112"/>
      <c r="B54" s="1348" t="str">
        <f t="shared" si="0"/>
        <v>Toilet area in m²:</v>
      </c>
      <c r="C54" s="2135"/>
      <c r="D54" s="2135"/>
      <c r="E54" s="2135"/>
      <c r="F54" s="2127"/>
      <c r="G54" s="2032" t="s">
        <v>2074</v>
      </c>
      <c r="H54" s="2030"/>
      <c r="I54" s="2031"/>
      <c r="J54" s="2016"/>
      <c r="K54" s="2016"/>
      <c r="L54" s="2016"/>
      <c r="M54" s="2016"/>
      <c r="N54" s="2016"/>
      <c r="O54" s="2016"/>
      <c r="P54" s="2016"/>
      <c r="Q54" s="2016"/>
      <c r="R54" s="2016"/>
      <c r="S54" s="2016"/>
      <c r="T54" s="2016"/>
      <c r="U54" s="2016"/>
      <c r="V54" s="2016"/>
      <c r="W54" s="2016"/>
      <c r="X54" s="2016"/>
      <c r="Y54" s="2016"/>
      <c r="Z54" s="2016"/>
      <c r="AA54" s="2016"/>
      <c r="AB54" s="2016"/>
      <c r="AC54" s="2016"/>
      <c r="AD54" s="2016"/>
      <c r="AE54" s="2016"/>
      <c r="AF54" s="2016"/>
      <c r="AG54" s="2016"/>
      <c r="AH54" s="2016"/>
      <c r="AI54" s="2016"/>
      <c r="AJ54" s="2016"/>
      <c r="AK54" s="2016"/>
      <c r="AL54" s="2016"/>
      <c r="AM54" s="2016"/>
      <c r="AN54" s="2016"/>
      <c r="AO54" s="2016"/>
      <c r="AP54" s="2016"/>
      <c r="AQ54" s="2016"/>
      <c r="AR54" s="2016"/>
      <c r="AS54" s="2016"/>
      <c r="AT54" s="2016"/>
      <c r="AU54" s="2016"/>
      <c r="AV54" s="2016"/>
      <c r="AW54" s="2016"/>
      <c r="AX54" s="2016"/>
      <c r="AY54" s="2016"/>
      <c r="AZ54" s="2016"/>
      <c r="BA54" s="2016"/>
      <c r="BB54" s="2016"/>
      <c r="BC54" s="2016"/>
      <c r="BD54" s="2016"/>
      <c r="BE54" s="2016"/>
      <c r="BF54" s="2016"/>
      <c r="BG54" s="2016"/>
      <c r="BH54" s="2016"/>
      <c r="BI54" s="2016"/>
      <c r="BJ54" s="2016"/>
      <c r="BK54" s="2016"/>
    </row>
    <row r="55" spans="1:63" s="425" customFormat="1" ht="15" customHeight="1">
      <c r="A55" s="2112"/>
      <c r="B55" s="1348" t="str">
        <f t="shared" si="0"/>
        <v>Internal Covered Vehicle Parking Area (B1, ground and above ground) area in m²:</v>
      </c>
      <c r="C55" s="2136"/>
      <c r="D55" s="2135"/>
      <c r="E55" s="2135"/>
      <c r="F55" s="2127"/>
      <c r="G55" s="2032" t="s">
        <v>2074</v>
      </c>
      <c r="H55" s="2030"/>
      <c r="I55" s="2031"/>
      <c r="J55" s="2016"/>
      <c r="K55" s="2016"/>
      <c r="L55" s="2016"/>
      <c r="M55" s="2016"/>
      <c r="N55" s="2016"/>
      <c r="O55" s="2016"/>
      <c r="P55" s="2016"/>
      <c r="Q55" s="2016"/>
      <c r="R55" s="2016"/>
      <c r="S55" s="2016"/>
      <c r="T55" s="2016"/>
      <c r="U55" s="2016"/>
      <c r="V55" s="2016"/>
      <c r="W55" s="2016"/>
      <c r="X55" s="2016"/>
      <c r="Y55" s="2016"/>
      <c r="Z55" s="2016"/>
      <c r="AA55" s="2016"/>
      <c r="AB55" s="2016"/>
      <c r="AC55" s="2016"/>
      <c r="AD55" s="2016"/>
      <c r="AE55" s="2016"/>
      <c r="AF55" s="2016"/>
      <c r="AG55" s="2016"/>
      <c r="AH55" s="2016"/>
      <c r="AI55" s="2016"/>
      <c r="AJ55" s="2016"/>
      <c r="AK55" s="2016"/>
      <c r="AL55" s="2016"/>
      <c r="AM55" s="2016"/>
      <c r="AN55" s="2016"/>
      <c r="AO55" s="2016"/>
      <c r="AP55" s="2016"/>
      <c r="AQ55" s="2016"/>
      <c r="AR55" s="2016"/>
      <c r="AS55" s="2016"/>
      <c r="AT55" s="2016"/>
      <c r="AU55" s="2016"/>
      <c r="AV55" s="2016"/>
      <c r="AW55" s="2016"/>
      <c r="AX55" s="2016"/>
      <c r="AY55" s="2016"/>
      <c r="AZ55" s="2016"/>
      <c r="BA55" s="2016"/>
      <c r="BB55" s="2016"/>
      <c r="BC55" s="2016"/>
      <c r="BD55" s="2016"/>
      <c r="BE55" s="2016"/>
      <c r="BF55" s="2016"/>
      <c r="BG55" s="2016"/>
      <c r="BH55" s="2016"/>
      <c r="BI55" s="2016"/>
      <c r="BJ55" s="2016"/>
      <c r="BK55" s="2016"/>
    </row>
    <row r="56" spans="1:63" s="425" customFormat="1" ht="15" customHeight="1">
      <c r="A56" s="2112"/>
      <c r="B56" s="1348" t="str">
        <f>B148&amp;" area in m²:"</f>
        <v>Sub-basement Vehicle Parking Area (B2 and below) area in m²:</v>
      </c>
      <c r="C56" s="2136"/>
      <c r="D56" s="2135"/>
      <c r="E56" s="2135"/>
      <c r="F56" s="2127"/>
      <c r="G56" s="2032" t="s">
        <v>2074</v>
      </c>
      <c r="H56" s="2030"/>
      <c r="I56" s="2031"/>
      <c r="J56" s="2016"/>
      <c r="K56" s="2016"/>
      <c r="L56" s="2016"/>
      <c r="M56" s="2016"/>
      <c r="N56" s="2016"/>
      <c r="O56" s="2016"/>
      <c r="P56" s="2016"/>
      <c r="Q56" s="2016"/>
      <c r="R56" s="2016"/>
      <c r="S56" s="2016"/>
      <c r="T56" s="2016"/>
      <c r="U56" s="2016"/>
      <c r="V56" s="2016"/>
      <c r="W56" s="2016"/>
      <c r="X56" s="2016"/>
      <c r="Y56" s="2016"/>
      <c r="Z56" s="2016"/>
      <c r="AA56" s="2016"/>
      <c r="AB56" s="2016"/>
      <c r="AC56" s="2016"/>
      <c r="AD56" s="2016"/>
      <c r="AE56" s="2016"/>
      <c r="AF56" s="2016"/>
      <c r="AG56" s="2016"/>
      <c r="AH56" s="2016"/>
      <c r="AI56" s="2016"/>
      <c r="AJ56" s="2016"/>
      <c r="AK56" s="2016"/>
      <c r="AL56" s="2016"/>
      <c r="AM56" s="2016"/>
      <c r="AN56" s="2016"/>
      <c r="AO56" s="2016"/>
      <c r="AP56" s="2016"/>
      <c r="AQ56" s="2016"/>
      <c r="AR56" s="2016"/>
      <c r="AS56" s="2016"/>
      <c r="AT56" s="2016"/>
      <c r="AU56" s="2016"/>
      <c r="AV56" s="2016"/>
      <c r="AW56" s="2016"/>
      <c r="AX56" s="2016"/>
      <c r="AY56" s="2016"/>
      <c r="AZ56" s="2016"/>
      <c r="BA56" s="2016"/>
      <c r="BB56" s="2016"/>
      <c r="BC56" s="2016"/>
      <c r="BD56" s="2016"/>
      <c r="BE56" s="2016"/>
      <c r="BF56" s="2016"/>
      <c r="BG56" s="2016"/>
      <c r="BH56" s="2016"/>
      <c r="BI56" s="2016"/>
      <c r="BJ56" s="2016"/>
      <c r="BK56" s="2016"/>
    </row>
    <row r="57" spans="1:63" s="425" customFormat="1" ht="15" customHeight="1" thickBot="1">
      <c r="A57" s="2112"/>
      <c r="B57" s="1348" t="str">
        <f>B149&amp;" area in m²:"</f>
        <v>External Area (including external Car Parking) area in m²:</v>
      </c>
      <c r="C57" s="2136"/>
      <c r="D57" s="2136"/>
      <c r="E57" s="2135"/>
      <c r="F57" s="2127"/>
      <c r="G57" s="2032" t="s">
        <v>2074</v>
      </c>
      <c r="H57" s="2030"/>
      <c r="I57" s="2031"/>
      <c r="J57" s="2016"/>
      <c r="K57" s="2016"/>
      <c r="L57" s="2016"/>
      <c r="M57" s="2016"/>
      <c r="N57" s="2016"/>
      <c r="O57" s="2016"/>
      <c r="P57" s="2016"/>
      <c r="Q57" s="2016"/>
      <c r="R57" s="2016"/>
      <c r="S57" s="2016"/>
      <c r="T57" s="2016"/>
      <c r="U57" s="2016"/>
      <c r="V57" s="2016"/>
      <c r="W57" s="2016"/>
      <c r="X57" s="2016"/>
      <c r="Y57" s="2016"/>
      <c r="Z57" s="2016"/>
      <c r="AA57" s="2016"/>
      <c r="AB57" s="2016"/>
      <c r="AC57" s="2016"/>
      <c r="AD57" s="2016"/>
      <c r="AE57" s="2016"/>
      <c r="AF57" s="2016"/>
      <c r="AG57" s="2016"/>
      <c r="AH57" s="2016"/>
      <c r="AI57" s="2016"/>
      <c r="AJ57" s="2016"/>
      <c r="AK57" s="2016"/>
      <c r="AL57" s="2016"/>
      <c r="AM57" s="2016"/>
      <c r="AN57" s="2016"/>
      <c r="AO57" s="2016"/>
      <c r="AP57" s="2016"/>
      <c r="AQ57" s="2016"/>
      <c r="AR57" s="2016"/>
      <c r="AS57" s="2016"/>
      <c r="AT57" s="2016"/>
      <c r="AU57" s="2016"/>
      <c r="AV57" s="2016"/>
      <c r="AW57" s="2016"/>
      <c r="AX57" s="2016"/>
      <c r="AY57" s="2016"/>
      <c r="AZ57" s="2016"/>
      <c r="BA57" s="2016"/>
      <c r="BB57" s="2016"/>
      <c r="BC57" s="2016"/>
      <c r="BD57" s="2016"/>
      <c r="BE57" s="2016"/>
      <c r="BF57" s="2016"/>
      <c r="BG57" s="2016"/>
      <c r="BH57" s="2016"/>
      <c r="BI57" s="2016"/>
      <c r="BJ57" s="2016"/>
      <c r="BK57" s="2016"/>
    </row>
    <row r="58" spans="1:63" s="425" customFormat="1" ht="24.95" customHeight="1" thickBot="1">
      <c r="A58" s="2112"/>
      <c r="B58" s="1349" t="s">
        <v>1462</v>
      </c>
      <c r="C58" s="2028" t="s">
        <v>1431</v>
      </c>
      <c r="D58" s="2028" t="s">
        <v>1432</v>
      </c>
      <c r="E58" s="2028" t="s">
        <v>1433</v>
      </c>
      <c r="F58" s="2127"/>
      <c r="G58" s="2016"/>
      <c r="H58" s="2016"/>
      <c r="I58" s="2016"/>
      <c r="J58" s="2016"/>
      <c r="K58" s="2016"/>
      <c r="L58" s="2016"/>
      <c r="M58" s="2016"/>
      <c r="N58" s="2016"/>
      <c r="O58" s="2016"/>
      <c r="P58" s="2016"/>
      <c r="Q58" s="2016"/>
      <c r="R58" s="2016"/>
      <c r="S58" s="2016"/>
      <c r="T58" s="2016"/>
      <c r="U58" s="2016"/>
      <c r="V58" s="2016"/>
      <c r="W58" s="2016"/>
      <c r="X58" s="2016"/>
      <c r="Y58" s="2016"/>
      <c r="Z58" s="2016"/>
      <c r="AA58" s="2016"/>
      <c r="AB58" s="2016"/>
      <c r="AC58" s="2016"/>
      <c r="AD58" s="2016"/>
      <c r="AE58" s="2016"/>
      <c r="AF58" s="2016"/>
      <c r="AG58" s="2016"/>
      <c r="AH58" s="2016"/>
      <c r="AI58" s="2016"/>
      <c r="AJ58" s="2016"/>
      <c r="AK58" s="2016"/>
      <c r="AL58" s="2016"/>
      <c r="AM58" s="2016"/>
      <c r="AN58" s="2016"/>
      <c r="AO58" s="2016"/>
      <c r="AP58" s="2016"/>
      <c r="AQ58" s="2016"/>
      <c r="AR58" s="2016"/>
      <c r="AS58" s="2016"/>
      <c r="AT58" s="2016"/>
      <c r="AU58" s="2016"/>
      <c r="AV58" s="2016"/>
      <c r="AW58" s="2016"/>
      <c r="AX58" s="2016"/>
      <c r="AY58" s="2016"/>
      <c r="AZ58" s="2016"/>
      <c r="BA58" s="2016"/>
      <c r="BB58" s="2016"/>
      <c r="BC58" s="2016"/>
      <c r="BD58" s="2016"/>
      <c r="BE58" s="2016"/>
      <c r="BF58" s="2016"/>
      <c r="BG58" s="2016"/>
      <c r="BH58" s="2016"/>
      <c r="BI58" s="2016"/>
      <c r="BJ58" s="2016"/>
      <c r="BK58" s="2016"/>
    </row>
    <row r="59" spans="1:63" s="425" customFormat="1" ht="15" customHeight="1">
      <c r="A59" s="2112"/>
      <c r="B59" s="1350" t="str">
        <f t="shared" ref="B59:B75" si="1">B152&amp;" area in m²:"</f>
        <v>Baggage Reclaim area in m²:</v>
      </c>
      <c r="C59" s="2137"/>
      <c r="D59" s="2137"/>
      <c r="E59" s="2137"/>
      <c r="F59" s="2127"/>
      <c r="G59" s="2029">
        <f>SUM(C59:E59)</f>
        <v>0</v>
      </c>
      <c r="H59" s="2030" t="s">
        <v>982</v>
      </c>
      <c r="I59" s="2031"/>
      <c r="J59" s="2016"/>
      <c r="K59" s="2016"/>
      <c r="L59" s="2016"/>
      <c r="M59" s="2016"/>
      <c r="N59" s="2016"/>
      <c r="O59" s="2016"/>
      <c r="P59" s="2016"/>
      <c r="Q59" s="2016"/>
      <c r="R59" s="2016"/>
      <c r="S59" s="2016"/>
      <c r="T59" s="2016"/>
      <c r="U59" s="2016"/>
      <c r="V59" s="2016"/>
      <c r="W59" s="2016"/>
      <c r="X59" s="2016"/>
      <c r="Y59" s="2016"/>
      <c r="Z59" s="2016"/>
      <c r="AA59" s="2016"/>
      <c r="AB59" s="2016"/>
      <c r="AC59" s="2016"/>
      <c r="AD59" s="2016"/>
      <c r="AE59" s="2016"/>
      <c r="AF59" s="2016"/>
      <c r="AG59" s="2016"/>
      <c r="AH59" s="2016"/>
      <c r="AI59" s="2016"/>
      <c r="AJ59" s="2016"/>
      <c r="AK59" s="2016"/>
      <c r="AL59" s="2016"/>
      <c r="AM59" s="2016"/>
      <c r="AN59" s="2016"/>
      <c r="AO59" s="2016"/>
      <c r="AP59" s="2016"/>
      <c r="AQ59" s="2016"/>
      <c r="AR59" s="2016"/>
      <c r="AS59" s="2016"/>
      <c r="AT59" s="2016"/>
      <c r="AU59" s="2016"/>
      <c r="AV59" s="2016"/>
      <c r="AW59" s="2016"/>
      <c r="AX59" s="2016"/>
      <c r="AY59" s="2016"/>
      <c r="AZ59" s="2016"/>
      <c r="BA59" s="2016"/>
      <c r="BB59" s="2016"/>
      <c r="BC59" s="2016"/>
      <c r="BD59" s="2016"/>
      <c r="BE59" s="2016"/>
      <c r="BF59" s="2016"/>
      <c r="BG59" s="2016"/>
      <c r="BH59" s="2016"/>
      <c r="BI59" s="2016"/>
      <c r="BJ59" s="2016"/>
      <c r="BK59" s="2016"/>
    </row>
    <row r="60" spans="1:63" s="425" customFormat="1" ht="15" customHeight="1">
      <c r="A60" s="2112"/>
      <c r="B60" s="1348" t="str">
        <f t="shared" si="1"/>
        <v>Cell (police/prison) area in m²:</v>
      </c>
      <c r="C60" s="2135"/>
      <c r="D60" s="2135"/>
      <c r="E60" s="2135"/>
      <c r="F60" s="2127"/>
      <c r="G60" s="2029">
        <f>SUM(C60:E60)</f>
        <v>0</v>
      </c>
      <c r="H60" s="2030" t="s">
        <v>982</v>
      </c>
      <c r="I60" s="2031"/>
      <c r="J60" s="2016"/>
      <c r="K60" s="2016"/>
      <c r="L60" s="2016"/>
      <c r="M60" s="2016"/>
      <c r="N60" s="2016"/>
      <c r="O60" s="2016"/>
      <c r="P60" s="2016"/>
      <c r="Q60" s="2016"/>
      <c r="R60" s="2016"/>
      <c r="S60" s="2016"/>
      <c r="T60" s="2016"/>
      <c r="U60" s="2016"/>
      <c r="V60" s="2016"/>
      <c r="W60" s="2016"/>
      <c r="X60" s="2016"/>
      <c r="Y60" s="2016"/>
      <c r="Z60" s="2016"/>
      <c r="AA60" s="2016"/>
      <c r="AB60" s="2016"/>
      <c r="AC60" s="2016"/>
      <c r="AD60" s="2016"/>
      <c r="AE60" s="2016"/>
      <c r="AF60" s="2016"/>
      <c r="AG60" s="2016"/>
      <c r="AH60" s="2016"/>
      <c r="AI60" s="2016"/>
      <c r="AJ60" s="2016"/>
      <c r="AK60" s="2016"/>
      <c r="AL60" s="2016"/>
      <c r="AM60" s="2016"/>
      <c r="AN60" s="2016"/>
      <c r="AO60" s="2016"/>
      <c r="AP60" s="2016"/>
      <c r="AQ60" s="2016"/>
      <c r="AR60" s="2016"/>
      <c r="AS60" s="2016"/>
      <c r="AT60" s="2016"/>
      <c r="AU60" s="2016"/>
      <c r="AV60" s="2016"/>
      <c r="AW60" s="2016"/>
      <c r="AX60" s="2016"/>
      <c r="AY60" s="2016"/>
      <c r="AZ60" s="2016"/>
      <c r="BA60" s="2016"/>
      <c r="BB60" s="2016"/>
      <c r="BC60" s="2016"/>
      <c r="BD60" s="2016"/>
      <c r="BE60" s="2016"/>
      <c r="BF60" s="2016"/>
      <c r="BG60" s="2016"/>
      <c r="BH60" s="2016"/>
      <c r="BI60" s="2016"/>
      <c r="BJ60" s="2016"/>
      <c r="BK60" s="2016"/>
    </row>
    <row r="61" spans="1:63" s="425" customFormat="1" ht="15" customHeight="1">
      <c r="A61" s="2112"/>
      <c r="B61" s="1348" t="str">
        <f t="shared" si="1"/>
        <v>Check in area in m²:</v>
      </c>
      <c r="C61" s="2135"/>
      <c r="D61" s="2135"/>
      <c r="E61" s="2135"/>
      <c r="F61" s="2127"/>
      <c r="G61" s="2029">
        <f>SUM(C61:E61)</f>
        <v>0</v>
      </c>
      <c r="H61" s="2030" t="s">
        <v>982</v>
      </c>
      <c r="I61" s="2031"/>
      <c r="J61" s="2016"/>
      <c r="K61" s="2016"/>
      <c r="L61" s="2016"/>
      <c r="M61" s="2016"/>
      <c r="N61" s="2016"/>
      <c r="O61" s="2016"/>
      <c r="P61" s="2016"/>
      <c r="Q61" s="2016"/>
      <c r="R61" s="2016"/>
      <c r="S61" s="2016"/>
      <c r="T61" s="2016"/>
      <c r="U61" s="2016"/>
      <c r="V61" s="2016"/>
      <c r="W61" s="2016"/>
      <c r="X61" s="2016"/>
      <c r="Y61" s="2016"/>
      <c r="Z61" s="2016"/>
      <c r="AA61" s="2016"/>
      <c r="AB61" s="2016"/>
      <c r="AC61" s="2016"/>
      <c r="AD61" s="2016"/>
      <c r="AE61" s="2016"/>
      <c r="AF61" s="2016"/>
      <c r="AG61" s="2016"/>
      <c r="AH61" s="2016"/>
      <c r="AI61" s="2016"/>
      <c r="AJ61" s="2016"/>
      <c r="AK61" s="2016"/>
      <c r="AL61" s="2016"/>
      <c r="AM61" s="2016"/>
      <c r="AN61" s="2016"/>
      <c r="AO61" s="2016"/>
      <c r="AP61" s="2016"/>
      <c r="AQ61" s="2016"/>
      <c r="AR61" s="2016"/>
      <c r="AS61" s="2016"/>
      <c r="AT61" s="2016"/>
      <c r="AU61" s="2016"/>
      <c r="AV61" s="2016"/>
      <c r="AW61" s="2016"/>
      <c r="AX61" s="2016"/>
      <c r="AY61" s="2016"/>
      <c r="AZ61" s="2016"/>
      <c r="BA61" s="2016"/>
      <c r="BB61" s="2016"/>
      <c r="BC61" s="2016"/>
      <c r="BD61" s="2016"/>
      <c r="BE61" s="2016"/>
      <c r="BF61" s="2016"/>
      <c r="BG61" s="2016"/>
      <c r="BH61" s="2016"/>
      <c r="BI61" s="2016"/>
      <c r="BJ61" s="2016"/>
      <c r="BK61" s="2016"/>
    </row>
    <row r="62" spans="1:63" s="425" customFormat="1" ht="15" customHeight="1">
      <c r="A62" s="2112"/>
      <c r="B62" s="1348" t="str">
        <f t="shared" si="1"/>
        <v>Classroom area in m²:</v>
      </c>
      <c r="C62" s="2135"/>
      <c r="D62" s="2135"/>
      <c r="E62" s="2135"/>
      <c r="F62" s="2127"/>
      <c r="G62" s="2029">
        <f>SUM(C62:E62)</f>
        <v>0</v>
      </c>
      <c r="H62" s="2030" t="s">
        <v>982</v>
      </c>
      <c r="I62" s="2031"/>
      <c r="J62" s="2016"/>
      <c r="K62" s="2016"/>
      <c r="L62" s="2016"/>
      <c r="M62" s="2016"/>
      <c r="N62" s="2016"/>
      <c r="O62" s="2016"/>
      <c r="P62" s="2016"/>
      <c r="Q62" s="2016"/>
      <c r="R62" s="2016"/>
      <c r="S62" s="2016"/>
      <c r="T62" s="2016"/>
      <c r="U62" s="2016"/>
      <c r="V62" s="2016"/>
      <c r="W62" s="2016"/>
      <c r="X62" s="2016"/>
      <c r="Y62" s="2016"/>
      <c r="Z62" s="2016"/>
      <c r="AA62" s="2016"/>
      <c r="AB62" s="2016"/>
      <c r="AC62" s="2016"/>
      <c r="AD62" s="2016"/>
      <c r="AE62" s="2016"/>
      <c r="AF62" s="2016"/>
      <c r="AG62" s="2016"/>
      <c r="AH62" s="2016"/>
      <c r="AI62" s="2016"/>
      <c r="AJ62" s="2016"/>
      <c r="AK62" s="2016"/>
      <c r="AL62" s="2016"/>
      <c r="AM62" s="2016"/>
      <c r="AN62" s="2016"/>
      <c r="AO62" s="2016"/>
      <c r="AP62" s="2016"/>
      <c r="AQ62" s="2016"/>
      <c r="AR62" s="2016"/>
      <c r="AS62" s="2016"/>
      <c r="AT62" s="2016"/>
      <c r="AU62" s="2016"/>
      <c r="AV62" s="2016"/>
      <c r="AW62" s="2016"/>
      <c r="AX62" s="2016"/>
      <c r="AY62" s="2016"/>
      <c r="AZ62" s="2016"/>
      <c r="BA62" s="2016"/>
      <c r="BB62" s="2016"/>
      <c r="BC62" s="2016"/>
      <c r="BD62" s="2016"/>
      <c r="BE62" s="2016"/>
      <c r="BF62" s="2016"/>
      <c r="BG62" s="2016"/>
      <c r="BH62" s="2016"/>
      <c r="BI62" s="2016"/>
      <c r="BJ62" s="2016"/>
      <c r="BK62" s="2016"/>
    </row>
    <row r="63" spans="1:63" s="425" customFormat="1" ht="15" customHeight="1">
      <c r="A63" s="2112"/>
      <c r="B63" s="1348" t="str">
        <f t="shared" si="1"/>
        <v>Consulting room area in m²:</v>
      </c>
      <c r="C63" s="2135"/>
      <c r="D63" s="2135"/>
      <c r="E63" s="2135"/>
      <c r="F63" s="2127"/>
      <c r="G63" s="2029">
        <f>SUM(C63:E63)</f>
        <v>0</v>
      </c>
      <c r="H63" s="2030" t="s">
        <v>982</v>
      </c>
      <c r="I63" s="2031"/>
      <c r="J63" s="2016"/>
      <c r="K63" s="2016"/>
      <c r="L63" s="2016"/>
      <c r="M63" s="2016"/>
      <c r="N63" s="2016"/>
      <c r="O63" s="2016"/>
      <c r="P63" s="2016"/>
      <c r="Q63" s="2016"/>
      <c r="R63" s="2016"/>
      <c r="S63" s="2016"/>
      <c r="T63" s="2016"/>
      <c r="U63" s="2016"/>
      <c r="V63" s="2016"/>
      <c r="W63" s="2016"/>
      <c r="X63" s="2016"/>
      <c r="Y63" s="2016"/>
      <c r="Z63" s="2016"/>
      <c r="AA63" s="2016"/>
      <c r="AB63" s="2016"/>
      <c r="AC63" s="2016"/>
      <c r="AD63" s="2016"/>
      <c r="AE63" s="2016"/>
      <c r="AF63" s="2016"/>
      <c r="AG63" s="2016"/>
      <c r="AH63" s="2016"/>
      <c r="AI63" s="2016"/>
      <c r="AJ63" s="2016"/>
      <c r="AK63" s="2016"/>
      <c r="AL63" s="2016"/>
      <c r="AM63" s="2016"/>
      <c r="AN63" s="2016"/>
      <c r="AO63" s="2016"/>
      <c r="AP63" s="2016"/>
      <c r="AQ63" s="2016"/>
      <c r="AR63" s="2016"/>
      <c r="AS63" s="2016"/>
      <c r="AT63" s="2016"/>
      <c r="AU63" s="2016"/>
      <c r="AV63" s="2016"/>
      <c r="AW63" s="2016"/>
      <c r="AX63" s="2016"/>
      <c r="AY63" s="2016"/>
      <c r="AZ63" s="2016"/>
      <c r="BA63" s="2016"/>
      <c r="BB63" s="2016"/>
      <c r="BC63" s="2016"/>
      <c r="BD63" s="2016"/>
      <c r="BE63" s="2016"/>
      <c r="BF63" s="2016"/>
      <c r="BG63" s="2016"/>
      <c r="BH63" s="2016"/>
      <c r="BI63" s="2016"/>
      <c r="BJ63" s="2016"/>
      <c r="BK63" s="2016"/>
    </row>
    <row r="64" spans="1:63" s="425" customFormat="1" ht="15" customHeight="1">
      <c r="A64" s="2112"/>
      <c r="B64" s="1348" t="str">
        <f t="shared" si="1"/>
        <v>Display area in m²:</v>
      </c>
      <c r="C64" s="2135"/>
      <c r="D64" s="2135"/>
      <c r="E64" s="2135"/>
      <c r="F64" s="2127"/>
      <c r="G64" s="2032" t="s">
        <v>2074</v>
      </c>
      <c r="H64" s="2030"/>
      <c r="I64" s="2031"/>
      <c r="J64" s="2016"/>
      <c r="K64" s="2016"/>
      <c r="L64" s="2016"/>
      <c r="M64" s="2016"/>
      <c r="N64" s="2016"/>
      <c r="O64" s="2016"/>
      <c r="P64" s="2016"/>
      <c r="Q64" s="2016"/>
      <c r="R64" s="2016"/>
      <c r="S64" s="2016"/>
      <c r="T64" s="2016"/>
      <c r="U64" s="2016"/>
      <c r="V64" s="2016"/>
      <c r="W64" s="2016"/>
      <c r="X64" s="2016"/>
      <c r="Y64" s="2016"/>
      <c r="Z64" s="2016"/>
      <c r="AA64" s="2016"/>
      <c r="AB64" s="2016"/>
      <c r="AC64" s="2016"/>
      <c r="AD64" s="2016"/>
      <c r="AE64" s="2016"/>
      <c r="AF64" s="2016"/>
      <c r="AG64" s="2016"/>
      <c r="AH64" s="2016"/>
      <c r="AI64" s="2016"/>
      <c r="AJ64" s="2016"/>
      <c r="AK64" s="2016"/>
      <c r="AL64" s="2016"/>
      <c r="AM64" s="2016"/>
      <c r="AN64" s="2016"/>
      <c r="AO64" s="2016"/>
      <c r="AP64" s="2016"/>
      <c r="AQ64" s="2016"/>
      <c r="AR64" s="2016"/>
      <c r="AS64" s="2016"/>
      <c r="AT64" s="2016"/>
      <c r="AU64" s="2016"/>
      <c r="AV64" s="2016"/>
      <c r="AW64" s="2016"/>
      <c r="AX64" s="2016"/>
      <c r="AY64" s="2016"/>
      <c r="AZ64" s="2016"/>
      <c r="BA64" s="2016"/>
      <c r="BB64" s="2016"/>
      <c r="BC64" s="2016"/>
      <c r="BD64" s="2016"/>
      <c r="BE64" s="2016"/>
      <c r="BF64" s="2016"/>
      <c r="BG64" s="2016"/>
      <c r="BH64" s="2016"/>
      <c r="BI64" s="2016"/>
      <c r="BJ64" s="2016"/>
      <c r="BK64" s="2016"/>
    </row>
    <row r="65" spans="1:63" s="425" customFormat="1" ht="15" customHeight="1">
      <c r="A65" s="2112"/>
      <c r="B65" s="1348" t="str">
        <f t="shared" si="1"/>
        <v>Dry sports hall area in m²:</v>
      </c>
      <c r="C65" s="2135"/>
      <c r="D65" s="2135"/>
      <c r="E65" s="2135"/>
      <c r="F65" s="2127"/>
      <c r="G65" s="2029">
        <f t="shared" ref="G65:G74" si="2">SUM(C65:E65)</f>
        <v>0</v>
      </c>
      <c r="H65" s="2030" t="s">
        <v>982</v>
      </c>
      <c r="I65" s="2031"/>
      <c r="J65" s="2016"/>
      <c r="K65" s="2016"/>
      <c r="L65" s="2016"/>
      <c r="M65" s="2016"/>
      <c r="N65" s="2016"/>
      <c r="O65" s="2016"/>
      <c r="P65" s="2016"/>
      <c r="Q65" s="2016"/>
      <c r="R65" s="2016"/>
      <c r="S65" s="2016"/>
      <c r="T65" s="2016"/>
      <c r="U65" s="2016"/>
      <c r="V65" s="2016"/>
      <c r="W65" s="2016"/>
      <c r="X65" s="2016"/>
      <c r="Y65" s="2016"/>
      <c r="Z65" s="2016"/>
      <c r="AA65" s="2016"/>
      <c r="AB65" s="2016"/>
      <c r="AC65" s="2016"/>
      <c r="AD65" s="2016"/>
      <c r="AE65" s="2016"/>
      <c r="AF65" s="2016"/>
      <c r="AG65" s="2016"/>
      <c r="AH65" s="2016"/>
      <c r="AI65" s="2016"/>
      <c r="AJ65" s="2016"/>
      <c r="AK65" s="2016"/>
      <c r="AL65" s="2016"/>
      <c r="AM65" s="2016"/>
      <c r="AN65" s="2016"/>
      <c r="AO65" s="2016"/>
      <c r="AP65" s="2016"/>
      <c r="AQ65" s="2016"/>
      <c r="AR65" s="2016"/>
      <c r="AS65" s="2016"/>
      <c r="AT65" s="2016"/>
      <c r="AU65" s="2016"/>
      <c r="AV65" s="2016"/>
      <c r="AW65" s="2016"/>
      <c r="AX65" s="2016"/>
      <c r="AY65" s="2016"/>
      <c r="AZ65" s="2016"/>
      <c r="BA65" s="2016"/>
      <c r="BB65" s="2016"/>
      <c r="BC65" s="2016"/>
      <c r="BD65" s="2016"/>
      <c r="BE65" s="2016"/>
      <c r="BF65" s="2016"/>
      <c r="BG65" s="2016"/>
      <c r="BH65" s="2016"/>
      <c r="BI65" s="2016"/>
      <c r="BJ65" s="2016"/>
      <c r="BK65" s="2016"/>
    </row>
    <row r="66" spans="1:63" s="425" customFormat="1" ht="15" customHeight="1">
      <c r="A66" s="2112"/>
      <c r="B66" s="1348" t="str">
        <f t="shared" si="1"/>
        <v>Fitness Studio area in m²:</v>
      </c>
      <c r="C66" s="2135"/>
      <c r="D66" s="2135"/>
      <c r="E66" s="2135"/>
      <c r="F66" s="2127"/>
      <c r="G66" s="2029">
        <f t="shared" si="2"/>
        <v>0</v>
      </c>
      <c r="H66" s="2030" t="s">
        <v>982</v>
      </c>
      <c r="I66" s="2031"/>
      <c r="J66" s="2016"/>
      <c r="K66" s="2016"/>
      <c r="L66" s="2016"/>
      <c r="M66" s="2016"/>
      <c r="N66" s="2016"/>
      <c r="O66" s="2016"/>
      <c r="P66" s="2016"/>
      <c r="Q66" s="2016"/>
      <c r="R66" s="2016"/>
      <c r="S66" s="2016"/>
      <c r="T66" s="2016"/>
      <c r="U66" s="2016"/>
      <c r="V66" s="2016"/>
      <c r="W66" s="2016"/>
      <c r="X66" s="2016"/>
      <c r="Y66" s="2016"/>
      <c r="Z66" s="2016"/>
      <c r="AA66" s="2016"/>
      <c r="AB66" s="2016"/>
      <c r="AC66" s="2016"/>
      <c r="AD66" s="2016"/>
      <c r="AE66" s="2016"/>
      <c r="AF66" s="2016"/>
      <c r="AG66" s="2016"/>
      <c r="AH66" s="2016"/>
      <c r="AI66" s="2016"/>
      <c r="AJ66" s="2016"/>
      <c r="AK66" s="2016"/>
      <c r="AL66" s="2016"/>
      <c r="AM66" s="2016"/>
      <c r="AN66" s="2016"/>
      <c r="AO66" s="2016"/>
      <c r="AP66" s="2016"/>
      <c r="AQ66" s="2016"/>
      <c r="AR66" s="2016"/>
      <c r="AS66" s="2016"/>
      <c r="AT66" s="2016"/>
      <c r="AU66" s="2016"/>
      <c r="AV66" s="2016"/>
      <c r="AW66" s="2016"/>
      <c r="AX66" s="2016"/>
      <c r="AY66" s="2016"/>
      <c r="AZ66" s="2016"/>
      <c r="BA66" s="2016"/>
      <c r="BB66" s="2016"/>
      <c r="BC66" s="2016"/>
      <c r="BD66" s="2016"/>
      <c r="BE66" s="2016"/>
      <c r="BF66" s="2016"/>
      <c r="BG66" s="2016"/>
      <c r="BH66" s="2016"/>
      <c r="BI66" s="2016"/>
      <c r="BJ66" s="2016"/>
      <c r="BK66" s="2016"/>
    </row>
    <row r="67" spans="1:63" s="425" customFormat="1" ht="15" customHeight="1">
      <c r="A67" s="2112"/>
      <c r="B67" s="1348" t="str">
        <f t="shared" si="1"/>
        <v>Fitness suite/gym area in m²:</v>
      </c>
      <c r="C67" s="2135"/>
      <c r="D67" s="2135"/>
      <c r="E67" s="2135"/>
      <c r="F67" s="2127"/>
      <c r="G67" s="2029">
        <f t="shared" si="2"/>
        <v>0</v>
      </c>
      <c r="H67" s="2030" t="s">
        <v>982</v>
      </c>
      <c r="I67" s="2031"/>
      <c r="J67" s="2016"/>
      <c r="K67" s="2016"/>
      <c r="L67" s="2016"/>
      <c r="M67" s="2016"/>
      <c r="N67" s="2016"/>
      <c r="O67" s="2016"/>
      <c r="P67" s="2016"/>
      <c r="Q67" s="2016"/>
      <c r="R67" s="2016"/>
      <c r="S67" s="2016"/>
      <c r="T67" s="2016"/>
      <c r="U67" s="2016"/>
      <c r="V67" s="2016"/>
      <c r="W67" s="2016"/>
      <c r="X67" s="2016"/>
      <c r="Y67" s="2016"/>
      <c r="Z67" s="2016"/>
      <c r="AA67" s="2016"/>
      <c r="AB67" s="2016"/>
      <c r="AC67" s="2016"/>
      <c r="AD67" s="2016"/>
      <c r="AE67" s="2016"/>
      <c r="AF67" s="2016"/>
      <c r="AG67" s="2016"/>
      <c r="AH67" s="2016"/>
      <c r="AI67" s="2016"/>
      <c r="AJ67" s="2016"/>
      <c r="AK67" s="2016"/>
      <c r="AL67" s="2016"/>
      <c r="AM67" s="2016"/>
      <c r="AN67" s="2016"/>
      <c r="AO67" s="2016"/>
      <c r="AP67" s="2016"/>
      <c r="AQ67" s="2016"/>
      <c r="AR67" s="2016"/>
      <c r="AS67" s="2016"/>
      <c r="AT67" s="2016"/>
      <c r="AU67" s="2016"/>
      <c r="AV67" s="2016"/>
      <c r="AW67" s="2016"/>
      <c r="AX67" s="2016"/>
      <c r="AY67" s="2016"/>
      <c r="AZ67" s="2016"/>
      <c r="BA67" s="2016"/>
      <c r="BB67" s="2016"/>
      <c r="BC67" s="2016"/>
      <c r="BD67" s="2016"/>
      <c r="BE67" s="2016"/>
      <c r="BF67" s="2016"/>
      <c r="BG67" s="2016"/>
      <c r="BH67" s="2016"/>
      <c r="BI67" s="2016"/>
      <c r="BJ67" s="2016"/>
      <c r="BK67" s="2016"/>
    </row>
    <row r="68" spans="1:63" s="425" customFormat="1" ht="15" customHeight="1">
      <c r="A68" s="2112"/>
      <c r="B68" s="1348" t="str">
        <f t="shared" si="1"/>
        <v>Ice rink area in m²:</v>
      </c>
      <c r="C68" s="2135"/>
      <c r="D68" s="2135"/>
      <c r="E68" s="2135"/>
      <c r="F68" s="2127"/>
      <c r="G68" s="2029">
        <f t="shared" si="2"/>
        <v>0</v>
      </c>
      <c r="H68" s="2030" t="s">
        <v>982</v>
      </c>
      <c r="I68" s="2031"/>
      <c r="J68" s="2016"/>
      <c r="K68" s="2016"/>
      <c r="L68" s="2016"/>
      <c r="M68" s="2016"/>
      <c r="N68" s="2016"/>
      <c r="O68" s="2016"/>
      <c r="P68" s="2016"/>
      <c r="Q68" s="2016"/>
      <c r="R68" s="2016"/>
      <c r="S68" s="2016"/>
      <c r="T68" s="2016"/>
      <c r="U68" s="2016"/>
      <c r="V68" s="2016"/>
      <c r="W68" s="2016"/>
      <c r="X68" s="2016"/>
      <c r="Y68" s="2016"/>
      <c r="Z68" s="2016"/>
      <c r="AA68" s="2016"/>
      <c r="AB68" s="2016"/>
      <c r="AC68" s="2016"/>
      <c r="AD68" s="2016"/>
      <c r="AE68" s="2016"/>
      <c r="AF68" s="2016"/>
      <c r="AG68" s="2016"/>
      <c r="AH68" s="2016"/>
      <c r="AI68" s="2016"/>
      <c r="AJ68" s="2016"/>
      <c r="AK68" s="2016"/>
      <c r="AL68" s="2016"/>
      <c r="AM68" s="2016"/>
      <c r="AN68" s="2016"/>
      <c r="AO68" s="2016"/>
      <c r="AP68" s="2016"/>
      <c r="AQ68" s="2016"/>
      <c r="AR68" s="2016"/>
      <c r="AS68" s="2016"/>
      <c r="AT68" s="2016"/>
      <c r="AU68" s="2016"/>
      <c r="AV68" s="2016"/>
      <c r="AW68" s="2016"/>
      <c r="AX68" s="2016"/>
      <c r="AY68" s="2016"/>
      <c r="AZ68" s="2016"/>
      <c r="BA68" s="2016"/>
      <c r="BB68" s="2016"/>
      <c r="BC68" s="2016"/>
      <c r="BD68" s="2016"/>
      <c r="BE68" s="2016"/>
      <c r="BF68" s="2016"/>
      <c r="BG68" s="2016"/>
      <c r="BH68" s="2016"/>
      <c r="BI68" s="2016"/>
      <c r="BJ68" s="2016"/>
      <c r="BK68" s="2016"/>
    </row>
    <row r="69" spans="1:63" s="425" customFormat="1" ht="15" customHeight="1">
      <c r="A69" s="2112"/>
      <c r="B69" s="1348" t="str">
        <f t="shared" si="1"/>
        <v>Laboratory area in m²:</v>
      </c>
      <c r="C69" s="2135"/>
      <c r="D69" s="2135"/>
      <c r="E69" s="2135"/>
      <c r="F69" s="2127"/>
      <c r="G69" s="2029">
        <f t="shared" si="2"/>
        <v>0</v>
      </c>
      <c r="H69" s="2030" t="s">
        <v>982</v>
      </c>
      <c r="I69" s="2031"/>
      <c r="J69" s="2016"/>
      <c r="K69" s="2016"/>
      <c r="L69" s="2016"/>
      <c r="M69" s="2016"/>
      <c r="N69" s="2016"/>
      <c r="O69" s="2016"/>
      <c r="P69" s="2016"/>
      <c r="Q69" s="2016"/>
      <c r="R69" s="2016"/>
      <c r="S69" s="2016"/>
      <c r="T69" s="2016"/>
      <c r="U69" s="2016"/>
      <c r="V69" s="2016"/>
      <c r="W69" s="2016"/>
      <c r="X69" s="2016"/>
      <c r="Y69" s="2016"/>
      <c r="Z69" s="2016"/>
      <c r="AA69" s="2016"/>
      <c r="AB69" s="2016"/>
      <c r="AC69" s="2016"/>
      <c r="AD69" s="2016"/>
      <c r="AE69" s="2016"/>
      <c r="AF69" s="2016"/>
      <c r="AG69" s="2016"/>
      <c r="AH69" s="2016"/>
      <c r="AI69" s="2016"/>
      <c r="AJ69" s="2016"/>
      <c r="AK69" s="2016"/>
      <c r="AL69" s="2016"/>
      <c r="AM69" s="2016"/>
      <c r="AN69" s="2016"/>
      <c r="AO69" s="2016"/>
      <c r="AP69" s="2016"/>
      <c r="AQ69" s="2016"/>
      <c r="AR69" s="2016"/>
      <c r="AS69" s="2016"/>
      <c r="AT69" s="2016"/>
      <c r="AU69" s="2016"/>
      <c r="AV69" s="2016"/>
      <c r="AW69" s="2016"/>
      <c r="AX69" s="2016"/>
      <c r="AY69" s="2016"/>
      <c r="AZ69" s="2016"/>
      <c r="BA69" s="2016"/>
      <c r="BB69" s="2016"/>
      <c r="BC69" s="2016"/>
      <c r="BD69" s="2016"/>
      <c r="BE69" s="2016"/>
      <c r="BF69" s="2016"/>
      <c r="BG69" s="2016"/>
      <c r="BH69" s="2016"/>
      <c r="BI69" s="2016"/>
      <c r="BJ69" s="2016"/>
      <c r="BK69" s="2016"/>
    </row>
    <row r="70" spans="1:63" s="425" customFormat="1" ht="15" customHeight="1">
      <c r="A70" s="2112"/>
      <c r="B70" s="1348" t="str">
        <f t="shared" si="1"/>
        <v>Laundry area in m²:</v>
      </c>
      <c r="C70" s="2135"/>
      <c r="D70" s="2135"/>
      <c r="E70" s="2135"/>
      <c r="F70" s="2127"/>
      <c r="G70" s="2029">
        <f t="shared" si="2"/>
        <v>0</v>
      </c>
      <c r="H70" s="2030" t="s">
        <v>982</v>
      </c>
      <c r="I70" s="2031"/>
      <c r="J70" s="2016"/>
      <c r="K70" s="2016"/>
      <c r="L70" s="2016"/>
      <c r="M70" s="2016"/>
      <c r="N70" s="2016"/>
      <c r="O70" s="2016"/>
      <c r="P70" s="2016"/>
      <c r="Q70" s="2016"/>
      <c r="R70" s="2016"/>
      <c r="S70" s="2016"/>
      <c r="T70" s="2016"/>
      <c r="U70" s="2016"/>
      <c r="V70" s="2016"/>
      <c r="W70" s="2016"/>
      <c r="X70" s="2016"/>
      <c r="Y70" s="2016"/>
      <c r="Z70" s="2016"/>
      <c r="AA70" s="2016"/>
      <c r="AB70" s="2016"/>
      <c r="AC70" s="2016"/>
      <c r="AD70" s="2016"/>
      <c r="AE70" s="2016"/>
      <c r="AF70" s="2016"/>
      <c r="AG70" s="2016"/>
      <c r="AH70" s="2016"/>
      <c r="AI70" s="2016"/>
      <c r="AJ70" s="2016"/>
      <c r="AK70" s="2016"/>
      <c r="AL70" s="2016"/>
      <c r="AM70" s="2016"/>
      <c r="AN70" s="2016"/>
      <c r="AO70" s="2016"/>
      <c r="AP70" s="2016"/>
      <c r="AQ70" s="2016"/>
      <c r="AR70" s="2016"/>
      <c r="AS70" s="2016"/>
      <c r="AT70" s="2016"/>
      <c r="AU70" s="2016"/>
      <c r="AV70" s="2016"/>
      <c r="AW70" s="2016"/>
      <c r="AX70" s="2016"/>
      <c r="AY70" s="2016"/>
      <c r="AZ70" s="2016"/>
      <c r="BA70" s="2016"/>
      <c r="BB70" s="2016"/>
      <c r="BC70" s="2016"/>
      <c r="BD70" s="2016"/>
      <c r="BE70" s="2016"/>
      <c r="BF70" s="2016"/>
      <c r="BG70" s="2016"/>
      <c r="BH70" s="2016"/>
      <c r="BI70" s="2016"/>
      <c r="BJ70" s="2016"/>
      <c r="BK70" s="2016"/>
    </row>
    <row r="71" spans="1:63" s="425" customFormat="1" ht="15" customHeight="1">
      <c r="A71" s="2112"/>
      <c r="B71" s="1348" t="str">
        <f t="shared" si="1"/>
        <v>Performance area (stage) area in m²:</v>
      </c>
      <c r="C71" s="2135"/>
      <c r="D71" s="2135"/>
      <c r="E71" s="2135"/>
      <c r="F71" s="2127"/>
      <c r="G71" s="2029">
        <f t="shared" si="2"/>
        <v>0</v>
      </c>
      <c r="H71" s="2030" t="s">
        <v>982</v>
      </c>
      <c r="I71" s="2031"/>
      <c r="J71" s="2016"/>
      <c r="K71" s="2016"/>
      <c r="L71" s="2016"/>
      <c r="M71" s="2016"/>
      <c r="N71" s="2016"/>
      <c r="O71" s="2016"/>
      <c r="P71" s="2016"/>
      <c r="Q71" s="2016"/>
      <c r="R71" s="2016"/>
      <c r="S71" s="2016"/>
      <c r="T71" s="2016"/>
      <c r="U71" s="2016"/>
      <c r="V71" s="2016"/>
      <c r="W71" s="2016"/>
      <c r="X71" s="2016"/>
      <c r="Y71" s="2016"/>
      <c r="Z71" s="2016"/>
      <c r="AA71" s="2016"/>
      <c r="AB71" s="2016"/>
      <c r="AC71" s="2016"/>
      <c r="AD71" s="2016"/>
      <c r="AE71" s="2016"/>
      <c r="AF71" s="2016"/>
      <c r="AG71" s="2016"/>
      <c r="AH71" s="2016"/>
      <c r="AI71" s="2016"/>
      <c r="AJ71" s="2016"/>
      <c r="AK71" s="2016"/>
      <c r="AL71" s="2016"/>
      <c r="AM71" s="2016"/>
      <c r="AN71" s="2016"/>
      <c r="AO71" s="2016"/>
      <c r="AP71" s="2016"/>
      <c r="AQ71" s="2016"/>
      <c r="AR71" s="2016"/>
      <c r="AS71" s="2016"/>
      <c r="AT71" s="2016"/>
      <c r="AU71" s="2016"/>
      <c r="AV71" s="2016"/>
      <c r="AW71" s="2016"/>
      <c r="AX71" s="2016"/>
      <c r="AY71" s="2016"/>
      <c r="AZ71" s="2016"/>
      <c r="BA71" s="2016"/>
      <c r="BB71" s="2016"/>
      <c r="BC71" s="2016"/>
      <c r="BD71" s="2016"/>
      <c r="BE71" s="2016"/>
      <c r="BF71" s="2016"/>
      <c r="BG71" s="2016"/>
      <c r="BH71" s="2016"/>
      <c r="BI71" s="2016"/>
      <c r="BJ71" s="2016"/>
      <c r="BK71" s="2016"/>
    </row>
    <row r="72" spans="1:63" s="425" customFormat="1" ht="15" customHeight="1">
      <c r="A72" s="2112"/>
      <c r="B72" s="1348" t="str">
        <f t="shared" si="1"/>
        <v>Sales area - chilled area in m²:</v>
      </c>
      <c r="C72" s="2135"/>
      <c r="D72" s="2135"/>
      <c r="E72" s="2135"/>
      <c r="F72" s="2127"/>
      <c r="G72" s="2029">
        <f t="shared" si="2"/>
        <v>0</v>
      </c>
      <c r="H72" s="2030" t="s">
        <v>982</v>
      </c>
      <c r="I72" s="2031"/>
      <c r="J72" s="2016"/>
      <c r="K72" s="2016"/>
      <c r="L72" s="2016"/>
      <c r="M72" s="2016"/>
      <c r="N72" s="2016"/>
      <c r="O72" s="2016"/>
      <c r="P72" s="2016"/>
      <c r="Q72" s="2016"/>
      <c r="R72" s="2016"/>
      <c r="S72" s="2016"/>
      <c r="T72" s="2016"/>
      <c r="U72" s="2016"/>
      <c r="V72" s="2016"/>
      <c r="W72" s="2016"/>
      <c r="X72" s="2016"/>
      <c r="Y72" s="2016"/>
      <c r="Z72" s="2016"/>
      <c r="AA72" s="2016"/>
      <c r="AB72" s="2016"/>
      <c r="AC72" s="2016"/>
      <c r="AD72" s="2016"/>
      <c r="AE72" s="2016"/>
      <c r="AF72" s="2016"/>
      <c r="AG72" s="2016"/>
      <c r="AH72" s="2016"/>
      <c r="AI72" s="2016"/>
      <c r="AJ72" s="2016"/>
      <c r="AK72" s="2016"/>
      <c r="AL72" s="2016"/>
      <c r="AM72" s="2016"/>
      <c r="AN72" s="2016"/>
      <c r="AO72" s="2016"/>
      <c r="AP72" s="2016"/>
      <c r="AQ72" s="2016"/>
      <c r="AR72" s="2016"/>
      <c r="AS72" s="2016"/>
      <c r="AT72" s="2016"/>
      <c r="AU72" s="2016"/>
      <c r="AV72" s="2016"/>
      <c r="AW72" s="2016"/>
      <c r="AX72" s="2016"/>
      <c r="AY72" s="2016"/>
      <c r="AZ72" s="2016"/>
      <c r="BA72" s="2016"/>
      <c r="BB72" s="2016"/>
      <c r="BC72" s="2016"/>
      <c r="BD72" s="2016"/>
      <c r="BE72" s="2016"/>
      <c r="BF72" s="2016"/>
      <c r="BG72" s="2016"/>
      <c r="BH72" s="2016"/>
      <c r="BI72" s="2016"/>
      <c r="BJ72" s="2016"/>
      <c r="BK72" s="2016"/>
    </row>
    <row r="73" spans="1:63" s="425" customFormat="1" ht="15" customHeight="1">
      <c r="A73" s="2112"/>
      <c r="B73" s="1348" t="str">
        <f t="shared" si="1"/>
        <v>Sales area - general area in m²:</v>
      </c>
      <c r="C73" s="2135"/>
      <c r="D73" s="2135"/>
      <c r="E73" s="2135"/>
      <c r="F73" s="2127"/>
      <c r="G73" s="2029">
        <f t="shared" si="2"/>
        <v>0</v>
      </c>
      <c r="H73" s="2030" t="s">
        <v>982</v>
      </c>
      <c r="I73" s="2031"/>
      <c r="J73" s="2016"/>
      <c r="K73" s="2016"/>
      <c r="L73" s="2016"/>
      <c r="M73" s="2016"/>
      <c r="N73" s="2016"/>
      <c r="O73" s="2016"/>
      <c r="P73" s="2016"/>
      <c r="Q73" s="2016"/>
      <c r="R73" s="2016"/>
      <c r="S73" s="2016"/>
      <c r="T73" s="2016"/>
      <c r="U73" s="2016"/>
      <c r="V73" s="2016"/>
      <c r="W73" s="2016"/>
      <c r="X73" s="2016"/>
      <c r="Y73" s="2016"/>
      <c r="Z73" s="2016"/>
      <c r="AA73" s="2016"/>
      <c r="AB73" s="2016"/>
      <c r="AC73" s="2016"/>
      <c r="AD73" s="2016"/>
      <c r="AE73" s="2016"/>
      <c r="AF73" s="2016"/>
      <c r="AG73" s="2016"/>
      <c r="AH73" s="2016"/>
      <c r="AI73" s="2016"/>
      <c r="AJ73" s="2016"/>
      <c r="AK73" s="2016"/>
      <c r="AL73" s="2016"/>
      <c r="AM73" s="2016"/>
      <c r="AN73" s="2016"/>
      <c r="AO73" s="2016"/>
      <c r="AP73" s="2016"/>
      <c r="AQ73" s="2016"/>
      <c r="AR73" s="2016"/>
      <c r="AS73" s="2016"/>
      <c r="AT73" s="2016"/>
      <c r="AU73" s="2016"/>
      <c r="AV73" s="2016"/>
      <c r="AW73" s="2016"/>
      <c r="AX73" s="2016"/>
      <c r="AY73" s="2016"/>
      <c r="AZ73" s="2016"/>
      <c r="BA73" s="2016"/>
      <c r="BB73" s="2016"/>
      <c r="BC73" s="2016"/>
      <c r="BD73" s="2016"/>
      <c r="BE73" s="2016"/>
      <c r="BF73" s="2016"/>
      <c r="BG73" s="2016"/>
      <c r="BH73" s="2016"/>
      <c r="BI73" s="2016"/>
      <c r="BJ73" s="2016"/>
      <c r="BK73" s="2016"/>
    </row>
    <row r="74" spans="1:63" s="425" customFormat="1" ht="15" customHeight="1">
      <c r="A74" s="2112"/>
      <c r="B74" s="1348" t="str">
        <f t="shared" si="1"/>
        <v>Security check area in m²:</v>
      </c>
      <c r="C74" s="2135"/>
      <c r="D74" s="2135"/>
      <c r="E74" s="2135"/>
      <c r="F74" s="2127"/>
      <c r="G74" s="2029">
        <f t="shared" si="2"/>
        <v>0</v>
      </c>
      <c r="H74" s="2030" t="s">
        <v>982</v>
      </c>
      <c r="I74" s="2031"/>
      <c r="J74" s="2016"/>
      <c r="K74" s="2016"/>
      <c r="L74" s="2016"/>
      <c r="M74" s="2016"/>
      <c r="N74" s="2016"/>
      <c r="O74" s="2016"/>
      <c r="P74" s="2016"/>
      <c r="Q74" s="2016"/>
      <c r="R74" s="2016"/>
      <c r="S74" s="2016"/>
      <c r="T74" s="2016"/>
      <c r="U74" s="2016"/>
      <c r="V74" s="2016"/>
      <c r="W74" s="2016"/>
      <c r="X74" s="2016"/>
      <c r="Y74" s="2016"/>
      <c r="Z74" s="2016"/>
      <c r="AA74" s="2016"/>
      <c r="AB74" s="2016"/>
      <c r="AC74" s="2016"/>
      <c r="AD74" s="2016"/>
      <c r="AE74" s="2016"/>
      <c r="AF74" s="2016"/>
      <c r="AG74" s="2016"/>
      <c r="AH74" s="2016"/>
      <c r="AI74" s="2016"/>
      <c r="AJ74" s="2016"/>
      <c r="AK74" s="2016"/>
      <c r="AL74" s="2016"/>
      <c r="AM74" s="2016"/>
      <c r="AN74" s="2016"/>
      <c r="AO74" s="2016"/>
      <c r="AP74" s="2016"/>
      <c r="AQ74" s="2016"/>
      <c r="AR74" s="2016"/>
      <c r="AS74" s="2016"/>
      <c r="AT74" s="2016"/>
      <c r="AU74" s="2016"/>
      <c r="AV74" s="2016"/>
      <c r="AW74" s="2016"/>
      <c r="AX74" s="2016"/>
      <c r="AY74" s="2016"/>
      <c r="AZ74" s="2016"/>
      <c r="BA74" s="2016"/>
      <c r="BB74" s="2016"/>
      <c r="BC74" s="2016"/>
      <c r="BD74" s="2016"/>
      <c r="BE74" s="2016"/>
      <c r="BF74" s="2016"/>
      <c r="BG74" s="2016"/>
      <c r="BH74" s="2016"/>
      <c r="BI74" s="2016"/>
      <c r="BJ74" s="2016"/>
      <c r="BK74" s="2016"/>
    </row>
    <row r="75" spans="1:63" s="425" customFormat="1" ht="15" customHeight="1">
      <c r="A75" s="2112"/>
      <c r="B75" s="1348" t="str">
        <f t="shared" si="1"/>
        <v>Storage area - chilled area in m²:</v>
      </c>
      <c r="C75" s="2135"/>
      <c r="D75" s="2135"/>
      <c r="E75" s="2135"/>
      <c r="F75" s="2127"/>
      <c r="G75" s="2032" t="s">
        <v>2074</v>
      </c>
      <c r="H75" s="2030"/>
      <c r="I75" s="2031"/>
      <c r="J75" s="2016"/>
      <c r="K75" s="2016"/>
      <c r="L75" s="2016"/>
      <c r="M75" s="2016"/>
      <c r="N75" s="2016"/>
      <c r="O75" s="2016"/>
      <c r="P75" s="2016"/>
      <c r="Q75" s="2016"/>
      <c r="R75" s="2016"/>
      <c r="S75" s="2016"/>
      <c r="T75" s="2016"/>
      <c r="U75" s="2016"/>
      <c r="V75" s="2016"/>
      <c r="W75" s="2016"/>
      <c r="X75" s="2016"/>
      <c r="Y75" s="2016"/>
      <c r="Z75" s="2016"/>
      <c r="AA75" s="2016"/>
      <c r="AB75" s="2016"/>
      <c r="AC75" s="2016"/>
      <c r="AD75" s="2016"/>
      <c r="AE75" s="2016"/>
      <c r="AF75" s="2016"/>
      <c r="AG75" s="2016"/>
      <c r="AH75" s="2016"/>
      <c r="AI75" s="2016"/>
      <c r="AJ75" s="2016"/>
      <c r="AK75" s="2016"/>
      <c r="AL75" s="2016"/>
      <c r="AM75" s="2016"/>
      <c r="AN75" s="2016"/>
      <c r="AO75" s="2016"/>
      <c r="AP75" s="2016"/>
      <c r="AQ75" s="2016"/>
      <c r="AR75" s="2016"/>
      <c r="AS75" s="2016"/>
      <c r="AT75" s="2016"/>
      <c r="AU75" s="2016"/>
      <c r="AV75" s="2016"/>
      <c r="AW75" s="2016"/>
      <c r="AX75" s="2016"/>
      <c r="AY75" s="2016"/>
      <c r="AZ75" s="2016"/>
      <c r="BA75" s="2016"/>
      <c r="BB75" s="2016"/>
      <c r="BC75" s="2016"/>
      <c r="BD75" s="2016"/>
      <c r="BE75" s="2016"/>
      <c r="BF75" s="2016"/>
      <c r="BG75" s="2016"/>
      <c r="BH75" s="2016"/>
      <c r="BI75" s="2016"/>
      <c r="BJ75" s="2016"/>
      <c r="BK75" s="2016"/>
    </row>
    <row r="76" spans="1:63" s="425" customFormat="1" ht="15" customHeight="1">
      <c r="A76" s="2112"/>
      <c r="B76" s="1348" t="str">
        <f>B169&amp;" area in m²:"</f>
        <v>Storage area - cold room (&lt;0degC) area in m²:</v>
      </c>
      <c r="C76" s="2135"/>
      <c r="D76" s="2135"/>
      <c r="E76" s="2135"/>
      <c r="F76" s="2127"/>
      <c r="G76" s="2032" t="s">
        <v>2074</v>
      </c>
      <c r="H76" s="2030"/>
      <c r="I76" s="2031"/>
      <c r="J76" s="2016"/>
      <c r="K76" s="2016"/>
      <c r="L76" s="2016"/>
      <c r="M76" s="2016"/>
      <c r="N76" s="2016"/>
      <c r="O76" s="2016"/>
      <c r="P76" s="2016"/>
      <c r="Q76" s="2016"/>
      <c r="R76" s="2016"/>
      <c r="S76" s="2016"/>
      <c r="T76" s="2016"/>
      <c r="U76" s="2016"/>
      <c r="V76" s="2016"/>
      <c r="W76" s="2016"/>
      <c r="X76" s="2016"/>
      <c r="Y76" s="2016"/>
      <c r="Z76" s="2016"/>
      <c r="AA76" s="2016"/>
      <c r="AB76" s="2016"/>
      <c r="AC76" s="2016"/>
      <c r="AD76" s="2016"/>
      <c r="AE76" s="2016"/>
      <c r="AF76" s="2016"/>
      <c r="AG76" s="2016"/>
      <c r="AH76" s="2016"/>
      <c r="AI76" s="2016"/>
      <c r="AJ76" s="2016"/>
      <c r="AK76" s="2016"/>
      <c r="AL76" s="2016"/>
      <c r="AM76" s="2016"/>
      <c r="AN76" s="2016"/>
      <c r="AO76" s="2016"/>
      <c r="AP76" s="2016"/>
      <c r="AQ76" s="2016"/>
      <c r="AR76" s="2016"/>
      <c r="AS76" s="2016"/>
      <c r="AT76" s="2016"/>
      <c r="AU76" s="2016"/>
      <c r="AV76" s="2016"/>
      <c r="AW76" s="2016"/>
      <c r="AX76" s="2016"/>
      <c r="AY76" s="2016"/>
      <c r="AZ76" s="2016"/>
      <c r="BA76" s="2016"/>
      <c r="BB76" s="2016"/>
      <c r="BC76" s="2016"/>
      <c r="BD76" s="2016"/>
      <c r="BE76" s="2016"/>
      <c r="BF76" s="2016"/>
      <c r="BG76" s="2016"/>
      <c r="BH76" s="2016"/>
      <c r="BI76" s="2016"/>
      <c r="BJ76" s="2016"/>
      <c r="BK76" s="2016"/>
    </row>
    <row r="77" spans="1:63" s="425" customFormat="1" ht="15" customHeight="1">
      <c r="A77" s="2112"/>
      <c r="B77" s="1348" t="str">
        <f>B170&amp;" area in m²:"</f>
        <v>Swimming pool area in m²:</v>
      </c>
      <c r="C77" s="2135"/>
      <c r="D77" s="2135"/>
      <c r="E77" s="2135"/>
      <c r="F77" s="2127"/>
      <c r="G77" s="2029">
        <f>SUM(C77:E77)</f>
        <v>0</v>
      </c>
      <c r="H77" s="2030" t="s">
        <v>982</v>
      </c>
      <c r="I77" s="2031"/>
      <c r="J77" s="2016"/>
      <c r="K77" s="2016"/>
      <c r="L77" s="2016"/>
      <c r="M77" s="2016"/>
      <c r="N77" s="2016"/>
      <c r="O77" s="2016"/>
      <c r="P77" s="2016"/>
      <c r="Q77" s="2016"/>
      <c r="R77" s="2016"/>
      <c r="S77" s="2016"/>
      <c r="T77" s="2016"/>
      <c r="U77" s="2016"/>
      <c r="V77" s="2016"/>
      <c r="W77" s="2016"/>
      <c r="X77" s="2016"/>
      <c r="Y77" s="2016"/>
      <c r="Z77" s="2016"/>
      <c r="AA77" s="2016"/>
      <c r="AB77" s="2016"/>
      <c r="AC77" s="2016"/>
      <c r="AD77" s="2016"/>
      <c r="AE77" s="2016"/>
      <c r="AF77" s="2016"/>
      <c r="AG77" s="2016"/>
      <c r="AH77" s="2016"/>
      <c r="AI77" s="2016"/>
      <c r="AJ77" s="2016"/>
      <c r="AK77" s="2016"/>
      <c r="AL77" s="2016"/>
      <c r="AM77" s="2016"/>
      <c r="AN77" s="2016"/>
      <c r="AO77" s="2016"/>
      <c r="AP77" s="2016"/>
      <c r="AQ77" s="2016"/>
      <c r="AR77" s="2016"/>
      <c r="AS77" s="2016"/>
      <c r="AT77" s="2016"/>
      <c r="AU77" s="2016"/>
      <c r="AV77" s="2016"/>
      <c r="AW77" s="2016"/>
      <c r="AX77" s="2016"/>
      <c r="AY77" s="2016"/>
      <c r="AZ77" s="2016"/>
      <c r="BA77" s="2016"/>
      <c r="BB77" s="2016"/>
      <c r="BC77" s="2016"/>
      <c r="BD77" s="2016"/>
      <c r="BE77" s="2016"/>
      <c r="BF77" s="2016"/>
      <c r="BG77" s="2016"/>
      <c r="BH77" s="2016"/>
      <c r="BI77" s="2016"/>
      <c r="BJ77" s="2016"/>
      <c r="BK77" s="2016"/>
    </row>
    <row r="78" spans="1:63" s="425" customFormat="1" ht="15" customHeight="1" thickBot="1">
      <c r="A78" s="2112"/>
      <c r="B78" s="2036" t="str">
        <f>B171&amp;" area in m²:"</f>
        <v>Workshop - small scale area in m²:</v>
      </c>
      <c r="C78" s="2138"/>
      <c r="D78" s="2138"/>
      <c r="E78" s="2138"/>
      <c r="F78" s="2127"/>
      <c r="G78" s="2029">
        <f>SUM(C78:E78)</f>
        <v>0</v>
      </c>
      <c r="H78" s="2030" t="s">
        <v>982</v>
      </c>
      <c r="I78" s="2031"/>
      <c r="J78" s="2016"/>
      <c r="K78" s="2016"/>
      <c r="L78" s="2016"/>
      <c r="M78" s="2016"/>
      <c r="N78" s="2016"/>
      <c r="O78" s="2016"/>
      <c r="P78" s="2016"/>
      <c r="Q78" s="2016"/>
      <c r="R78" s="2016"/>
      <c r="S78" s="2016"/>
      <c r="T78" s="2016"/>
      <c r="U78" s="2016"/>
      <c r="V78" s="2016"/>
      <c r="W78" s="2016"/>
      <c r="X78" s="2016"/>
      <c r="Y78" s="2016"/>
      <c r="Z78" s="2016"/>
      <c r="AA78" s="2016"/>
      <c r="AB78" s="2016"/>
      <c r="AC78" s="2016"/>
      <c r="AD78" s="2016"/>
      <c r="AE78" s="2016"/>
      <c r="AF78" s="2016"/>
      <c r="AG78" s="2016"/>
      <c r="AH78" s="2016"/>
      <c r="AI78" s="2016"/>
      <c r="AJ78" s="2016"/>
      <c r="AK78" s="2016"/>
      <c r="AL78" s="2016"/>
      <c r="AM78" s="2016"/>
      <c r="AN78" s="2016"/>
      <c r="AO78" s="2016"/>
      <c r="AP78" s="2016"/>
      <c r="AQ78" s="2016"/>
      <c r="AR78" s="2016"/>
      <c r="AS78" s="2016"/>
      <c r="AT78" s="2016"/>
      <c r="AU78" s="2016"/>
      <c r="AV78" s="2016"/>
      <c r="AW78" s="2016"/>
      <c r="AX78" s="2016"/>
      <c r="AY78" s="2016"/>
      <c r="AZ78" s="2016"/>
      <c r="BA78" s="2016"/>
      <c r="BB78" s="2016"/>
      <c r="BC78" s="2016"/>
      <c r="BD78" s="2016"/>
      <c r="BE78" s="2016"/>
      <c r="BF78" s="2016"/>
      <c r="BG78" s="2016"/>
      <c r="BH78" s="2016"/>
      <c r="BI78" s="2016"/>
      <c r="BJ78" s="2016"/>
      <c r="BK78" s="2016"/>
    </row>
    <row r="79" spans="1:63" s="425" customFormat="1" ht="30.75" customHeight="1">
      <c r="A79" s="2112"/>
      <c r="B79" s="2037" t="s">
        <v>1437</v>
      </c>
      <c r="C79" s="1035">
        <f>SUM(C38:C54)+SUM(C59:C78)</f>
        <v>0</v>
      </c>
      <c r="D79" s="1035">
        <f>SUM(D38:D54)+SUM(D59:D78)</f>
        <v>0</v>
      </c>
      <c r="E79" s="1035">
        <f>SUM(E38:E54)+SUM(E59:E78)</f>
        <v>0</v>
      </c>
      <c r="F79" s="2127"/>
      <c r="G79" s="2016"/>
      <c r="H79" s="2016"/>
      <c r="I79" s="2016"/>
      <c r="J79" s="2016"/>
      <c r="K79" s="2016"/>
      <c r="L79" s="2016"/>
      <c r="M79" s="2016"/>
      <c r="N79" s="2016"/>
      <c r="O79" s="2016"/>
      <c r="P79" s="2016"/>
      <c r="Q79" s="2016"/>
      <c r="R79" s="2016"/>
      <c r="S79" s="2016"/>
      <c r="T79" s="2016"/>
      <c r="U79" s="2016"/>
      <c r="V79" s="2016"/>
      <c r="W79" s="2016"/>
      <c r="X79" s="2016"/>
      <c r="Y79" s="2016"/>
      <c r="Z79" s="2016"/>
      <c r="AA79" s="2016"/>
      <c r="AB79" s="2016"/>
      <c r="AC79" s="2016"/>
      <c r="AD79" s="2016"/>
      <c r="AE79" s="2016"/>
      <c r="AF79" s="2016"/>
      <c r="AG79" s="2016"/>
      <c r="AH79" s="2016"/>
      <c r="AI79" s="2016"/>
      <c r="AJ79" s="2016"/>
      <c r="AK79" s="2016"/>
      <c r="AL79" s="2016"/>
      <c r="AM79" s="2016"/>
      <c r="AN79" s="2016"/>
      <c r="AO79" s="2016"/>
      <c r="AP79" s="2016"/>
      <c r="AQ79" s="2016"/>
      <c r="AR79" s="2016"/>
      <c r="AS79" s="2016"/>
      <c r="AT79" s="2016"/>
      <c r="AU79" s="2016"/>
      <c r="AV79" s="2016"/>
      <c r="AW79" s="2016"/>
      <c r="AX79" s="2016"/>
      <c r="AY79" s="2016"/>
      <c r="AZ79" s="2016"/>
      <c r="BA79" s="2016"/>
      <c r="BB79" s="2016"/>
      <c r="BC79" s="2016"/>
      <c r="BD79" s="2016"/>
      <c r="BE79" s="2016"/>
      <c r="BF79" s="2016"/>
      <c r="BG79" s="2016"/>
      <c r="BH79" s="2016"/>
      <c r="BI79" s="2016"/>
      <c r="BJ79" s="2016"/>
      <c r="BK79" s="2016"/>
    </row>
    <row r="80" spans="1:63" s="425" customFormat="1" ht="15" customHeight="1">
      <c r="A80" s="2112"/>
      <c r="B80" s="1348" t="s">
        <v>1253</v>
      </c>
      <c r="C80" s="2211">
        <f>IF(AND(SUM(C79:E79)&gt;0,C33&gt;0),SUM(C79:E79)/C33,0)</f>
        <v>0</v>
      </c>
      <c r="D80" s="2212"/>
      <c r="E80" s="2213"/>
      <c r="F80" s="2127"/>
      <c r="G80" s="2016"/>
      <c r="H80" s="2016"/>
      <c r="I80" s="2016"/>
      <c r="J80" s="2016"/>
      <c r="K80" s="2016"/>
      <c r="L80" s="2016"/>
      <c r="M80" s="2016"/>
      <c r="N80" s="2016"/>
      <c r="O80" s="2016"/>
      <c r="P80" s="2016"/>
      <c r="Q80" s="2016"/>
      <c r="R80" s="2016"/>
      <c r="S80" s="2016"/>
      <c r="T80" s="2016"/>
      <c r="U80" s="2016"/>
      <c r="V80" s="2016"/>
      <c r="W80" s="2016"/>
      <c r="X80" s="2016"/>
      <c r="Y80" s="2016"/>
      <c r="Z80" s="2016"/>
      <c r="AA80" s="2016"/>
      <c r="AB80" s="2016"/>
      <c r="AC80" s="2016"/>
      <c r="AD80" s="2016"/>
      <c r="AE80" s="2016"/>
      <c r="AF80" s="2016"/>
      <c r="AG80" s="2016"/>
      <c r="AH80" s="2016"/>
      <c r="AI80" s="2016"/>
      <c r="AJ80" s="2016"/>
      <c r="AK80" s="2016"/>
      <c r="AL80" s="2016"/>
      <c r="AM80" s="2016"/>
      <c r="AN80" s="2016"/>
      <c r="AO80" s="2016"/>
      <c r="AP80" s="2016"/>
      <c r="AQ80" s="2016"/>
      <c r="AR80" s="2016"/>
      <c r="AS80" s="2016"/>
      <c r="AT80" s="2016"/>
      <c r="AU80" s="2016"/>
      <c r="AV80" s="2016"/>
      <c r="AW80" s="2016"/>
      <c r="AX80" s="2016"/>
      <c r="AY80" s="2016"/>
      <c r="AZ80" s="2016"/>
      <c r="BA80" s="2016"/>
      <c r="BB80" s="2016"/>
      <c r="BC80" s="2016"/>
      <c r="BD80" s="2016"/>
      <c r="BE80" s="2016"/>
      <c r="BF80" s="2016"/>
      <c r="BG80" s="2016"/>
      <c r="BH80" s="2016"/>
      <c r="BI80" s="2016"/>
      <c r="BJ80" s="2016"/>
      <c r="BK80" s="2016"/>
    </row>
    <row r="81" spans="1:63" s="425" customFormat="1" ht="56.25" customHeight="1" thickBot="1">
      <c r="A81" s="2112"/>
      <c r="B81" s="2038" t="s">
        <v>367</v>
      </c>
      <c r="C81" s="2191" t="str">
        <f>IF(C80&gt;=80%,"The project meets area compliance for Green Star SA assessment.","Area compliance not met. To be eligible for Green Star SA assessment, spaces supporting the primary function must account for at least 80% of the total GFA.")</f>
        <v>Area compliance not met. To be eligible for Green Star SA assessment, spaces supporting the primary function must account for at least 80% of the total GFA.</v>
      </c>
      <c r="D81" s="2192"/>
      <c r="E81" s="2193"/>
      <c r="F81" s="2127"/>
      <c r="G81" s="2016"/>
      <c r="H81" s="2016"/>
      <c r="I81" s="2016"/>
      <c r="J81" s="2016"/>
      <c r="K81" s="2016"/>
      <c r="L81" s="2016"/>
      <c r="M81" s="2016"/>
      <c r="N81" s="2016"/>
      <c r="O81" s="2016"/>
      <c r="P81" s="2016"/>
      <c r="Q81" s="2016"/>
      <c r="R81" s="2016"/>
      <c r="S81" s="2016"/>
      <c r="T81" s="2016"/>
      <c r="U81" s="2016"/>
      <c r="V81" s="2016"/>
      <c r="W81" s="2016"/>
      <c r="X81" s="2016"/>
      <c r="Y81" s="2016"/>
      <c r="Z81" s="2016"/>
      <c r="AA81" s="2016"/>
      <c r="AB81" s="2016"/>
      <c r="AC81" s="2016"/>
      <c r="AD81" s="2016"/>
      <c r="AE81" s="2016"/>
      <c r="AF81" s="2016"/>
      <c r="AG81" s="2016"/>
      <c r="AH81" s="2016"/>
      <c r="AI81" s="2016"/>
      <c r="AJ81" s="2016"/>
      <c r="AK81" s="2016"/>
      <c r="AL81" s="2016"/>
      <c r="AM81" s="2016"/>
      <c r="AN81" s="2016"/>
      <c r="AO81" s="2016"/>
      <c r="AP81" s="2016"/>
      <c r="AQ81" s="2016"/>
      <c r="AR81" s="2016"/>
      <c r="AS81" s="2016"/>
      <c r="AT81" s="2016"/>
      <c r="AU81" s="2016"/>
      <c r="AV81" s="2016"/>
      <c r="AW81" s="2016"/>
      <c r="AX81" s="2016"/>
      <c r="AY81" s="2016"/>
      <c r="AZ81" s="2016"/>
      <c r="BA81" s="2016"/>
      <c r="BB81" s="2016"/>
      <c r="BC81" s="2016"/>
      <c r="BD81" s="2016"/>
      <c r="BE81" s="2016"/>
      <c r="BF81" s="2016"/>
      <c r="BG81" s="2016"/>
      <c r="BH81" s="2016"/>
      <c r="BI81" s="2016"/>
      <c r="BJ81" s="2016"/>
      <c r="BK81" s="2016"/>
    </row>
    <row r="82" spans="1:63" s="425" customFormat="1">
      <c r="A82" s="2112"/>
      <c r="B82" s="2112"/>
      <c r="C82" s="2020"/>
      <c r="D82" s="2020"/>
      <c r="E82" s="2112"/>
      <c r="F82" s="2127"/>
      <c r="G82" s="2016"/>
      <c r="H82" s="2016"/>
      <c r="I82" s="2016"/>
      <c r="J82" s="2016"/>
      <c r="K82" s="2016"/>
      <c r="L82" s="2016"/>
      <c r="M82" s="2016"/>
      <c r="N82" s="2016"/>
      <c r="O82" s="2016"/>
      <c r="P82" s="2016"/>
      <c r="Q82" s="2016"/>
      <c r="R82" s="2016"/>
      <c r="S82" s="2016"/>
      <c r="T82" s="2016"/>
      <c r="U82" s="2016"/>
      <c r="V82" s="2016"/>
      <c r="W82" s="2016"/>
      <c r="X82" s="2016"/>
      <c r="Y82" s="2016"/>
      <c r="Z82" s="2016"/>
      <c r="AA82" s="2016"/>
      <c r="AB82" s="2016"/>
      <c r="AC82" s="2016"/>
      <c r="AD82" s="2016"/>
      <c r="AE82" s="2016"/>
      <c r="AF82" s="2016"/>
      <c r="AG82" s="2016"/>
      <c r="AH82" s="2016"/>
      <c r="AI82" s="2016"/>
      <c r="AJ82" s="2016"/>
      <c r="AK82" s="2016"/>
      <c r="AL82" s="2016"/>
      <c r="AM82" s="2016"/>
      <c r="AN82" s="2016"/>
      <c r="AO82" s="2016"/>
      <c r="AP82" s="2016"/>
      <c r="AQ82" s="2016"/>
      <c r="AR82" s="2016"/>
      <c r="AS82" s="2016"/>
      <c r="AT82" s="2016"/>
      <c r="AU82" s="2016"/>
      <c r="AV82" s="2016"/>
      <c r="AW82" s="2016"/>
      <c r="AX82" s="2016"/>
      <c r="AY82" s="2016"/>
      <c r="AZ82" s="2016"/>
      <c r="BA82" s="2016"/>
      <c r="BB82" s="2016"/>
      <c r="BC82" s="2016"/>
      <c r="BD82" s="2016"/>
      <c r="BE82" s="2016"/>
      <c r="BF82" s="2016"/>
      <c r="BG82" s="2016"/>
      <c r="BH82" s="2016"/>
      <c r="BI82" s="2016"/>
      <c r="BJ82" s="2016"/>
      <c r="BK82" s="2016"/>
    </row>
    <row r="83" spans="1:63" s="425" customFormat="1">
      <c r="A83" s="2112"/>
      <c r="B83" s="2112"/>
      <c r="C83" s="2020"/>
      <c r="D83" s="2020"/>
      <c r="E83" s="2112"/>
      <c r="F83" s="2127"/>
      <c r="G83" s="2016"/>
      <c r="H83" s="2016"/>
      <c r="I83" s="2016"/>
      <c r="J83" s="2016"/>
      <c r="K83" s="2016"/>
      <c r="L83" s="2016"/>
      <c r="M83" s="2016"/>
      <c r="N83" s="2016"/>
      <c r="O83" s="2016"/>
      <c r="P83" s="2016"/>
      <c r="Q83" s="2016"/>
      <c r="R83" s="2016"/>
      <c r="S83" s="2016"/>
      <c r="T83" s="2016"/>
      <c r="U83" s="2016"/>
      <c r="V83" s="2016"/>
      <c r="W83" s="2016"/>
      <c r="X83" s="2016"/>
      <c r="Y83" s="2016"/>
      <c r="Z83" s="2016"/>
      <c r="AA83" s="2016"/>
      <c r="AB83" s="2016"/>
      <c r="AC83" s="2016"/>
      <c r="AD83" s="2016"/>
      <c r="AE83" s="2016"/>
      <c r="AF83" s="2016"/>
      <c r="AG83" s="2016"/>
      <c r="AH83" s="2016"/>
      <c r="AI83" s="2016"/>
      <c r="AJ83" s="2016"/>
      <c r="AK83" s="2016"/>
      <c r="AL83" s="2016"/>
      <c r="AM83" s="2016"/>
      <c r="AN83" s="2016"/>
      <c r="AO83" s="2016"/>
      <c r="AP83" s="2016"/>
      <c r="AQ83" s="2016"/>
      <c r="AR83" s="2016"/>
      <c r="AS83" s="2016"/>
      <c r="AT83" s="2016"/>
      <c r="AU83" s="2016"/>
      <c r="AV83" s="2016"/>
      <c r="AW83" s="2016"/>
      <c r="AX83" s="2016"/>
      <c r="AY83" s="2016"/>
      <c r="AZ83" s="2016"/>
      <c r="BA83" s="2016"/>
      <c r="BB83" s="2016"/>
      <c r="BC83" s="2016"/>
      <c r="BD83" s="2016"/>
      <c r="BE83" s="2016"/>
      <c r="BF83" s="2016"/>
      <c r="BG83" s="2016"/>
      <c r="BH83" s="2016"/>
      <c r="BI83" s="2016"/>
      <c r="BJ83" s="2016"/>
      <c r="BK83" s="2016"/>
    </row>
    <row r="84" spans="1:63" s="425" customFormat="1" ht="26.25" customHeight="1">
      <c r="A84" s="2112"/>
      <c r="B84" s="2032" t="s">
        <v>2140</v>
      </c>
      <c r="C84" s="2039"/>
      <c r="D84" s="2039"/>
      <c r="E84" s="2031"/>
      <c r="F84" s="2127"/>
      <c r="G84" s="2029">
        <f>SUM(G38:G78)</f>
        <v>0</v>
      </c>
      <c r="H84" s="2030" t="s">
        <v>982</v>
      </c>
      <c r="I84" s="2031"/>
      <c r="J84" s="2016"/>
      <c r="K84" s="2016"/>
      <c r="L84" s="2016"/>
      <c r="M84" s="2016"/>
      <c r="N84" s="2016"/>
      <c r="O84" s="2016"/>
      <c r="P84" s="2016"/>
      <c r="Q84" s="2016"/>
      <c r="R84" s="2016"/>
      <c r="S84" s="2016"/>
      <c r="T84" s="2016"/>
      <c r="U84" s="2016"/>
      <c r="V84" s="2016"/>
      <c r="W84" s="2016"/>
      <c r="X84" s="2016"/>
      <c r="Y84" s="2016"/>
      <c r="Z84" s="2016"/>
      <c r="AA84" s="2016"/>
      <c r="AB84" s="2016"/>
      <c r="AC84" s="2016"/>
      <c r="AD84" s="2016"/>
      <c r="AE84" s="2016"/>
      <c r="AF84" s="2016"/>
      <c r="AG84" s="2016"/>
      <c r="AH84" s="2016"/>
      <c r="AI84" s="2016"/>
      <c r="AJ84" s="2016"/>
      <c r="AK84" s="2016"/>
      <c r="AL84" s="2016"/>
      <c r="AM84" s="2016"/>
      <c r="AN84" s="2016"/>
      <c r="AO84" s="2016"/>
      <c r="AP84" s="2016"/>
      <c r="AQ84" s="2016"/>
      <c r="AR84" s="2016"/>
      <c r="AS84" s="2016"/>
      <c r="AT84" s="2016"/>
      <c r="AU84" s="2016"/>
      <c r="AV84" s="2016"/>
      <c r="AW84" s="2016"/>
      <c r="AX84" s="2016"/>
      <c r="AY84" s="2016"/>
      <c r="AZ84" s="2016"/>
      <c r="BA84" s="2016"/>
      <c r="BB84" s="2016"/>
      <c r="BC84" s="2016"/>
      <c r="BD84" s="2016"/>
      <c r="BE84" s="2016"/>
      <c r="BF84" s="2016"/>
      <c r="BG84" s="2016"/>
      <c r="BH84" s="2016"/>
      <c r="BI84" s="2016"/>
      <c r="BJ84" s="2016"/>
      <c r="BK84" s="2016"/>
    </row>
    <row r="85" spans="1:63" s="425" customFormat="1" ht="13.5" thickBot="1">
      <c r="A85" s="2112"/>
      <c r="B85" s="2112"/>
      <c r="C85" s="2020"/>
      <c r="D85" s="2020"/>
      <c r="E85" s="2112"/>
      <c r="F85" s="2127"/>
      <c r="G85" s="2016"/>
      <c r="H85" s="2016"/>
      <c r="I85" s="2016"/>
      <c r="J85" s="2016"/>
      <c r="K85" s="2016"/>
      <c r="L85" s="2016"/>
      <c r="M85" s="2016"/>
      <c r="N85" s="2016"/>
      <c r="O85" s="2016"/>
      <c r="P85" s="2016"/>
      <c r="Q85" s="2016"/>
      <c r="R85" s="2016"/>
      <c r="S85" s="2016"/>
      <c r="T85" s="2016"/>
      <c r="U85" s="2016"/>
      <c r="V85" s="2016"/>
      <c r="W85" s="2016"/>
      <c r="X85" s="2016"/>
      <c r="Y85" s="2016"/>
      <c r="Z85" s="2016"/>
      <c r="AA85" s="2016"/>
      <c r="AB85" s="2016"/>
      <c r="AC85" s="2016"/>
      <c r="AD85" s="2016"/>
      <c r="AE85" s="2016"/>
      <c r="AF85" s="2016"/>
      <c r="AG85" s="2016"/>
      <c r="AH85" s="2016"/>
      <c r="AI85" s="2016"/>
      <c r="AJ85" s="2016"/>
      <c r="AK85" s="2016"/>
      <c r="AL85" s="2016"/>
      <c r="AM85" s="2016"/>
      <c r="AN85" s="2016"/>
      <c r="AO85" s="2016"/>
      <c r="AP85" s="2016"/>
      <c r="AQ85" s="2016"/>
      <c r="AR85" s="2016"/>
      <c r="AS85" s="2016"/>
      <c r="AT85" s="2016"/>
      <c r="AU85" s="2016"/>
      <c r="AV85" s="2016"/>
      <c r="AW85" s="2016"/>
      <c r="AX85" s="2016"/>
      <c r="AY85" s="2016"/>
      <c r="AZ85" s="2016"/>
      <c r="BA85" s="2016"/>
      <c r="BB85" s="2016"/>
      <c r="BC85" s="2016"/>
      <c r="BD85" s="2016"/>
      <c r="BE85" s="2016"/>
      <c r="BF85" s="2016"/>
      <c r="BG85" s="2016"/>
      <c r="BH85" s="2016"/>
      <c r="BI85" s="2016"/>
      <c r="BJ85" s="2016"/>
      <c r="BK85" s="2016"/>
    </row>
    <row r="86" spans="1:63" s="425" customFormat="1" ht="110.25" customHeight="1" thickBot="1">
      <c r="A86" s="2112"/>
      <c r="B86" s="2040" t="s">
        <v>327</v>
      </c>
      <c r="C86" s="2186"/>
      <c r="D86" s="2187"/>
      <c r="E86" s="2188"/>
      <c r="F86" s="2127"/>
      <c r="G86" s="2016"/>
      <c r="H86" s="2016"/>
      <c r="I86" s="2016"/>
      <c r="J86" s="2016"/>
      <c r="K86" s="2016"/>
      <c r="L86" s="2016"/>
      <c r="M86" s="2016"/>
      <c r="N86" s="2016"/>
      <c r="O86" s="2016"/>
      <c r="P86" s="2016"/>
      <c r="Q86" s="2016"/>
      <c r="R86" s="2016"/>
      <c r="S86" s="2016"/>
      <c r="T86" s="2016"/>
      <c r="U86" s="2016"/>
      <c r="V86" s="2016"/>
      <c r="W86" s="2016"/>
      <c r="X86" s="2016"/>
      <c r="Y86" s="2016"/>
      <c r="Z86" s="2016"/>
      <c r="AA86" s="2016"/>
      <c r="AB86" s="2016"/>
      <c r="AC86" s="2016"/>
      <c r="AD86" s="2016"/>
      <c r="AE86" s="2016"/>
      <c r="AF86" s="2016"/>
      <c r="AG86" s="2016"/>
      <c r="AH86" s="2016"/>
      <c r="AI86" s="2016"/>
      <c r="AJ86" s="2016"/>
      <c r="AK86" s="2016"/>
      <c r="AL86" s="2016"/>
      <c r="AM86" s="2016"/>
      <c r="AN86" s="2016"/>
      <c r="AO86" s="2016"/>
      <c r="AP86" s="2016"/>
      <c r="AQ86" s="2016"/>
      <c r="AR86" s="2016"/>
      <c r="AS86" s="2016"/>
      <c r="AT86" s="2016"/>
      <c r="AU86" s="2016"/>
      <c r="AV86" s="2016"/>
      <c r="AW86" s="2016"/>
      <c r="AX86" s="2016"/>
      <c r="AY86" s="2016"/>
      <c r="AZ86" s="2016"/>
      <c r="BA86" s="2016"/>
      <c r="BB86" s="2016"/>
      <c r="BC86" s="2016"/>
      <c r="BD86" s="2016"/>
      <c r="BE86" s="2016"/>
      <c r="BF86" s="2016"/>
      <c r="BG86" s="2016"/>
      <c r="BH86" s="2016"/>
      <c r="BI86" s="2016"/>
      <c r="BJ86" s="2016"/>
      <c r="BK86" s="2016"/>
    </row>
    <row r="87" spans="1:63" s="425" customFormat="1" ht="13.5" thickBot="1">
      <c r="A87" s="2112"/>
      <c r="B87" s="2112"/>
      <c r="C87" s="2020"/>
      <c r="D87" s="2020"/>
      <c r="E87" s="2112"/>
      <c r="F87" s="2127"/>
      <c r="G87" s="2016"/>
      <c r="H87" s="2016"/>
      <c r="I87" s="2016"/>
      <c r="J87" s="2016"/>
      <c r="K87" s="2016"/>
      <c r="L87" s="2016"/>
      <c r="M87" s="2016"/>
      <c r="N87" s="2016"/>
      <c r="O87" s="2016"/>
      <c r="P87" s="2016"/>
      <c r="Q87" s="2016"/>
      <c r="R87" s="2016"/>
      <c r="S87" s="2016"/>
      <c r="T87" s="2016"/>
      <c r="U87" s="2016"/>
      <c r="V87" s="2016"/>
      <c r="W87" s="2016"/>
      <c r="X87" s="2016"/>
      <c r="Y87" s="2016"/>
      <c r="Z87" s="2016"/>
      <c r="AA87" s="2016"/>
      <c r="AB87" s="2016"/>
      <c r="AC87" s="2016"/>
      <c r="AD87" s="2016"/>
      <c r="AE87" s="2016"/>
      <c r="AF87" s="2016"/>
      <c r="AG87" s="2016"/>
      <c r="AH87" s="2016"/>
      <c r="AI87" s="2016"/>
      <c r="AJ87" s="2016"/>
      <c r="AK87" s="2016"/>
      <c r="AL87" s="2016"/>
      <c r="AM87" s="2016"/>
      <c r="AN87" s="2016"/>
      <c r="AO87" s="2016"/>
      <c r="AP87" s="2016"/>
      <c r="AQ87" s="2016"/>
      <c r="AR87" s="2016"/>
      <c r="AS87" s="2016"/>
      <c r="AT87" s="2016"/>
      <c r="AU87" s="2016"/>
      <c r="AV87" s="2016"/>
      <c r="AW87" s="2016"/>
      <c r="AX87" s="2016"/>
      <c r="AY87" s="2016"/>
      <c r="AZ87" s="2016"/>
      <c r="BA87" s="2016"/>
      <c r="BB87" s="2016"/>
      <c r="BC87" s="2016"/>
      <c r="BD87" s="2016"/>
      <c r="BE87" s="2016"/>
      <c r="BF87" s="2016"/>
      <c r="BG87" s="2016"/>
      <c r="BH87" s="2016"/>
      <c r="BI87" s="2016"/>
      <c r="BJ87" s="2016"/>
      <c r="BK87" s="2016"/>
    </row>
    <row r="88" spans="1:63" s="425" customFormat="1" ht="113.25" customHeight="1" thickBot="1">
      <c r="A88" s="2112"/>
      <c r="B88" s="2040" t="s">
        <v>437</v>
      </c>
      <c r="C88" s="2186"/>
      <c r="D88" s="2187"/>
      <c r="E88" s="2188"/>
      <c r="F88" s="2127"/>
      <c r="G88" s="2016"/>
      <c r="H88" s="2016"/>
      <c r="I88" s="2016"/>
      <c r="J88" s="2016"/>
      <c r="K88" s="2016"/>
      <c r="L88" s="2016"/>
      <c r="M88" s="2016"/>
      <c r="N88" s="2016"/>
      <c r="O88" s="2016"/>
      <c r="P88" s="2016"/>
      <c r="Q88" s="2016"/>
      <c r="R88" s="2016"/>
      <c r="S88" s="2016"/>
      <c r="T88" s="2016"/>
      <c r="U88" s="2016"/>
      <c r="V88" s="2016"/>
      <c r="W88" s="2016"/>
      <c r="X88" s="2016"/>
      <c r="Y88" s="2016"/>
      <c r="Z88" s="2016"/>
      <c r="AA88" s="2016"/>
      <c r="AB88" s="2016"/>
      <c r="AC88" s="2016"/>
      <c r="AD88" s="2016"/>
      <c r="AE88" s="2016"/>
      <c r="AF88" s="2016"/>
      <c r="AG88" s="2016"/>
      <c r="AH88" s="2016"/>
      <c r="AI88" s="2016"/>
      <c r="AJ88" s="2016"/>
      <c r="AK88" s="2016"/>
      <c r="AL88" s="2016"/>
      <c r="AM88" s="2016"/>
      <c r="AN88" s="2016"/>
      <c r="AO88" s="2016"/>
      <c r="AP88" s="2016"/>
      <c r="AQ88" s="2016"/>
      <c r="AR88" s="2016"/>
      <c r="AS88" s="2016"/>
      <c r="AT88" s="2016"/>
      <c r="AU88" s="2016"/>
      <c r="AV88" s="2016"/>
      <c r="AW88" s="2016"/>
      <c r="AX88" s="2016"/>
      <c r="AY88" s="2016"/>
      <c r="AZ88" s="2016"/>
      <c r="BA88" s="2016"/>
      <c r="BB88" s="2016"/>
      <c r="BC88" s="2016"/>
      <c r="BD88" s="2016"/>
      <c r="BE88" s="2016"/>
      <c r="BF88" s="2016"/>
      <c r="BG88" s="2016"/>
      <c r="BH88" s="2016"/>
      <c r="BI88" s="2016"/>
      <c r="BJ88" s="2016"/>
      <c r="BK88" s="2016"/>
    </row>
    <row r="89" spans="1:63" s="425" customFormat="1" ht="13.5" thickBot="1">
      <c r="A89" s="2112"/>
      <c r="B89" s="2109"/>
      <c r="C89" s="2109"/>
      <c r="D89" s="2109"/>
      <c r="E89" s="2112"/>
      <c r="F89" s="2127"/>
      <c r="G89" s="2016"/>
      <c r="H89" s="2016"/>
      <c r="I89" s="2016"/>
      <c r="J89" s="2016"/>
      <c r="K89" s="2016"/>
      <c r="L89" s="2016"/>
      <c r="M89" s="2016"/>
      <c r="N89" s="2016"/>
      <c r="O89" s="2016"/>
      <c r="P89" s="2016"/>
      <c r="Q89" s="2016"/>
      <c r="R89" s="2016"/>
      <c r="S89" s="2016"/>
      <c r="T89" s="2016"/>
      <c r="U89" s="2016"/>
      <c r="V89" s="2016"/>
      <c r="W89" s="2016"/>
      <c r="X89" s="2016"/>
      <c r="Y89" s="2016"/>
      <c r="Z89" s="2016"/>
      <c r="AA89" s="2016"/>
      <c r="AB89" s="2016"/>
      <c r="AC89" s="2016"/>
      <c r="AD89" s="2016"/>
      <c r="AE89" s="2016"/>
      <c r="AF89" s="2016"/>
      <c r="AG89" s="2016"/>
      <c r="AH89" s="2016"/>
      <c r="AI89" s="2016"/>
      <c r="AJ89" s="2016"/>
      <c r="AK89" s="2016"/>
      <c r="AL89" s="2016"/>
      <c r="AM89" s="2016"/>
      <c r="AN89" s="2016"/>
      <c r="AO89" s="2016"/>
      <c r="AP89" s="2016"/>
      <c r="AQ89" s="2016"/>
      <c r="AR89" s="2016"/>
      <c r="AS89" s="2016"/>
      <c r="AT89" s="2016"/>
      <c r="AU89" s="2016"/>
      <c r="AV89" s="2016"/>
      <c r="AW89" s="2016"/>
      <c r="AX89" s="2016"/>
      <c r="AY89" s="2016"/>
      <c r="AZ89" s="2016"/>
      <c r="BA89" s="2016"/>
      <c r="BB89" s="2016"/>
      <c r="BC89" s="2016"/>
      <c r="BD89" s="2016"/>
      <c r="BE89" s="2016"/>
      <c r="BF89" s="2016"/>
      <c r="BG89" s="2016"/>
      <c r="BH89" s="2016"/>
      <c r="BI89" s="2016"/>
      <c r="BJ89" s="2016"/>
      <c r="BK89" s="2016"/>
    </row>
    <row r="90" spans="1:63" s="425" customFormat="1" ht="15" customHeight="1">
      <c r="A90" s="2112"/>
      <c r="B90" s="2113" t="s">
        <v>2333</v>
      </c>
      <c r="C90" s="2186"/>
      <c r="D90" s="2187"/>
      <c r="E90" s="2188"/>
      <c r="F90" s="2127"/>
      <c r="G90" s="2108"/>
      <c r="H90" s="2108"/>
      <c r="I90" s="2108"/>
      <c r="J90" s="2108"/>
      <c r="K90" s="2108"/>
      <c r="L90" s="2108"/>
      <c r="M90" s="2108"/>
      <c r="N90" s="2108"/>
      <c r="O90" s="2108"/>
      <c r="P90" s="2108"/>
      <c r="Q90" s="2108"/>
      <c r="R90" s="2108"/>
      <c r="S90" s="2108"/>
      <c r="T90" s="2108"/>
      <c r="U90" s="2108"/>
      <c r="V90" s="2108"/>
      <c r="W90" s="2108"/>
      <c r="X90" s="2108"/>
      <c r="Y90" s="2108"/>
      <c r="Z90" s="2108"/>
      <c r="AA90" s="2108"/>
      <c r="AB90" s="2108"/>
      <c r="AC90" s="2108"/>
      <c r="AD90" s="2108"/>
      <c r="AE90" s="2108"/>
      <c r="AF90" s="2108"/>
      <c r="AG90" s="2108"/>
      <c r="AH90" s="2108"/>
      <c r="AI90" s="2108"/>
      <c r="AJ90" s="2108"/>
      <c r="AK90" s="2108"/>
      <c r="AL90" s="2108"/>
      <c r="AM90" s="2108"/>
      <c r="AN90" s="2108"/>
      <c r="AO90" s="2108"/>
      <c r="AP90" s="2108"/>
      <c r="AQ90" s="2108"/>
      <c r="AR90" s="2108"/>
      <c r="AS90" s="2108"/>
      <c r="AT90" s="2108"/>
      <c r="AU90" s="2108"/>
      <c r="AV90" s="2108"/>
      <c r="AW90" s="2108"/>
      <c r="AX90" s="2108"/>
      <c r="AY90" s="2108"/>
      <c r="AZ90" s="2108"/>
      <c r="BA90" s="2108"/>
      <c r="BB90" s="2108"/>
      <c r="BC90" s="2108"/>
      <c r="BD90" s="2108"/>
      <c r="BE90" s="2108"/>
      <c r="BF90" s="2108"/>
      <c r="BG90" s="2108"/>
      <c r="BH90" s="2108"/>
      <c r="BI90" s="2108"/>
      <c r="BJ90" s="2108"/>
      <c r="BK90" s="2108"/>
    </row>
    <row r="91" spans="1:63" s="2111" customFormat="1" ht="15" customHeight="1">
      <c r="A91" s="2112"/>
      <c r="B91" s="2114" t="s">
        <v>326</v>
      </c>
      <c r="C91" s="2186"/>
      <c r="D91" s="2187"/>
      <c r="E91" s="2188"/>
      <c r="F91" s="2127"/>
      <c r="G91" s="2112"/>
      <c r="H91" s="2112"/>
      <c r="I91" s="2112"/>
      <c r="J91" s="2112"/>
      <c r="K91" s="2112"/>
      <c r="L91" s="2112"/>
      <c r="M91" s="2112"/>
      <c r="N91" s="2112"/>
      <c r="O91" s="2112"/>
      <c r="P91" s="2112"/>
      <c r="Q91" s="2112"/>
      <c r="R91" s="2112"/>
      <c r="S91" s="2112"/>
      <c r="T91" s="2112"/>
      <c r="U91" s="2112"/>
      <c r="V91" s="2112"/>
      <c r="W91" s="2112"/>
      <c r="X91" s="2112"/>
      <c r="Y91" s="2112"/>
      <c r="Z91" s="2112"/>
      <c r="AA91" s="2112"/>
      <c r="AB91" s="2112"/>
      <c r="AC91" s="2112"/>
      <c r="AD91" s="2112"/>
      <c r="AE91" s="2112"/>
      <c r="AF91" s="2112"/>
      <c r="AG91" s="2112"/>
      <c r="AH91" s="2112"/>
      <c r="AI91" s="2112"/>
      <c r="AJ91" s="2112"/>
      <c r="AK91" s="2112"/>
      <c r="AL91" s="2112"/>
      <c r="AM91" s="2112"/>
      <c r="AN91" s="2112"/>
      <c r="AO91" s="2112"/>
      <c r="AP91" s="2112"/>
      <c r="AQ91" s="2112"/>
      <c r="AR91" s="2112"/>
      <c r="AS91" s="2112"/>
      <c r="AT91" s="2112"/>
      <c r="AU91" s="2112"/>
      <c r="AV91" s="2112"/>
      <c r="AW91" s="2112"/>
      <c r="AX91" s="2112"/>
      <c r="AY91" s="2112"/>
      <c r="AZ91" s="2112"/>
      <c r="BA91" s="2112"/>
      <c r="BB91" s="2112"/>
      <c r="BC91" s="2112"/>
      <c r="BD91" s="2112"/>
      <c r="BE91" s="2112"/>
      <c r="BF91" s="2112"/>
      <c r="BG91" s="2112"/>
      <c r="BH91" s="2112"/>
      <c r="BI91" s="2112"/>
      <c r="BJ91" s="2112"/>
      <c r="BK91" s="2112"/>
    </row>
    <row r="92" spans="1:63" s="2111" customFormat="1" ht="15" customHeight="1">
      <c r="A92" s="2112"/>
      <c r="B92" s="2114" t="s">
        <v>2334</v>
      </c>
      <c r="C92" s="2186"/>
      <c r="D92" s="2187"/>
      <c r="E92" s="2188"/>
      <c r="F92" s="2127"/>
      <c r="G92" s="2112"/>
      <c r="H92" s="2112"/>
      <c r="I92" s="2112"/>
      <c r="J92" s="2112"/>
      <c r="K92" s="2112"/>
      <c r="L92" s="2112"/>
      <c r="M92" s="2112"/>
      <c r="N92" s="2112"/>
      <c r="O92" s="2112"/>
      <c r="P92" s="2112"/>
      <c r="Q92" s="2112"/>
      <c r="R92" s="2112"/>
      <c r="S92" s="2112"/>
      <c r="T92" s="2112"/>
      <c r="U92" s="2112"/>
      <c r="V92" s="2112"/>
      <c r="W92" s="2112"/>
      <c r="X92" s="2112"/>
      <c r="Y92" s="2112"/>
      <c r="Z92" s="2112"/>
      <c r="AA92" s="2112"/>
      <c r="AB92" s="2112"/>
      <c r="AC92" s="2112"/>
      <c r="AD92" s="2112"/>
      <c r="AE92" s="2112"/>
      <c r="AF92" s="2112"/>
      <c r="AG92" s="2112"/>
      <c r="AH92" s="2112"/>
      <c r="AI92" s="2112"/>
      <c r="AJ92" s="2112"/>
      <c r="AK92" s="2112"/>
      <c r="AL92" s="2112"/>
      <c r="AM92" s="2112"/>
      <c r="AN92" s="2112"/>
      <c r="AO92" s="2112"/>
      <c r="AP92" s="2112"/>
      <c r="AQ92" s="2112"/>
      <c r="AR92" s="2112"/>
      <c r="AS92" s="2112"/>
      <c r="AT92" s="2112"/>
      <c r="AU92" s="2112"/>
      <c r="AV92" s="2112"/>
      <c r="AW92" s="2112"/>
      <c r="AX92" s="2112"/>
      <c r="AY92" s="2112"/>
      <c r="AZ92" s="2112"/>
      <c r="BA92" s="2112"/>
      <c r="BB92" s="2112"/>
      <c r="BC92" s="2112"/>
      <c r="BD92" s="2112"/>
      <c r="BE92" s="2112"/>
      <c r="BF92" s="2112"/>
      <c r="BG92" s="2112"/>
      <c r="BH92" s="2112"/>
      <c r="BI92" s="2112"/>
      <c r="BJ92" s="2112"/>
      <c r="BK92" s="2112"/>
    </row>
    <row r="93" spans="1:63" s="2111" customFormat="1" ht="15" customHeight="1">
      <c r="A93" s="2112"/>
      <c r="B93" s="2114" t="s">
        <v>2335</v>
      </c>
      <c r="C93" s="2186"/>
      <c r="D93" s="2187"/>
      <c r="E93" s="2188"/>
      <c r="F93" s="2127"/>
      <c r="G93" s="2112"/>
      <c r="H93" s="2112"/>
      <c r="I93" s="2112"/>
      <c r="J93" s="2112"/>
      <c r="K93" s="2112"/>
      <c r="L93" s="2112"/>
      <c r="M93" s="2112"/>
      <c r="N93" s="2112"/>
      <c r="O93" s="2112"/>
      <c r="P93" s="2112"/>
      <c r="Q93" s="2112"/>
      <c r="R93" s="2112"/>
      <c r="S93" s="2112"/>
      <c r="T93" s="2112"/>
      <c r="U93" s="2112"/>
      <c r="V93" s="2112"/>
      <c r="W93" s="2112"/>
      <c r="X93" s="2112"/>
      <c r="Y93" s="2112"/>
      <c r="Z93" s="2112"/>
      <c r="AA93" s="2112"/>
      <c r="AB93" s="2112"/>
      <c r="AC93" s="2112"/>
      <c r="AD93" s="2112"/>
      <c r="AE93" s="2112"/>
      <c r="AF93" s="2112"/>
      <c r="AG93" s="2112"/>
      <c r="AH93" s="2112"/>
      <c r="AI93" s="2112"/>
      <c r="AJ93" s="2112"/>
      <c r="AK93" s="2112"/>
      <c r="AL93" s="2112"/>
      <c r="AM93" s="2112"/>
      <c r="AN93" s="2112"/>
      <c r="AO93" s="2112"/>
      <c r="AP93" s="2112"/>
      <c r="AQ93" s="2112"/>
      <c r="AR93" s="2112"/>
      <c r="AS93" s="2112"/>
      <c r="AT93" s="2112"/>
      <c r="AU93" s="2112"/>
      <c r="AV93" s="2112"/>
      <c r="AW93" s="2112"/>
      <c r="AX93" s="2112"/>
      <c r="AY93" s="2112"/>
      <c r="AZ93" s="2112"/>
      <c r="BA93" s="2112"/>
      <c r="BB93" s="2112"/>
      <c r="BC93" s="2112"/>
      <c r="BD93" s="2112"/>
      <c r="BE93" s="2112"/>
      <c r="BF93" s="2112"/>
      <c r="BG93" s="2112"/>
      <c r="BH93" s="2112"/>
      <c r="BI93" s="2112"/>
      <c r="BJ93" s="2112"/>
      <c r="BK93" s="2112"/>
    </row>
    <row r="94" spans="1:63" s="2111" customFormat="1" ht="15" customHeight="1">
      <c r="A94" s="2112"/>
      <c r="B94" s="2114" t="s">
        <v>2336</v>
      </c>
      <c r="C94" s="2186"/>
      <c r="D94" s="2187"/>
      <c r="E94" s="2188"/>
      <c r="F94" s="2127"/>
      <c r="G94" s="2112"/>
      <c r="H94" s="2112"/>
      <c r="I94" s="2112"/>
      <c r="J94" s="2112"/>
      <c r="K94" s="2112"/>
      <c r="L94" s="2112"/>
      <c r="M94" s="2112"/>
      <c r="N94" s="2112"/>
      <c r="O94" s="2112"/>
      <c r="P94" s="2112"/>
      <c r="Q94" s="2112"/>
      <c r="R94" s="2112"/>
      <c r="S94" s="2112"/>
      <c r="T94" s="2112"/>
      <c r="U94" s="2112"/>
      <c r="V94" s="2112"/>
      <c r="W94" s="2112"/>
      <c r="X94" s="2112"/>
      <c r="Y94" s="2112"/>
      <c r="Z94" s="2112"/>
      <c r="AA94" s="2112"/>
      <c r="AB94" s="2112"/>
      <c r="AC94" s="2112"/>
      <c r="AD94" s="2112"/>
      <c r="AE94" s="2112"/>
      <c r="AF94" s="2112"/>
      <c r="AG94" s="2112"/>
      <c r="AH94" s="2112"/>
      <c r="AI94" s="2112"/>
      <c r="AJ94" s="2112"/>
      <c r="AK94" s="2112"/>
      <c r="AL94" s="2112"/>
      <c r="AM94" s="2112"/>
      <c r="AN94" s="2112"/>
      <c r="AO94" s="2112"/>
      <c r="AP94" s="2112"/>
      <c r="AQ94" s="2112"/>
      <c r="AR94" s="2112"/>
      <c r="AS94" s="2112"/>
      <c r="AT94" s="2112"/>
      <c r="AU94" s="2112"/>
      <c r="AV94" s="2112"/>
      <c r="AW94" s="2112"/>
      <c r="AX94" s="2112"/>
      <c r="AY94" s="2112"/>
      <c r="AZ94" s="2112"/>
      <c r="BA94" s="2112"/>
      <c r="BB94" s="2112"/>
      <c r="BC94" s="2112"/>
      <c r="BD94" s="2112"/>
      <c r="BE94" s="2112"/>
      <c r="BF94" s="2112"/>
      <c r="BG94" s="2112"/>
      <c r="BH94" s="2112"/>
      <c r="BI94" s="2112"/>
      <c r="BJ94" s="2112"/>
      <c r="BK94" s="2112"/>
    </row>
    <row r="95" spans="1:63" s="425" customFormat="1" ht="15" customHeight="1" thickBot="1">
      <c r="A95" s="2112"/>
      <c r="B95" s="2115" t="s">
        <v>2337</v>
      </c>
      <c r="C95" s="2186"/>
      <c r="D95" s="2187"/>
      <c r="E95" s="2188"/>
      <c r="F95" s="2127"/>
      <c r="G95" s="2108"/>
      <c r="H95" s="2108"/>
      <c r="I95" s="2108"/>
      <c r="J95" s="2108"/>
      <c r="K95" s="2108"/>
      <c r="L95" s="2108"/>
      <c r="M95" s="2108"/>
      <c r="N95" s="2108"/>
      <c r="O95" s="2108"/>
      <c r="P95" s="2108"/>
      <c r="Q95" s="2108"/>
      <c r="R95" s="2108"/>
      <c r="S95" s="2108"/>
      <c r="T95" s="2108"/>
      <c r="U95" s="2108"/>
      <c r="V95" s="2108"/>
      <c r="W95" s="2108"/>
      <c r="X95" s="2108"/>
      <c r="Y95" s="2108"/>
      <c r="Z95" s="2108"/>
      <c r="AA95" s="2108"/>
      <c r="AB95" s="2108"/>
      <c r="AC95" s="2108"/>
      <c r="AD95" s="2108"/>
      <c r="AE95" s="2108"/>
      <c r="AF95" s="2108"/>
      <c r="AG95" s="2108"/>
      <c r="AH95" s="2108"/>
      <c r="AI95" s="2108"/>
      <c r="AJ95" s="2108"/>
      <c r="AK95" s="2108"/>
      <c r="AL95" s="2108"/>
      <c r="AM95" s="2108"/>
      <c r="AN95" s="2108"/>
      <c r="AO95" s="2108"/>
      <c r="AP95" s="2108"/>
      <c r="AQ95" s="2108"/>
      <c r="AR95" s="2108"/>
      <c r="AS95" s="2108"/>
      <c r="AT95" s="2108"/>
      <c r="AU95" s="2108"/>
      <c r="AV95" s="2108"/>
      <c r="AW95" s="2108"/>
      <c r="AX95" s="2108"/>
      <c r="AY95" s="2108"/>
      <c r="AZ95" s="2108"/>
      <c r="BA95" s="2108"/>
      <c r="BB95" s="2108"/>
      <c r="BC95" s="2108"/>
      <c r="BD95" s="2108"/>
      <c r="BE95" s="2108"/>
      <c r="BF95" s="2108"/>
      <c r="BG95" s="2108"/>
      <c r="BH95" s="2108"/>
      <c r="BI95" s="2108"/>
      <c r="BJ95" s="2108"/>
      <c r="BK95" s="2108"/>
    </row>
    <row r="96" spans="1:63" s="425" customFormat="1">
      <c r="A96" s="2112"/>
      <c r="B96" s="2110"/>
      <c r="C96" s="2109"/>
      <c r="D96" s="2109"/>
      <c r="E96" s="2112"/>
      <c r="F96" s="2127"/>
      <c r="G96" s="2108"/>
      <c r="H96" s="2108"/>
      <c r="I96" s="2108"/>
      <c r="J96" s="2108"/>
      <c r="K96" s="2108"/>
      <c r="L96" s="2108"/>
      <c r="M96" s="2108"/>
      <c r="N96" s="2108"/>
      <c r="O96" s="2108"/>
      <c r="P96" s="2108"/>
      <c r="Q96" s="2108"/>
      <c r="R96" s="2108"/>
      <c r="S96" s="2108"/>
      <c r="T96" s="2108"/>
      <c r="U96" s="2108"/>
      <c r="V96" s="2108"/>
      <c r="W96" s="2108"/>
      <c r="X96" s="2108"/>
      <c r="Y96" s="2108"/>
      <c r="Z96" s="2108"/>
      <c r="AA96" s="2108"/>
      <c r="AB96" s="2108"/>
      <c r="AC96" s="2108"/>
      <c r="AD96" s="2108"/>
      <c r="AE96" s="2108"/>
      <c r="AF96" s="2108"/>
      <c r="AG96" s="2108"/>
      <c r="AH96" s="2108"/>
      <c r="AI96" s="2108"/>
      <c r="AJ96" s="2108"/>
      <c r="AK96" s="2108"/>
      <c r="AL96" s="2108"/>
      <c r="AM96" s="2108"/>
      <c r="AN96" s="2108"/>
      <c r="AO96" s="2108"/>
      <c r="AP96" s="2108"/>
      <c r="AQ96" s="2108"/>
      <c r="AR96" s="2108"/>
      <c r="AS96" s="2108"/>
      <c r="AT96" s="2108"/>
      <c r="AU96" s="2108"/>
      <c r="AV96" s="2108"/>
      <c r="AW96" s="2108"/>
      <c r="AX96" s="2108"/>
      <c r="AY96" s="2108"/>
      <c r="AZ96" s="2108"/>
      <c r="BA96" s="2108"/>
      <c r="BB96" s="2108"/>
      <c r="BC96" s="2108"/>
      <c r="BD96" s="2108"/>
      <c r="BE96" s="2108"/>
      <c r="BF96" s="2108"/>
      <c r="BG96" s="2108"/>
      <c r="BH96" s="2108"/>
      <c r="BI96" s="2108"/>
      <c r="BJ96" s="2108"/>
      <c r="BK96" s="2108"/>
    </row>
    <row r="97" spans="1:63" s="425" customFormat="1" ht="50.25" customHeight="1">
      <c r="A97" s="2112"/>
      <c r="B97" s="2189" t="s">
        <v>2106</v>
      </c>
      <c r="C97" s="2190"/>
      <c r="D97" s="2190"/>
      <c r="E97" s="2190"/>
      <c r="F97" s="2128"/>
      <c r="G97" s="2108"/>
      <c r="H97" s="2108"/>
      <c r="I97" s="2108"/>
      <c r="J97" s="2108"/>
      <c r="K97" s="2108"/>
      <c r="L97" s="2108"/>
      <c r="M97" s="2108"/>
      <c r="N97" s="2108"/>
      <c r="O97" s="2108"/>
      <c r="P97" s="2108"/>
      <c r="Q97" s="2108"/>
      <c r="R97" s="2108"/>
      <c r="S97" s="2108"/>
      <c r="T97" s="2108"/>
      <c r="U97" s="2108"/>
      <c r="V97" s="2108"/>
      <c r="W97" s="2108"/>
      <c r="X97" s="2108"/>
      <c r="Y97" s="2108"/>
      <c r="Z97" s="2108"/>
      <c r="AA97" s="2108"/>
      <c r="AB97" s="2108"/>
      <c r="AC97" s="2108"/>
      <c r="AD97" s="2108"/>
      <c r="AE97" s="2108"/>
      <c r="AF97" s="2108"/>
      <c r="AG97" s="2108"/>
      <c r="AH97" s="2108"/>
      <c r="AI97" s="2108"/>
      <c r="AJ97" s="2108"/>
      <c r="AK97" s="2108"/>
      <c r="AL97" s="2108"/>
      <c r="AM97" s="2108"/>
      <c r="AN97" s="2108"/>
      <c r="AO97" s="2108"/>
      <c r="AP97" s="2108"/>
      <c r="AQ97" s="2108"/>
      <c r="AR97" s="2108"/>
      <c r="AS97" s="2108"/>
      <c r="AT97" s="2108"/>
      <c r="AU97" s="2108"/>
      <c r="AV97" s="2108"/>
      <c r="AW97" s="2108"/>
      <c r="AX97" s="2108"/>
      <c r="AY97" s="2108"/>
      <c r="AZ97" s="2108"/>
      <c r="BA97" s="2108"/>
      <c r="BB97" s="2108"/>
      <c r="BC97" s="2108"/>
      <c r="BD97" s="2108"/>
      <c r="BE97" s="2108"/>
      <c r="BF97" s="2108"/>
      <c r="BG97" s="2108"/>
      <c r="BH97" s="2108"/>
      <c r="BI97" s="2108"/>
      <c r="BJ97" s="2108"/>
      <c r="BK97" s="2108"/>
    </row>
    <row r="107" spans="1:63" hidden="1"/>
    <row r="108" spans="1:63" hidden="1"/>
    <row r="109" spans="1:63" hidden="1"/>
    <row r="110" spans="1:63" s="874" customFormat="1" ht="18" hidden="1">
      <c r="A110" s="2042"/>
      <c r="B110" s="2042" t="s">
        <v>1254</v>
      </c>
      <c r="C110" s="2043"/>
      <c r="D110" s="2043"/>
      <c r="E110" s="2042"/>
      <c r="F110" s="2130"/>
      <c r="G110" s="2042"/>
      <c r="H110" s="2042"/>
      <c r="I110" s="2042"/>
      <c r="J110" s="2042"/>
      <c r="K110" s="2042"/>
      <c r="L110" s="2042"/>
      <c r="M110" s="2042"/>
      <c r="N110" s="2042"/>
      <c r="O110" s="2042"/>
      <c r="P110" s="2042"/>
      <c r="Q110" s="2042"/>
      <c r="R110" s="2042"/>
      <c r="S110" s="2042"/>
      <c r="T110" s="2042"/>
      <c r="U110" s="2042"/>
      <c r="V110" s="2042"/>
      <c r="W110" s="2042"/>
      <c r="X110" s="2042"/>
      <c r="Y110" s="2042"/>
      <c r="Z110" s="2042"/>
      <c r="AA110" s="2042"/>
      <c r="AB110" s="2042"/>
      <c r="AC110" s="2042"/>
      <c r="AD110" s="2042"/>
      <c r="AE110" s="2042"/>
      <c r="AF110" s="2042"/>
      <c r="AG110" s="2042"/>
      <c r="AH110" s="2042"/>
      <c r="AI110" s="2042"/>
      <c r="AJ110" s="2042"/>
      <c r="AK110" s="2042"/>
      <c r="AL110" s="2042"/>
      <c r="AM110" s="2042"/>
      <c r="AN110" s="2042"/>
      <c r="AO110" s="2042"/>
      <c r="AP110" s="2042"/>
      <c r="AQ110" s="2042"/>
      <c r="AR110" s="2042"/>
      <c r="AS110" s="2042"/>
      <c r="AT110" s="2042"/>
      <c r="AU110" s="2042"/>
      <c r="AV110" s="2042"/>
      <c r="AW110" s="2042"/>
      <c r="AX110" s="2042"/>
      <c r="AY110" s="2042"/>
      <c r="AZ110" s="2042"/>
      <c r="BA110" s="2042"/>
      <c r="BB110" s="2042"/>
      <c r="BC110" s="2042"/>
      <c r="BD110" s="2042"/>
      <c r="BE110" s="2042"/>
      <c r="BF110" s="2042"/>
      <c r="BG110" s="2042"/>
      <c r="BH110" s="2042"/>
      <c r="BI110" s="2042"/>
      <c r="BJ110" s="2042"/>
      <c r="BK110" s="2042"/>
    </row>
    <row r="111" spans="1:63" hidden="1"/>
    <row r="112" spans="1:63" hidden="1">
      <c r="B112" s="2044" t="s">
        <v>1247</v>
      </c>
    </row>
    <row r="113" spans="2:2" hidden="1">
      <c r="B113" s="2014" t="s">
        <v>1232</v>
      </c>
    </row>
    <row r="114" spans="2:2" hidden="1">
      <c r="B114" s="2014" t="s">
        <v>1233</v>
      </c>
    </row>
    <row r="115" spans="2:2" hidden="1">
      <c r="B115" s="2014" t="s">
        <v>1234</v>
      </c>
    </row>
    <row r="116" spans="2:2" hidden="1">
      <c r="B116" s="2014" t="s">
        <v>1235</v>
      </c>
    </row>
    <row r="117" spans="2:2" hidden="1">
      <c r="B117" s="2014" t="s">
        <v>1236</v>
      </c>
    </row>
    <row r="118" spans="2:2" hidden="1">
      <c r="B118" s="2014" t="s">
        <v>1237</v>
      </c>
    </row>
    <row r="119" spans="2:2" hidden="1">
      <c r="B119" s="2014" t="s">
        <v>1238</v>
      </c>
    </row>
    <row r="120" spans="2:2" hidden="1">
      <c r="B120" s="2014" t="s">
        <v>1301</v>
      </c>
    </row>
    <row r="121" spans="2:2" hidden="1">
      <c r="B121" s="2014" t="s">
        <v>1239</v>
      </c>
    </row>
    <row r="122" spans="2:2" hidden="1">
      <c r="B122" s="2014" t="s">
        <v>1241</v>
      </c>
    </row>
    <row r="123" spans="2:2" hidden="1">
      <c r="B123" s="2014" t="s">
        <v>1242</v>
      </c>
    </row>
    <row r="124" spans="2:2" hidden="1">
      <c r="B124" s="2014" t="s">
        <v>1240</v>
      </c>
    </row>
    <row r="125" spans="2:2" hidden="1">
      <c r="B125" s="2014" t="s">
        <v>1252</v>
      </c>
    </row>
    <row r="126" spans="2:2" hidden="1">
      <c r="B126" s="2014" t="s">
        <v>1243</v>
      </c>
    </row>
    <row r="127" spans="2:2" hidden="1">
      <c r="B127" s="2014" t="s">
        <v>1244</v>
      </c>
    </row>
    <row r="128" spans="2:2" hidden="1"/>
    <row r="129" spans="2:2" hidden="1">
      <c r="B129" s="2044" t="s">
        <v>1390</v>
      </c>
    </row>
    <row r="130" spans="2:2" hidden="1">
      <c r="B130" s="2014" t="s">
        <v>1392</v>
      </c>
    </row>
    <row r="131" spans="2:2" hidden="1">
      <c r="B131" s="2014" t="s">
        <v>1393</v>
      </c>
    </row>
    <row r="132" spans="2:2" hidden="1">
      <c r="B132" s="2014" t="s">
        <v>1394</v>
      </c>
    </row>
    <row r="133" spans="2:2" hidden="1">
      <c r="B133" s="2014" t="s">
        <v>1395</v>
      </c>
    </row>
    <row r="134" spans="2:2" hidden="1">
      <c r="B134" s="2014" t="s">
        <v>1396</v>
      </c>
    </row>
    <row r="135" spans="2:2" hidden="1">
      <c r="B135" s="2014" t="s">
        <v>1397</v>
      </c>
    </row>
    <row r="136" spans="2:2" hidden="1">
      <c r="B136" s="2014" t="s">
        <v>1398</v>
      </c>
    </row>
    <row r="137" spans="2:2" hidden="1">
      <c r="B137" s="2014" t="s">
        <v>1399</v>
      </c>
    </row>
    <row r="138" spans="2:2" hidden="1">
      <c r="B138" s="2014" t="s">
        <v>1400</v>
      </c>
    </row>
    <row r="139" spans="2:2" hidden="1">
      <c r="B139" s="2014" t="s">
        <v>1401</v>
      </c>
    </row>
    <row r="140" spans="2:2" hidden="1">
      <c r="B140" s="2014" t="s">
        <v>1402</v>
      </c>
    </row>
    <row r="141" spans="2:2" hidden="1">
      <c r="B141" s="2014" t="s">
        <v>1403</v>
      </c>
    </row>
    <row r="142" spans="2:2" hidden="1">
      <c r="B142" s="2014" t="s">
        <v>1404</v>
      </c>
    </row>
    <row r="143" spans="2:2" hidden="1">
      <c r="B143" s="2014" t="s">
        <v>1405</v>
      </c>
    </row>
    <row r="144" spans="2:2" hidden="1">
      <c r="B144" s="2014" t="s">
        <v>1406</v>
      </c>
    </row>
    <row r="145" spans="2:2" hidden="1">
      <c r="B145" s="2014" t="s">
        <v>1407</v>
      </c>
    </row>
    <row r="146" spans="2:2" hidden="1">
      <c r="B146" s="2014" t="s">
        <v>1408</v>
      </c>
    </row>
    <row r="147" spans="2:2" hidden="1">
      <c r="B147" s="2014" t="s">
        <v>1409</v>
      </c>
    </row>
    <row r="148" spans="2:2" hidden="1">
      <c r="B148" s="2014" t="s">
        <v>1410</v>
      </c>
    </row>
    <row r="149" spans="2:2" hidden="1">
      <c r="B149" s="2014" t="s">
        <v>728</v>
      </c>
    </row>
    <row r="150" spans="2:2" hidden="1"/>
    <row r="151" spans="2:2" hidden="1">
      <c r="B151" s="2044" t="s">
        <v>1391</v>
      </c>
    </row>
    <row r="152" spans="2:2" hidden="1">
      <c r="B152" s="2014" t="s">
        <v>1411</v>
      </c>
    </row>
    <row r="153" spans="2:2" hidden="1">
      <c r="B153" s="2014" t="s">
        <v>1412</v>
      </c>
    </row>
    <row r="154" spans="2:2" hidden="1">
      <c r="B154" s="2014" t="s">
        <v>1413</v>
      </c>
    </row>
    <row r="155" spans="2:2" hidden="1">
      <c r="B155" s="2014" t="s">
        <v>1414</v>
      </c>
    </row>
    <row r="156" spans="2:2" hidden="1">
      <c r="B156" s="2014" t="s">
        <v>1415</v>
      </c>
    </row>
    <row r="157" spans="2:2" hidden="1">
      <c r="B157" s="2014" t="s">
        <v>1416</v>
      </c>
    </row>
    <row r="158" spans="2:2" hidden="1">
      <c r="B158" s="2014" t="s">
        <v>1417</v>
      </c>
    </row>
    <row r="159" spans="2:2" hidden="1">
      <c r="B159" s="2014" t="s">
        <v>1418</v>
      </c>
    </row>
    <row r="160" spans="2:2" hidden="1">
      <c r="B160" s="2014" t="s">
        <v>1419</v>
      </c>
    </row>
    <row r="161" spans="2:2" hidden="1">
      <c r="B161" s="2014" t="s">
        <v>1420</v>
      </c>
    </row>
    <row r="162" spans="2:2" hidden="1">
      <c r="B162" s="2014" t="s">
        <v>1421</v>
      </c>
    </row>
    <row r="163" spans="2:2" hidden="1">
      <c r="B163" s="2014" t="s">
        <v>1422</v>
      </c>
    </row>
    <row r="164" spans="2:2" hidden="1">
      <c r="B164" s="2014" t="s">
        <v>1423</v>
      </c>
    </row>
    <row r="165" spans="2:2" hidden="1">
      <c r="B165" s="2014" t="s">
        <v>1424</v>
      </c>
    </row>
    <row r="166" spans="2:2" hidden="1">
      <c r="B166" s="2014" t="s">
        <v>1425</v>
      </c>
    </row>
    <row r="167" spans="2:2" hidden="1">
      <c r="B167" s="2014" t="s">
        <v>1426</v>
      </c>
    </row>
    <row r="168" spans="2:2" hidden="1">
      <c r="B168" s="2014" t="s">
        <v>1427</v>
      </c>
    </row>
    <row r="169" spans="2:2" hidden="1">
      <c r="B169" s="2014" t="s">
        <v>1428</v>
      </c>
    </row>
    <row r="170" spans="2:2" hidden="1">
      <c r="B170" s="2014" t="s">
        <v>1429</v>
      </c>
    </row>
    <row r="171" spans="2:2" hidden="1">
      <c r="B171" s="2014" t="s">
        <v>1430</v>
      </c>
    </row>
    <row r="172" spans="2:2" hidden="1"/>
    <row r="173" spans="2:2" hidden="1">
      <c r="B173" s="2044" t="s">
        <v>1265</v>
      </c>
    </row>
    <row r="174" spans="2:2" hidden="1">
      <c r="B174" s="2014" t="s">
        <v>1268</v>
      </c>
    </row>
    <row r="175" spans="2:2" hidden="1">
      <c r="B175" s="2014" t="s">
        <v>1266</v>
      </c>
    </row>
    <row r="176" spans="2:2" hidden="1">
      <c r="B176" s="2014" t="s">
        <v>1267</v>
      </c>
    </row>
    <row r="177" spans="1:63" hidden="1"/>
    <row r="178" spans="1:63" hidden="1"/>
    <row r="179" spans="1:63" s="874" customFormat="1" ht="18" hidden="1">
      <c r="A179" s="2042"/>
      <c r="B179" s="2042" t="s">
        <v>1260</v>
      </c>
      <c r="C179" s="2043"/>
      <c r="D179" s="2043"/>
      <c r="E179" s="2042"/>
      <c r="F179" s="2130"/>
      <c r="G179" s="2042"/>
      <c r="H179" s="2042"/>
      <c r="I179" s="2042"/>
      <c r="J179" s="2042"/>
      <c r="K179" s="2042"/>
      <c r="L179" s="2042"/>
      <c r="M179" s="2042"/>
      <c r="N179" s="2042"/>
      <c r="O179" s="2042"/>
      <c r="P179" s="2042"/>
      <c r="Q179" s="2042"/>
      <c r="R179" s="2042"/>
      <c r="S179" s="2042"/>
      <c r="T179" s="2042"/>
      <c r="U179" s="2042"/>
      <c r="V179" s="2042"/>
      <c r="W179" s="2042"/>
      <c r="X179" s="2042"/>
      <c r="Y179" s="2042"/>
      <c r="Z179" s="2042"/>
      <c r="AA179" s="2042"/>
      <c r="AB179" s="2042"/>
      <c r="AC179" s="2042"/>
      <c r="AD179" s="2042"/>
      <c r="AE179" s="2042"/>
      <c r="AF179" s="2042"/>
      <c r="AG179" s="2042"/>
      <c r="AH179" s="2042"/>
      <c r="AI179" s="2042"/>
      <c r="AJ179" s="2042"/>
      <c r="AK179" s="2042"/>
      <c r="AL179" s="2042"/>
      <c r="AM179" s="2042"/>
      <c r="AN179" s="2042"/>
      <c r="AO179" s="2042"/>
      <c r="AP179" s="2042"/>
      <c r="AQ179" s="2042"/>
      <c r="AR179" s="2042"/>
      <c r="AS179" s="2042"/>
      <c r="AT179" s="2042"/>
      <c r="AU179" s="2042"/>
      <c r="AV179" s="2042"/>
      <c r="AW179" s="2042"/>
      <c r="AX179" s="2042"/>
      <c r="AY179" s="2042"/>
      <c r="AZ179" s="2042"/>
      <c r="BA179" s="2042"/>
      <c r="BB179" s="2042"/>
      <c r="BC179" s="2042"/>
      <c r="BD179" s="2042"/>
      <c r="BE179" s="2042"/>
      <c r="BF179" s="2042"/>
      <c r="BG179" s="2042"/>
      <c r="BH179" s="2042"/>
      <c r="BI179" s="2042"/>
      <c r="BJ179" s="2042"/>
      <c r="BK179" s="2042"/>
    </row>
    <row r="180" spans="1:63" hidden="1"/>
    <row r="181" spans="1:63" hidden="1">
      <c r="B181" s="2044" t="s">
        <v>1272</v>
      </c>
    </row>
    <row r="182" spans="1:63" hidden="1">
      <c r="B182" s="2014" t="s">
        <v>1269</v>
      </c>
      <c r="C182" s="2045">
        <f>C79</f>
        <v>0</v>
      </c>
      <c r="E182" s="2014" t="s">
        <v>982</v>
      </c>
    </row>
    <row r="183" spans="1:63" hidden="1">
      <c r="B183" s="2014" t="s">
        <v>1270</v>
      </c>
      <c r="C183" s="2045">
        <f>D79</f>
        <v>0</v>
      </c>
      <c r="E183" s="2014" t="s">
        <v>982</v>
      </c>
    </row>
    <row r="184" spans="1:63" hidden="1">
      <c r="B184" s="2014" t="s">
        <v>1271</v>
      </c>
      <c r="C184" s="2045">
        <f>E79</f>
        <v>0</v>
      </c>
      <c r="E184" s="2014" t="s">
        <v>982</v>
      </c>
    </row>
    <row r="185" spans="1:63" hidden="1">
      <c r="B185" s="2014" t="s">
        <v>32</v>
      </c>
      <c r="C185" s="2046">
        <f>SUM(C182:C184)</f>
        <v>0</v>
      </c>
      <c r="E185" s="2014" t="s">
        <v>982</v>
      </c>
    </row>
    <row r="186" spans="1:63" hidden="1"/>
  </sheetData>
  <sheetProtection password="AD9B" sheet="1" objects="1" scenarios="1"/>
  <mergeCells count="40">
    <mergeCell ref="G37:I37"/>
    <mergeCell ref="B35:E35"/>
    <mergeCell ref="B36:E36"/>
    <mergeCell ref="C80:E80"/>
    <mergeCell ref="C32:E32"/>
    <mergeCell ref="C33:E33"/>
    <mergeCell ref="C26:E26"/>
    <mergeCell ref="C27:E27"/>
    <mergeCell ref="C28:E28"/>
    <mergeCell ref="B6:B8"/>
    <mergeCell ref="C16:E16"/>
    <mergeCell ref="C17:E17"/>
    <mergeCell ref="C18:E18"/>
    <mergeCell ref="C19:E19"/>
    <mergeCell ref="C29:E29"/>
    <mergeCell ref="C30:E30"/>
    <mergeCell ref="C12:E12"/>
    <mergeCell ref="C13:E13"/>
    <mergeCell ref="C5:E5"/>
    <mergeCell ref="C6:E6"/>
    <mergeCell ref="C7:E7"/>
    <mergeCell ref="C8:E8"/>
    <mergeCell ref="C9:E9"/>
    <mergeCell ref="C10:E10"/>
    <mergeCell ref="C20:E20"/>
    <mergeCell ref="C21:E21"/>
    <mergeCell ref="C22:E22"/>
    <mergeCell ref="C23:E23"/>
    <mergeCell ref="C24:E24"/>
    <mergeCell ref="C25:E25"/>
    <mergeCell ref="C95:E95"/>
    <mergeCell ref="B97:E97"/>
    <mergeCell ref="C81:E81"/>
    <mergeCell ref="C86:E86"/>
    <mergeCell ref="C88:E88"/>
    <mergeCell ref="C90:E90"/>
    <mergeCell ref="C91:E91"/>
    <mergeCell ref="C92:E92"/>
    <mergeCell ref="C93:E93"/>
    <mergeCell ref="C94:E94"/>
  </mergeCells>
  <phoneticPr fontId="12" type="noConversion"/>
  <dataValidations count="1">
    <dataValidation type="list" allowBlank="1" showInputMessage="1" showErrorMessage="1" sqref="C32">
      <formula1>$B$113:$B$127</formula1>
    </dataValidation>
  </dataValidations>
  <printOptions horizontalCentered="1"/>
  <pageMargins left="0.39370078740157483" right="0.39370078740157483" top="0.39370078740157483" bottom="0.39370078740157483" header="0.15748031496062992" footer="0.15748031496062992"/>
  <pageSetup paperSize="9" scale="44" orientation="portrait" blackAndWhite="1" horizontalDpi="300" verticalDpi="300" r:id="rId1"/>
  <headerFooter alignWithMargins="0">
    <oddFooter>&amp;L&amp;F&amp;CPage &amp;P of &amp;N&amp;R&amp;A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6658" r:id="rId4" name="Drop Down 2">
              <controlPr locked="0" defaultSize="0" autoLine="0" autoPict="0">
                <anchor moveWithCells="1">
                  <from>
                    <xdr:col>2</xdr:col>
                    <xdr:colOff>9525</xdr:colOff>
                    <xdr:row>0</xdr:row>
                    <xdr:rowOff>514350</xdr:rowOff>
                  </from>
                  <to>
                    <xdr:col>3</xdr:col>
                    <xdr:colOff>666750</xdr:colOff>
                    <xdr:row>1</xdr:row>
                    <xdr:rowOff>180975</xdr:rowOff>
                  </to>
                </anchor>
              </controlPr>
            </control>
          </mc:Choice>
        </mc:AlternateContent>
        <mc:AlternateContent xmlns:mc="http://schemas.openxmlformats.org/markup-compatibility/2006">
          <mc:Choice Requires="x14">
            <control shapeId="326665" r:id="rId5" name="Drop Down 9">
              <controlPr locked="0" defaultSize="0" autoLine="0" autoPict="0">
                <anchor moveWithCells="1">
                  <from>
                    <xdr:col>2</xdr:col>
                    <xdr:colOff>0</xdr:colOff>
                    <xdr:row>2</xdr:row>
                    <xdr:rowOff>0</xdr:rowOff>
                  </from>
                  <to>
                    <xdr:col>3</xdr:col>
                    <xdr:colOff>657225</xdr:colOff>
                    <xdr:row>3</xdr:row>
                    <xdr:rowOff>9525</xdr:rowOff>
                  </to>
                </anchor>
              </controlPr>
            </control>
          </mc:Choice>
        </mc:AlternateContent>
        <mc:AlternateContent xmlns:mc="http://schemas.openxmlformats.org/markup-compatibility/2006">
          <mc:Choice Requires="x14">
            <control shapeId="326666" r:id="rId6" name="Button 10">
              <controlPr defaultSize="0" print="0" autoFill="0" autoPict="0" macro="[0]!GoToCreditSummary">
                <anchor moveWithCells="1" sizeWithCells="1">
                  <from>
                    <xdr:col>3</xdr:col>
                    <xdr:colOff>0</xdr:colOff>
                    <xdr:row>97</xdr:row>
                    <xdr:rowOff>142875</xdr:rowOff>
                  </from>
                  <to>
                    <xdr:col>5</xdr:col>
                    <xdr:colOff>0</xdr:colOff>
                    <xdr:row>100</xdr:row>
                    <xdr:rowOff>133350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IU36"/>
  <sheetViews>
    <sheetView zoomScale="80" zoomScaleNormal="85" zoomScaleSheetLayoutView="75" workbookViewId="0">
      <pane xSplit="2" ySplit="4" topLeftCell="C50" activePane="bottomRight" state="frozen"/>
      <selection pane="topRight"/>
      <selection pane="bottomLeft"/>
      <selection pane="bottomRight" activeCell="B58" sqref="B58"/>
    </sheetView>
  </sheetViews>
  <sheetFormatPr defaultColWidth="8.875" defaultRowHeight="12.75"/>
  <cols>
    <col min="1" max="1" width="7.25" style="1150" customWidth="1"/>
    <col min="2" max="2" width="15.125" style="1150" customWidth="1"/>
    <col min="3" max="3" width="25.625" style="1150" customWidth="1"/>
    <col min="4" max="4" width="64.875" style="1150" customWidth="1"/>
    <col min="5" max="7" width="12.625" style="275" customWidth="1"/>
    <col min="8" max="8" width="31" style="1150" customWidth="1"/>
    <col min="9" max="9" width="10.875" style="452" hidden="1" customWidth="1"/>
    <col min="10" max="11" width="8.875" style="1150" customWidth="1"/>
    <col min="12" max="44" width="8.875" style="1150"/>
    <col min="45" max="16384" width="8.875" style="273"/>
  </cols>
  <sheetData>
    <row r="1" spans="1:255" ht="24" thickBot="1">
      <c r="A1" s="441" t="str">
        <f>'Building Input'!B1</f>
        <v>Green Star SA - Public &amp; Education Building v1</v>
      </c>
      <c r="F1" s="444" t="s">
        <v>134</v>
      </c>
      <c r="G1" s="445">
        <f>'Credit Summary'!J19</f>
        <v>0.11</v>
      </c>
      <c r="H1" s="443" t="s">
        <v>136</v>
      </c>
    </row>
    <row r="2" spans="1:255" ht="30" customHeight="1" thickBot="1">
      <c r="A2" s="272" t="s">
        <v>314</v>
      </c>
      <c r="D2" s="442" t="s">
        <v>135</v>
      </c>
      <c r="E2" s="1190">
        <f>E22</f>
        <v>17</v>
      </c>
      <c r="F2" s="1191">
        <f>F22</f>
        <v>0</v>
      </c>
      <c r="G2" s="1190">
        <f>G22</f>
        <v>0</v>
      </c>
      <c r="H2" s="1192">
        <f>'Credit Summary'!K19</f>
        <v>0</v>
      </c>
    </row>
    <row r="3" spans="1:255" s="460" customFormat="1" ht="19.5" customHeight="1" thickBot="1">
      <c r="A3" s="458" t="s">
        <v>1037</v>
      </c>
      <c r="B3" s="463"/>
      <c r="C3" s="458" t="str">
        <f>IF('Building Input'!$C$5=0,"",'Building Input'!$C$5)</f>
        <v/>
      </c>
      <c r="E3" s="275"/>
      <c r="F3" s="448" t="str">
        <f>IF(OR((I3=Calculation1!$B$84),(I3=Calculation1!$B$85),((F2+G2)&gt;E2)),Calculation1!$B$86,"")</f>
        <v/>
      </c>
      <c r="G3" s="275"/>
      <c r="I3" s="461" t="str">
        <f>T(I5:I17)</f>
        <v/>
      </c>
    </row>
    <row r="4" spans="1:255" ht="33" customHeight="1" thickBot="1">
      <c r="A4" s="1229" t="s">
        <v>1039</v>
      </c>
      <c r="B4" s="1230" t="s">
        <v>1040</v>
      </c>
      <c r="C4" s="1230" t="s">
        <v>1041</v>
      </c>
      <c r="D4" s="1230" t="s">
        <v>1168</v>
      </c>
      <c r="E4" s="1231" t="s">
        <v>1169</v>
      </c>
      <c r="F4" s="1231" t="s">
        <v>451</v>
      </c>
      <c r="G4" s="1231" t="s">
        <v>452</v>
      </c>
      <c r="H4" s="1210" t="s">
        <v>453</v>
      </c>
    </row>
    <row r="5" spans="1:255" ht="98.25" customHeight="1">
      <c r="A5" s="1985" t="s">
        <v>397</v>
      </c>
      <c r="B5" s="1994" t="s">
        <v>206</v>
      </c>
      <c r="C5" s="1994" t="s">
        <v>207</v>
      </c>
      <c r="D5" s="1111" t="s">
        <v>2000</v>
      </c>
      <c r="E5" s="1146">
        <v>2</v>
      </c>
      <c r="F5" s="2049"/>
      <c r="G5" s="2049"/>
      <c r="H5" s="847"/>
      <c r="I5" s="1151" t="str">
        <f>IF(ISBLANK(F5),IF(G5&gt;E5,Calculation1!$B$84,""),IF(F5="na","",IF(OR(F5="na",ISNUMBER(F5)),IF(F5+G5&gt;E5,Calculation1!$B$84,""),Calculation1!$B$85)))</f>
        <v/>
      </c>
      <c r="J5" s="905"/>
      <c r="K5" s="447"/>
      <c r="L5" s="899"/>
    </row>
    <row r="6" spans="1:255" ht="114.75" customHeight="1">
      <c r="A6" s="2220" t="s">
        <v>398</v>
      </c>
      <c r="B6" s="2221" t="s">
        <v>1170</v>
      </c>
      <c r="C6" s="2222" t="s">
        <v>2001</v>
      </c>
      <c r="D6" s="1142" t="s">
        <v>2002</v>
      </c>
      <c r="E6" s="917">
        <v>1</v>
      </c>
      <c r="F6" s="2050"/>
      <c r="G6" s="2050"/>
      <c r="H6" s="2219"/>
      <c r="I6" s="1151" t="str">
        <f>IF(OR(ISTEXT(F6)=TRUE,ISTEXT(G6)=TRUE),Calculation1!$B$87,IF(F6+G6&gt;E6,Calculation1!$B$84,""))</f>
        <v/>
      </c>
      <c r="J6" s="905"/>
      <c r="K6" s="906"/>
      <c r="L6" s="899"/>
    </row>
    <row r="7" spans="1:255" ht="132.75" customHeight="1">
      <c r="A7" s="2220"/>
      <c r="B7" s="2221"/>
      <c r="C7" s="2223"/>
      <c r="D7" s="1142" t="s">
        <v>2003</v>
      </c>
      <c r="E7" s="917">
        <v>1</v>
      </c>
      <c r="F7" s="2050"/>
      <c r="G7" s="2050"/>
      <c r="H7" s="2219"/>
      <c r="I7" s="1151" t="str">
        <f>IF(OR(ISTEXT(F7)=TRUE,ISTEXT(G7)=TRUE),Calculation1!$B$87,IF(F7+G7&gt;E7,Calculation1!$B$84,""))</f>
        <v/>
      </c>
      <c r="J7" s="905"/>
      <c r="K7" s="906"/>
      <c r="L7" s="899"/>
    </row>
    <row r="8" spans="1:255" ht="190.5" customHeight="1">
      <c r="A8" s="1982" t="s">
        <v>488</v>
      </c>
      <c r="B8" s="471" t="s">
        <v>1171</v>
      </c>
      <c r="C8" s="1112" t="s">
        <v>1386</v>
      </c>
      <c r="D8" s="854" t="s">
        <v>2102</v>
      </c>
      <c r="E8" s="917">
        <v>2</v>
      </c>
      <c r="F8" s="2050"/>
      <c r="G8" s="2050"/>
      <c r="H8" s="848"/>
      <c r="I8" s="1151" t="str">
        <f>IF(OR(ISTEXT(F8)=TRUE,ISTEXT(G8)=TRUE),Calculation1!$B$87,IF(F8+G8&gt;E8,Calculation1!$B$84,""))</f>
        <v/>
      </c>
    </row>
    <row r="9" spans="1:255" ht="191.25" customHeight="1">
      <c r="A9" s="446" t="s">
        <v>496</v>
      </c>
      <c r="B9" s="918" t="s">
        <v>620</v>
      </c>
      <c r="C9" s="918" t="s">
        <v>1998</v>
      </c>
      <c r="D9" s="1986" t="s">
        <v>1999</v>
      </c>
      <c r="E9" s="454">
        <v>1</v>
      </c>
      <c r="F9" s="2051"/>
      <c r="G9" s="2051"/>
      <c r="H9" s="849"/>
      <c r="I9" s="1151" t="str">
        <f>IF(OR(ISTEXT(F9)=TRUE,ISTEXT(G9)=TRUE),Calculation1!$B$87,IF(F9+G9&gt;E9,Calculation1!$B$84,""))</f>
        <v/>
      </c>
      <c r="J9" s="1144"/>
      <c r="K9" s="1144"/>
      <c r="L9" s="1144"/>
      <c r="M9" s="1144"/>
      <c r="N9" s="1144"/>
      <c r="O9" s="1144"/>
      <c r="P9" s="1144"/>
      <c r="Q9" s="1144"/>
      <c r="R9" s="1144"/>
      <c r="S9" s="1144"/>
      <c r="T9" s="1144"/>
      <c r="U9" s="1144"/>
      <c r="V9" s="1144"/>
      <c r="W9" s="1144"/>
      <c r="X9" s="1144"/>
      <c r="Y9" s="1144"/>
      <c r="Z9" s="1144"/>
      <c r="AA9" s="1144"/>
      <c r="AB9" s="1144"/>
      <c r="AC9" s="1144"/>
      <c r="AD9" s="1144"/>
      <c r="AE9" s="1144"/>
      <c r="AF9" s="1144"/>
      <c r="AG9" s="1144"/>
      <c r="AH9" s="1144"/>
      <c r="AI9" s="1144"/>
      <c r="AJ9" s="1144"/>
      <c r="AK9" s="1144"/>
      <c r="AL9" s="1144"/>
      <c r="AM9" s="1144"/>
      <c r="AN9" s="1144"/>
      <c r="AO9" s="1144"/>
      <c r="AP9" s="1144"/>
      <c r="AQ9" s="1144"/>
      <c r="AR9" s="1144"/>
      <c r="AS9" s="274"/>
      <c r="AT9" s="274"/>
      <c r="AU9" s="274"/>
      <c r="AV9" s="274"/>
      <c r="AW9" s="274"/>
      <c r="AX9" s="274"/>
      <c r="AY9" s="274"/>
      <c r="AZ9" s="274"/>
      <c r="BA9" s="274"/>
      <c r="BB9" s="274"/>
      <c r="BC9" s="274"/>
      <c r="BD9" s="274"/>
      <c r="BE9" s="274"/>
      <c r="BF9" s="274"/>
      <c r="BG9" s="274"/>
      <c r="BH9" s="274"/>
      <c r="BI9" s="274"/>
      <c r="BJ9" s="274"/>
      <c r="BK9" s="274"/>
      <c r="BL9" s="274"/>
      <c r="BM9" s="274"/>
      <c r="BN9" s="274"/>
      <c r="BO9" s="274"/>
      <c r="BP9" s="274"/>
      <c r="BQ9" s="274"/>
      <c r="BR9" s="274"/>
      <c r="BS9" s="274"/>
      <c r="BT9" s="274"/>
      <c r="BU9" s="274"/>
      <c r="BV9" s="274"/>
      <c r="BW9" s="274"/>
      <c r="BX9" s="274"/>
      <c r="BY9" s="274"/>
      <c r="BZ9" s="274"/>
      <c r="CA9" s="274"/>
      <c r="CB9" s="274"/>
      <c r="CC9" s="274"/>
      <c r="CD9" s="274"/>
      <c r="CE9" s="274"/>
      <c r="CF9" s="274"/>
      <c r="CG9" s="274"/>
      <c r="CH9" s="274"/>
      <c r="CI9" s="274"/>
      <c r="CJ9" s="274"/>
      <c r="CK9" s="274"/>
      <c r="CL9" s="274"/>
      <c r="CM9" s="274"/>
      <c r="CN9" s="274"/>
      <c r="CO9" s="274"/>
      <c r="CP9" s="274"/>
      <c r="CQ9" s="274"/>
      <c r="CR9" s="274"/>
      <c r="CS9" s="274"/>
      <c r="CT9" s="274"/>
      <c r="CU9" s="274"/>
      <c r="CV9" s="274"/>
      <c r="CW9" s="274"/>
      <c r="CX9" s="274"/>
      <c r="CY9" s="274"/>
      <c r="CZ9" s="274"/>
      <c r="DA9" s="274"/>
      <c r="DB9" s="274"/>
      <c r="DC9" s="274"/>
      <c r="DD9" s="274"/>
      <c r="DE9" s="274"/>
      <c r="DF9" s="274"/>
      <c r="DG9" s="274"/>
      <c r="DH9" s="274"/>
      <c r="DI9" s="274"/>
      <c r="DJ9" s="274"/>
      <c r="DK9" s="274"/>
      <c r="DL9" s="274"/>
      <c r="DM9" s="274"/>
      <c r="DN9" s="274"/>
      <c r="DO9" s="274"/>
      <c r="DP9" s="274"/>
      <c r="DQ9" s="274"/>
      <c r="DR9" s="274"/>
      <c r="DS9" s="274"/>
      <c r="DT9" s="274"/>
      <c r="DU9" s="274"/>
      <c r="DV9" s="274"/>
      <c r="DW9" s="274"/>
      <c r="DX9" s="274"/>
      <c r="DY9" s="274"/>
      <c r="DZ9" s="274"/>
      <c r="EA9" s="274"/>
      <c r="EB9" s="274"/>
      <c r="EC9" s="274"/>
      <c r="ED9" s="274"/>
      <c r="EE9" s="274"/>
      <c r="EF9" s="274"/>
      <c r="EG9" s="274"/>
      <c r="EH9" s="274"/>
      <c r="EI9" s="274"/>
      <c r="EJ9" s="274"/>
      <c r="EK9" s="274"/>
      <c r="EL9" s="274"/>
      <c r="EM9" s="274"/>
      <c r="EN9" s="274"/>
      <c r="EO9" s="274"/>
      <c r="EP9" s="274"/>
      <c r="EQ9" s="274"/>
      <c r="ER9" s="274"/>
      <c r="ES9" s="274"/>
      <c r="ET9" s="274"/>
      <c r="EU9" s="274"/>
      <c r="EV9" s="274"/>
      <c r="EW9" s="274"/>
      <c r="EX9" s="274"/>
      <c r="EY9" s="274"/>
      <c r="EZ9" s="274"/>
      <c r="FA9" s="274"/>
      <c r="FB9" s="274"/>
      <c r="FC9" s="274"/>
      <c r="FD9" s="274"/>
      <c r="FE9" s="274"/>
      <c r="FF9" s="274"/>
      <c r="FG9" s="274"/>
      <c r="FH9" s="274"/>
      <c r="FI9" s="274"/>
      <c r="FJ9" s="274"/>
      <c r="FK9" s="274"/>
      <c r="FL9" s="274"/>
      <c r="FM9" s="274"/>
      <c r="FN9" s="274"/>
      <c r="FO9" s="274"/>
      <c r="FP9" s="274"/>
      <c r="FQ9" s="274"/>
      <c r="FR9" s="274"/>
      <c r="FS9" s="274"/>
      <c r="FT9" s="274"/>
      <c r="FU9" s="274"/>
      <c r="FV9" s="274"/>
      <c r="FW9" s="274"/>
      <c r="FX9" s="274"/>
      <c r="FY9" s="274"/>
      <c r="FZ9" s="274"/>
      <c r="GA9" s="274"/>
      <c r="GB9" s="274"/>
      <c r="GC9" s="274"/>
      <c r="GD9" s="274"/>
      <c r="GE9" s="274"/>
      <c r="GF9" s="274"/>
      <c r="GG9" s="274"/>
      <c r="GH9" s="274"/>
      <c r="GI9" s="274"/>
      <c r="GJ9" s="274"/>
      <c r="GK9" s="274"/>
      <c r="GL9" s="274"/>
      <c r="GM9" s="274"/>
      <c r="GN9" s="274"/>
      <c r="GO9" s="274"/>
      <c r="GP9" s="274"/>
      <c r="GQ9" s="274"/>
      <c r="GR9" s="274"/>
      <c r="GS9" s="274"/>
      <c r="GT9" s="274"/>
      <c r="GU9" s="274"/>
      <c r="GV9" s="274"/>
      <c r="GW9" s="274"/>
      <c r="GX9" s="274"/>
      <c r="GY9" s="274"/>
      <c r="GZ9" s="274"/>
      <c r="HA9" s="274"/>
      <c r="HB9" s="274"/>
      <c r="HC9" s="274"/>
      <c r="HD9" s="274"/>
      <c r="HE9" s="274"/>
      <c r="HF9" s="274"/>
      <c r="HG9" s="274"/>
      <c r="HH9" s="274"/>
      <c r="HI9" s="274"/>
      <c r="HJ9" s="274"/>
      <c r="HK9" s="274"/>
      <c r="HL9" s="274"/>
      <c r="HM9" s="274"/>
      <c r="HN9" s="274"/>
      <c r="HO9" s="274"/>
      <c r="HP9" s="274"/>
      <c r="HQ9" s="274"/>
      <c r="HR9" s="274"/>
      <c r="HS9" s="274"/>
      <c r="HT9" s="274"/>
      <c r="HU9" s="274"/>
      <c r="HV9" s="274"/>
      <c r="HW9" s="274"/>
      <c r="HX9" s="274"/>
      <c r="HY9" s="274"/>
      <c r="HZ9" s="274"/>
      <c r="IA9" s="274"/>
      <c r="IB9" s="274"/>
      <c r="IC9" s="274"/>
      <c r="ID9" s="274"/>
      <c r="IE9" s="274"/>
      <c r="IF9" s="274"/>
      <c r="IG9" s="274"/>
      <c r="IH9" s="274"/>
      <c r="II9" s="274"/>
      <c r="IJ9" s="274"/>
      <c r="IK9" s="274"/>
      <c r="IL9" s="274"/>
      <c r="IM9" s="274"/>
      <c r="IN9" s="274"/>
      <c r="IO9" s="274"/>
      <c r="IP9" s="274"/>
      <c r="IQ9" s="274"/>
      <c r="IR9" s="274"/>
      <c r="IS9" s="274"/>
      <c r="IT9" s="274"/>
      <c r="IU9" s="274"/>
    </row>
    <row r="10" spans="1:255" ht="102" customHeight="1">
      <c r="A10" s="1982" t="s">
        <v>497</v>
      </c>
      <c r="B10" s="471" t="s">
        <v>1452</v>
      </c>
      <c r="C10" s="1112" t="s">
        <v>555</v>
      </c>
      <c r="D10" s="1113" t="s">
        <v>2004</v>
      </c>
      <c r="E10" s="953">
        <v>1</v>
      </c>
      <c r="F10" s="2050"/>
      <c r="G10" s="2050"/>
      <c r="H10" s="847"/>
      <c r="I10" s="1151" t="str">
        <f>IF(OR(ISTEXT(F10)=TRUE,ISTEXT(G10)=TRUE),Calculation1!$B$87,IF(F10+G10&gt;E10,Calculation1!$B$84,""))</f>
        <v/>
      </c>
      <c r="J10" s="1144"/>
      <c r="K10" s="1144"/>
      <c r="L10" s="1144"/>
      <c r="M10" s="1144"/>
      <c r="N10" s="1144"/>
      <c r="O10" s="1144"/>
      <c r="P10" s="1144"/>
      <c r="Q10" s="1144"/>
      <c r="R10" s="1144"/>
      <c r="S10" s="1144"/>
      <c r="T10" s="1144"/>
      <c r="U10" s="1144"/>
      <c r="V10" s="1144"/>
      <c r="W10" s="1144"/>
      <c r="X10" s="1144"/>
      <c r="Y10" s="1144"/>
      <c r="Z10" s="1144"/>
      <c r="AA10" s="1144"/>
      <c r="AB10" s="1144"/>
      <c r="AC10" s="1144"/>
      <c r="AD10" s="1144"/>
      <c r="AE10" s="1144"/>
      <c r="AF10" s="1144"/>
      <c r="AG10" s="1144"/>
      <c r="AH10" s="1144"/>
      <c r="AI10" s="1144"/>
      <c r="AJ10" s="1144"/>
      <c r="AK10" s="1144"/>
      <c r="AL10" s="1144"/>
      <c r="AM10" s="1144"/>
      <c r="AN10" s="1144"/>
      <c r="AO10" s="1144"/>
      <c r="AP10" s="1144"/>
      <c r="AQ10" s="1144"/>
      <c r="AR10" s="1144"/>
      <c r="AS10" s="274"/>
      <c r="AT10" s="274"/>
      <c r="AU10" s="274"/>
      <c r="AV10" s="274"/>
      <c r="AW10" s="274"/>
      <c r="AX10" s="274"/>
      <c r="AY10" s="274"/>
      <c r="AZ10" s="274"/>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274"/>
      <c r="CE10" s="274"/>
      <c r="CF10" s="274"/>
      <c r="CG10" s="274"/>
      <c r="CH10" s="274"/>
      <c r="CI10" s="274"/>
      <c r="CJ10" s="274"/>
      <c r="CK10" s="274"/>
      <c r="CL10" s="274"/>
      <c r="CM10" s="274"/>
      <c r="CN10" s="274"/>
      <c r="CO10" s="274"/>
      <c r="CP10" s="274"/>
      <c r="CQ10" s="274"/>
      <c r="CR10" s="274"/>
      <c r="CS10" s="274"/>
      <c r="CT10" s="274"/>
      <c r="CU10" s="274"/>
      <c r="CV10" s="274"/>
      <c r="CW10" s="274"/>
      <c r="CX10" s="274"/>
      <c r="CY10" s="274"/>
      <c r="CZ10" s="274"/>
      <c r="DA10" s="274"/>
      <c r="DB10" s="274"/>
      <c r="DC10" s="274"/>
      <c r="DD10" s="274"/>
      <c r="DE10" s="274"/>
      <c r="DF10" s="274"/>
      <c r="DG10" s="274"/>
      <c r="DH10" s="274"/>
      <c r="DI10" s="274"/>
      <c r="DJ10" s="274"/>
      <c r="DK10" s="274"/>
      <c r="DL10" s="274"/>
      <c r="DM10" s="274"/>
      <c r="DN10" s="274"/>
      <c r="DO10" s="274"/>
      <c r="DP10" s="274"/>
      <c r="DQ10" s="274"/>
      <c r="DR10" s="274"/>
      <c r="DS10" s="274"/>
      <c r="DT10" s="274"/>
      <c r="DU10" s="274"/>
      <c r="DV10" s="274"/>
      <c r="DW10" s="274"/>
      <c r="DX10" s="274"/>
      <c r="DY10" s="274"/>
      <c r="DZ10" s="274"/>
      <c r="EA10" s="274"/>
      <c r="EB10" s="274"/>
      <c r="EC10" s="274"/>
      <c r="ED10" s="274"/>
      <c r="EE10" s="274"/>
      <c r="EF10" s="274"/>
      <c r="EG10" s="274"/>
      <c r="EH10" s="274"/>
      <c r="EI10" s="274"/>
      <c r="EJ10" s="274"/>
      <c r="EK10" s="274"/>
      <c r="EL10" s="274"/>
      <c r="EM10" s="274"/>
      <c r="EN10" s="274"/>
      <c r="EO10" s="274"/>
      <c r="EP10" s="274"/>
      <c r="EQ10" s="274"/>
      <c r="ER10" s="274"/>
      <c r="ES10" s="274"/>
      <c r="ET10" s="274"/>
      <c r="EU10" s="274"/>
      <c r="EV10" s="274"/>
      <c r="EW10" s="274"/>
      <c r="EX10" s="274"/>
      <c r="EY10" s="274"/>
      <c r="EZ10" s="274"/>
      <c r="FA10" s="274"/>
      <c r="FB10" s="274"/>
      <c r="FC10" s="274"/>
      <c r="FD10" s="274"/>
      <c r="FE10" s="274"/>
      <c r="FF10" s="274"/>
      <c r="FG10" s="274"/>
      <c r="FH10" s="274"/>
      <c r="FI10" s="274"/>
      <c r="FJ10" s="274"/>
      <c r="FK10" s="274"/>
      <c r="FL10" s="274"/>
      <c r="FM10" s="274"/>
      <c r="FN10" s="274"/>
      <c r="FO10" s="274"/>
      <c r="FP10" s="274"/>
      <c r="FQ10" s="274"/>
      <c r="FR10" s="274"/>
      <c r="FS10" s="274"/>
      <c r="FT10" s="274"/>
      <c r="FU10" s="274"/>
      <c r="FV10" s="274"/>
      <c r="FW10" s="274"/>
      <c r="FX10" s="274"/>
      <c r="FY10" s="274"/>
      <c r="FZ10" s="274"/>
      <c r="GA10" s="274"/>
      <c r="GB10" s="274"/>
      <c r="GC10" s="274"/>
      <c r="GD10" s="274"/>
      <c r="GE10" s="274"/>
      <c r="GF10" s="274"/>
      <c r="GG10" s="274"/>
      <c r="GH10" s="274"/>
      <c r="GI10" s="274"/>
      <c r="GJ10" s="274"/>
      <c r="GK10" s="274"/>
      <c r="GL10" s="274"/>
      <c r="GM10" s="274"/>
      <c r="GN10" s="274"/>
      <c r="GO10" s="274"/>
      <c r="GP10" s="274"/>
      <c r="GQ10" s="274"/>
      <c r="GR10" s="274"/>
      <c r="GS10" s="274"/>
      <c r="GT10" s="274"/>
      <c r="GU10" s="274"/>
      <c r="GV10" s="274"/>
      <c r="GW10" s="274"/>
      <c r="GX10" s="274"/>
      <c r="GY10" s="274"/>
      <c r="GZ10" s="274"/>
      <c r="HA10" s="274"/>
      <c r="HB10" s="274"/>
      <c r="HC10" s="274"/>
      <c r="HD10" s="274"/>
      <c r="HE10" s="274"/>
      <c r="HF10" s="274"/>
      <c r="HG10" s="274"/>
      <c r="HH10" s="274"/>
      <c r="HI10" s="274"/>
      <c r="HJ10" s="274"/>
      <c r="HK10" s="274"/>
      <c r="HL10" s="274"/>
      <c r="HM10" s="274"/>
      <c r="HN10" s="274"/>
      <c r="HO10" s="274"/>
      <c r="HP10" s="274"/>
      <c r="HQ10" s="274"/>
      <c r="HR10" s="274"/>
      <c r="HS10" s="274"/>
      <c r="HT10" s="274"/>
      <c r="HU10" s="274"/>
      <c r="HV10" s="274"/>
      <c r="HW10" s="274"/>
      <c r="HX10" s="274"/>
      <c r="HY10" s="274"/>
      <c r="HZ10" s="274"/>
      <c r="IA10" s="274"/>
      <c r="IB10" s="274"/>
      <c r="IC10" s="274"/>
      <c r="ID10" s="274"/>
      <c r="IE10" s="274"/>
      <c r="IF10" s="274"/>
      <c r="IG10" s="274"/>
      <c r="IH10" s="274"/>
      <c r="II10" s="274"/>
      <c r="IJ10" s="274"/>
      <c r="IK10" s="274"/>
      <c r="IL10" s="274"/>
      <c r="IM10" s="274"/>
      <c r="IN10" s="274"/>
      <c r="IO10" s="274"/>
      <c r="IP10" s="274"/>
      <c r="IQ10" s="274"/>
      <c r="IR10" s="274"/>
      <c r="IS10" s="274"/>
      <c r="IT10" s="274"/>
      <c r="IU10" s="274"/>
    </row>
    <row r="11" spans="1:255" ht="157.9" customHeight="1">
      <c r="A11" s="2224" t="s">
        <v>498</v>
      </c>
      <c r="B11" s="2226" t="s">
        <v>499</v>
      </c>
      <c r="C11" s="2230" t="s">
        <v>842</v>
      </c>
      <c r="D11" s="1142" t="s">
        <v>2103</v>
      </c>
      <c r="E11" s="917">
        <v>1</v>
      </c>
      <c r="F11" s="2050"/>
      <c r="G11" s="2050"/>
      <c r="H11" s="2228"/>
      <c r="I11" s="1151" t="str">
        <f>IF(OR(ISTEXT(F11)=TRUE,ISTEXT(G11)=TRUE),Calculation1!$B$87,IF(F11+G11&gt;E11,Calculation1!$B$84,""))</f>
        <v/>
      </c>
      <c r="J11" s="1144"/>
      <c r="K11" s="1144"/>
      <c r="L11" s="1144"/>
      <c r="M11" s="1144"/>
      <c r="N11" s="1144"/>
      <c r="O11" s="1144"/>
      <c r="P11" s="1144"/>
      <c r="Q11" s="1144"/>
      <c r="R11" s="1144"/>
      <c r="S11" s="1144"/>
      <c r="T11" s="1144"/>
      <c r="U11" s="1144"/>
      <c r="V11" s="1144"/>
      <c r="W11" s="1144"/>
      <c r="X11" s="1144"/>
      <c r="Y11" s="1144"/>
      <c r="Z11" s="1144"/>
      <c r="AA11" s="1144"/>
      <c r="AB11" s="1144"/>
      <c r="AC11" s="1144"/>
      <c r="AD11" s="1144"/>
      <c r="AE11" s="1144"/>
      <c r="AF11" s="1144"/>
      <c r="AG11" s="1144"/>
      <c r="AH11" s="1144"/>
      <c r="AI11" s="1144"/>
      <c r="AJ11" s="1144"/>
      <c r="AK11" s="1144"/>
      <c r="AL11" s="1144"/>
      <c r="AM11" s="1144"/>
      <c r="AN11" s="1144"/>
      <c r="AO11" s="1144"/>
      <c r="AP11" s="1144"/>
      <c r="AQ11" s="1144"/>
      <c r="AR11" s="1144"/>
      <c r="AS11" s="274"/>
      <c r="AT11" s="274"/>
      <c r="AU11" s="274"/>
      <c r="AV11" s="274"/>
      <c r="AW11" s="274"/>
      <c r="AX11" s="274"/>
      <c r="AY11" s="274"/>
      <c r="AZ11" s="274"/>
      <c r="BA11" s="274"/>
      <c r="BB11" s="274"/>
      <c r="BC11" s="274"/>
      <c r="BD11" s="274"/>
      <c r="BE11" s="274"/>
      <c r="BF11" s="274"/>
      <c r="BG11" s="274"/>
      <c r="BH11" s="274"/>
      <c r="BI11" s="274"/>
      <c r="BJ11" s="274"/>
      <c r="BK11" s="274"/>
      <c r="BL11" s="274"/>
      <c r="BM11" s="274"/>
      <c r="BN11" s="274"/>
      <c r="BO11" s="274"/>
      <c r="BP11" s="274"/>
      <c r="BQ11" s="274"/>
      <c r="BR11" s="274"/>
      <c r="BS11" s="274"/>
      <c r="BT11" s="274"/>
      <c r="BU11" s="274"/>
      <c r="BV11" s="274"/>
      <c r="BW11" s="274"/>
      <c r="BX11" s="274"/>
      <c r="BY11" s="274"/>
      <c r="BZ11" s="274"/>
      <c r="CA11" s="274"/>
      <c r="CB11" s="274"/>
      <c r="CC11" s="274"/>
      <c r="CD11" s="274"/>
      <c r="CE11" s="274"/>
      <c r="CF11" s="274"/>
      <c r="CG11" s="274"/>
      <c r="CH11" s="274"/>
      <c r="CI11" s="274"/>
      <c r="CJ11" s="274"/>
      <c r="CK11" s="274"/>
      <c r="CL11" s="274"/>
      <c r="CM11" s="274"/>
      <c r="CN11" s="274"/>
      <c r="CO11" s="274"/>
      <c r="CP11" s="274"/>
      <c r="CQ11" s="274"/>
      <c r="CR11" s="274"/>
      <c r="CS11" s="274"/>
      <c r="CT11" s="274"/>
      <c r="CU11" s="274"/>
      <c r="CV11" s="274"/>
      <c r="CW11" s="274"/>
      <c r="CX11" s="274"/>
      <c r="CY11" s="274"/>
      <c r="CZ11" s="274"/>
      <c r="DA11" s="274"/>
      <c r="DB11" s="274"/>
      <c r="DC11" s="274"/>
      <c r="DD11" s="274"/>
      <c r="DE11" s="274"/>
      <c r="DF11" s="274"/>
      <c r="DG11" s="274"/>
      <c r="DH11" s="274"/>
      <c r="DI11" s="274"/>
      <c r="DJ11" s="274"/>
      <c r="DK11" s="274"/>
      <c r="DL11" s="274"/>
      <c r="DM11" s="274"/>
      <c r="DN11" s="274"/>
      <c r="DO11" s="274"/>
      <c r="DP11" s="274"/>
      <c r="DQ11" s="274"/>
      <c r="DR11" s="274"/>
      <c r="DS11" s="274"/>
      <c r="DT11" s="274"/>
      <c r="DU11" s="274"/>
      <c r="DV11" s="274"/>
      <c r="DW11" s="274"/>
      <c r="DX11" s="274"/>
      <c r="DY11" s="274"/>
      <c r="DZ11" s="274"/>
      <c r="EA11" s="274"/>
      <c r="EB11" s="274"/>
      <c r="EC11" s="274"/>
      <c r="ED11" s="274"/>
      <c r="EE11" s="274"/>
      <c r="EF11" s="274"/>
      <c r="EG11" s="274"/>
      <c r="EH11" s="274"/>
      <c r="EI11" s="274"/>
      <c r="EJ11" s="274"/>
      <c r="EK11" s="274"/>
      <c r="EL11" s="274"/>
      <c r="EM11" s="274"/>
      <c r="EN11" s="274"/>
      <c r="EO11" s="274"/>
      <c r="EP11" s="274"/>
      <c r="EQ11" s="274"/>
      <c r="ER11" s="274"/>
      <c r="ES11" s="274"/>
      <c r="ET11" s="274"/>
      <c r="EU11" s="274"/>
      <c r="EV11" s="274"/>
      <c r="EW11" s="274"/>
      <c r="EX11" s="274"/>
      <c r="EY11" s="274"/>
      <c r="EZ11" s="274"/>
      <c r="FA11" s="274"/>
      <c r="FB11" s="274"/>
      <c r="FC11" s="274"/>
      <c r="FD11" s="274"/>
      <c r="FE11" s="274"/>
      <c r="FF11" s="274"/>
      <c r="FG11" s="274"/>
      <c r="FH11" s="274"/>
      <c r="FI11" s="274"/>
      <c r="FJ11" s="274"/>
      <c r="FK11" s="274"/>
      <c r="FL11" s="274"/>
      <c r="FM11" s="274"/>
      <c r="FN11" s="274"/>
      <c r="FO11" s="274"/>
      <c r="FP11" s="274"/>
      <c r="FQ11" s="274"/>
      <c r="FR11" s="274"/>
      <c r="FS11" s="274"/>
      <c r="FT11" s="274"/>
      <c r="FU11" s="274"/>
      <c r="FV11" s="274"/>
      <c r="FW11" s="274"/>
      <c r="FX11" s="274"/>
      <c r="FY11" s="274"/>
      <c r="FZ11" s="274"/>
      <c r="GA11" s="274"/>
      <c r="GB11" s="274"/>
      <c r="GC11" s="274"/>
      <c r="GD11" s="274"/>
      <c r="GE11" s="274"/>
      <c r="GF11" s="274"/>
      <c r="GG11" s="274"/>
      <c r="GH11" s="274"/>
      <c r="GI11" s="274"/>
      <c r="GJ11" s="274"/>
      <c r="GK11" s="274"/>
      <c r="GL11" s="274"/>
      <c r="GM11" s="274"/>
      <c r="GN11" s="274"/>
      <c r="GO11" s="274"/>
      <c r="GP11" s="274"/>
      <c r="GQ11" s="274"/>
      <c r="GR11" s="274"/>
      <c r="GS11" s="274"/>
      <c r="GT11" s="274"/>
      <c r="GU11" s="274"/>
      <c r="GV11" s="274"/>
      <c r="GW11" s="274"/>
      <c r="GX11" s="274"/>
      <c r="GY11" s="274"/>
      <c r="GZ11" s="274"/>
      <c r="HA11" s="274"/>
      <c r="HB11" s="274"/>
      <c r="HC11" s="274"/>
      <c r="HD11" s="274"/>
      <c r="HE11" s="274"/>
      <c r="HF11" s="274"/>
      <c r="HG11" s="274"/>
      <c r="HH11" s="274"/>
      <c r="HI11" s="274"/>
      <c r="HJ11" s="274"/>
      <c r="HK11" s="274"/>
      <c r="HL11" s="274"/>
      <c r="HM11" s="274"/>
      <c r="HN11" s="274"/>
      <c r="HO11" s="274"/>
      <c r="HP11" s="274"/>
      <c r="HQ11" s="274"/>
      <c r="HR11" s="274"/>
      <c r="HS11" s="274"/>
      <c r="HT11" s="274"/>
      <c r="HU11" s="274"/>
      <c r="HV11" s="274"/>
      <c r="HW11" s="274"/>
      <c r="HX11" s="274"/>
      <c r="HY11" s="274"/>
      <c r="HZ11" s="274"/>
      <c r="IA11" s="274"/>
      <c r="IB11" s="274"/>
      <c r="IC11" s="274"/>
      <c r="ID11" s="274"/>
      <c r="IE11" s="274"/>
      <c r="IF11" s="274"/>
      <c r="IG11" s="274"/>
      <c r="IH11" s="274"/>
      <c r="II11" s="274"/>
      <c r="IJ11" s="274"/>
      <c r="IK11" s="274"/>
      <c r="IL11" s="274"/>
      <c r="IM11" s="274"/>
      <c r="IN11" s="274"/>
      <c r="IO11" s="274"/>
      <c r="IP11" s="274"/>
      <c r="IQ11" s="274"/>
      <c r="IR11" s="274"/>
      <c r="IS11" s="274"/>
      <c r="IT11" s="274"/>
      <c r="IU11" s="274"/>
    </row>
    <row r="12" spans="1:255" ht="99.75" customHeight="1">
      <c r="A12" s="2225"/>
      <c r="B12" s="2227"/>
      <c r="C12" s="2231"/>
      <c r="D12" s="1114" t="s">
        <v>2005</v>
      </c>
      <c r="E12" s="917">
        <v>1</v>
      </c>
      <c r="F12" s="2050"/>
      <c r="G12" s="2050"/>
      <c r="H12" s="2229"/>
      <c r="I12" s="1151" t="str">
        <f>IF(OR(ISTEXT(F12)=TRUE,ISTEXT(G12)=TRUE),Calculation1!$B$87,IF(F12+G12&gt;E12,Calculation1!$B$84,""))</f>
        <v/>
      </c>
      <c r="J12" s="1144"/>
      <c r="K12" s="1144"/>
      <c r="L12" s="1144"/>
      <c r="M12" s="1144"/>
      <c r="N12" s="1144"/>
      <c r="O12" s="1144"/>
      <c r="P12" s="1144"/>
      <c r="Q12" s="1144"/>
      <c r="R12" s="1144"/>
      <c r="S12" s="1144"/>
      <c r="T12" s="1144"/>
      <c r="U12" s="1144"/>
      <c r="V12" s="1144"/>
      <c r="W12" s="1144"/>
      <c r="X12" s="1144"/>
      <c r="Y12" s="1144"/>
      <c r="Z12" s="1144"/>
      <c r="AA12" s="1144"/>
      <c r="AB12" s="1144"/>
      <c r="AC12" s="1144"/>
      <c r="AD12" s="1144"/>
      <c r="AE12" s="1144"/>
      <c r="AF12" s="1144"/>
      <c r="AG12" s="1144"/>
      <c r="AH12" s="1144"/>
      <c r="AI12" s="1144"/>
      <c r="AJ12" s="1144"/>
      <c r="AK12" s="1144"/>
      <c r="AL12" s="1144"/>
      <c r="AM12" s="1144"/>
      <c r="AN12" s="1144"/>
      <c r="AO12" s="1144"/>
      <c r="AP12" s="1144"/>
      <c r="AQ12" s="1144"/>
      <c r="AR12" s="1144"/>
      <c r="AS12" s="274"/>
      <c r="AT12" s="274"/>
      <c r="AU12" s="274"/>
      <c r="AV12" s="274"/>
      <c r="AW12" s="274"/>
      <c r="AX12" s="274"/>
      <c r="AY12" s="274"/>
      <c r="AZ12" s="274"/>
      <c r="BA12" s="274"/>
      <c r="BB12" s="274"/>
      <c r="BC12" s="274"/>
      <c r="BD12" s="274"/>
      <c r="BE12" s="274"/>
      <c r="BF12" s="274"/>
      <c r="BG12" s="274"/>
      <c r="BH12" s="274"/>
      <c r="BI12" s="274"/>
      <c r="BJ12" s="274"/>
      <c r="BK12" s="274"/>
      <c r="BL12" s="274"/>
      <c r="BM12" s="274"/>
      <c r="BN12" s="274"/>
      <c r="BO12" s="274"/>
      <c r="BP12" s="274"/>
      <c r="BQ12" s="274"/>
      <c r="BR12" s="274"/>
      <c r="BS12" s="274"/>
      <c r="BT12" s="274"/>
      <c r="BU12" s="274"/>
      <c r="BV12" s="274"/>
      <c r="BW12" s="274"/>
      <c r="BX12" s="274"/>
      <c r="BY12" s="274"/>
      <c r="BZ12" s="274"/>
      <c r="CA12" s="274"/>
      <c r="CB12" s="274"/>
      <c r="CC12" s="274"/>
      <c r="CD12" s="274"/>
      <c r="CE12" s="274"/>
      <c r="CF12" s="274"/>
      <c r="CG12" s="274"/>
      <c r="CH12" s="274"/>
      <c r="CI12" s="274"/>
      <c r="CJ12" s="274"/>
      <c r="CK12" s="274"/>
      <c r="CL12" s="274"/>
      <c r="CM12" s="274"/>
      <c r="CN12" s="274"/>
      <c r="CO12" s="274"/>
      <c r="CP12" s="274"/>
      <c r="CQ12" s="274"/>
      <c r="CR12" s="274"/>
      <c r="CS12" s="274"/>
      <c r="CT12" s="274"/>
      <c r="CU12" s="274"/>
      <c r="CV12" s="274"/>
      <c r="CW12" s="274"/>
      <c r="CX12" s="274"/>
      <c r="CY12" s="274"/>
      <c r="CZ12" s="274"/>
      <c r="DA12" s="274"/>
      <c r="DB12" s="274"/>
      <c r="DC12" s="274"/>
      <c r="DD12" s="274"/>
      <c r="DE12" s="274"/>
      <c r="DF12" s="274"/>
      <c r="DG12" s="274"/>
      <c r="DH12" s="274"/>
      <c r="DI12" s="274"/>
      <c r="DJ12" s="274"/>
      <c r="DK12" s="274"/>
      <c r="DL12" s="274"/>
      <c r="DM12" s="274"/>
      <c r="DN12" s="274"/>
      <c r="DO12" s="274"/>
      <c r="DP12" s="274"/>
      <c r="DQ12" s="274"/>
      <c r="DR12" s="274"/>
      <c r="DS12" s="274"/>
      <c r="DT12" s="274"/>
      <c r="DU12" s="274"/>
      <c r="DV12" s="274"/>
      <c r="DW12" s="274"/>
      <c r="DX12" s="274"/>
      <c r="DY12" s="274"/>
      <c r="DZ12" s="274"/>
      <c r="EA12" s="274"/>
      <c r="EB12" s="274"/>
      <c r="EC12" s="274"/>
      <c r="ED12" s="274"/>
      <c r="EE12" s="274"/>
      <c r="EF12" s="274"/>
      <c r="EG12" s="274"/>
      <c r="EH12" s="274"/>
      <c r="EI12" s="274"/>
      <c r="EJ12" s="274"/>
      <c r="EK12" s="274"/>
      <c r="EL12" s="274"/>
      <c r="EM12" s="274"/>
      <c r="EN12" s="274"/>
      <c r="EO12" s="274"/>
      <c r="EP12" s="274"/>
      <c r="EQ12" s="274"/>
      <c r="ER12" s="274"/>
      <c r="ES12" s="274"/>
      <c r="ET12" s="274"/>
      <c r="EU12" s="274"/>
      <c r="EV12" s="274"/>
      <c r="EW12" s="274"/>
      <c r="EX12" s="274"/>
      <c r="EY12" s="274"/>
      <c r="EZ12" s="274"/>
      <c r="FA12" s="274"/>
      <c r="FB12" s="274"/>
      <c r="FC12" s="274"/>
      <c r="FD12" s="274"/>
      <c r="FE12" s="274"/>
      <c r="FF12" s="274"/>
      <c r="FG12" s="274"/>
      <c r="FH12" s="274"/>
      <c r="FI12" s="274"/>
      <c r="FJ12" s="274"/>
      <c r="FK12" s="274"/>
      <c r="FL12" s="274"/>
      <c r="FM12" s="274"/>
      <c r="FN12" s="274"/>
      <c r="FO12" s="274"/>
      <c r="FP12" s="274"/>
      <c r="FQ12" s="274"/>
      <c r="FR12" s="274"/>
      <c r="FS12" s="274"/>
      <c r="FT12" s="274"/>
      <c r="FU12" s="274"/>
      <c r="FV12" s="274"/>
      <c r="FW12" s="274"/>
      <c r="FX12" s="274"/>
      <c r="FY12" s="274"/>
      <c r="FZ12" s="274"/>
      <c r="GA12" s="274"/>
      <c r="GB12" s="274"/>
      <c r="GC12" s="274"/>
      <c r="GD12" s="274"/>
      <c r="GE12" s="274"/>
      <c r="GF12" s="274"/>
      <c r="GG12" s="274"/>
      <c r="GH12" s="274"/>
      <c r="GI12" s="274"/>
      <c r="GJ12" s="274"/>
      <c r="GK12" s="274"/>
      <c r="GL12" s="274"/>
      <c r="GM12" s="274"/>
      <c r="GN12" s="274"/>
      <c r="GO12" s="274"/>
      <c r="GP12" s="274"/>
      <c r="GQ12" s="274"/>
      <c r="GR12" s="274"/>
      <c r="GS12" s="274"/>
      <c r="GT12" s="274"/>
      <c r="GU12" s="274"/>
      <c r="GV12" s="274"/>
      <c r="GW12" s="274"/>
      <c r="GX12" s="274"/>
      <c r="GY12" s="274"/>
      <c r="GZ12" s="274"/>
      <c r="HA12" s="274"/>
      <c r="HB12" s="274"/>
      <c r="HC12" s="274"/>
      <c r="HD12" s="274"/>
      <c r="HE12" s="274"/>
      <c r="HF12" s="274"/>
      <c r="HG12" s="274"/>
      <c r="HH12" s="274"/>
      <c r="HI12" s="274"/>
      <c r="HJ12" s="274"/>
      <c r="HK12" s="274"/>
      <c r="HL12" s="274"/>
      <c r="HM12" s="274"/>
      <c r="HN12" s="274"/>
      <c r="HO12" s="274"/>
      <c r="HP12" s="274"/>
      <c r="HQ12" s="274"/>
      <c r="HR12" s="274"/>
      <c r="HS12" s="274"/>
      <c r="HT12" s="274"/>
      <c r="HU12" s="274"/>
      <c r="HV12" s="274"/>
      <c r="HW12" s="274"/>
      <c r="HX12" s="274"/>
      <c r="HY12" s="274"/>
      <c r="HZ12" s="274"/>
      <c r="IA12" s="274"/>
      <c r="IB12" s="274"/>
      <c r="IC12" s="274"/>
      <c r="ID12" s="274"/>
      <c r="IE12" s="274"/>
      <c r="IF12" s="274"/>
      <c r="IG12" s="274"/>
      <c r="IH12" s="274"/>
      <c r="II12" s="274"/>
      <c r="IJ12" s="274"/>
      <c r="IK12" s="274"/>
      <c r="IL12" s="274"/>
      <c r="IM12" s="274"/>
      <c r="IN12" s="274"/>
      <c r="IO12" s="274"/>
      <c r="IP12" s="274"/>
      <c r="IQ12" s="274"/>
      <c r="IR12" s="274"/>
      <c r="IS12" s="274"/>
      <c r="IT12" s="274"/>
      <c r="IU12" s="274"/>
    </row>
    <row r="13" spans="1:255" ht="180" customHeight="1">
      <c r="A13" s="1982" t="s">
        <v>500</v>
      </c>
      <c r="B13" s="471" t="s">
        <v>501</v>
      </c>
      <c r="C13" s="471" t="s">
        <v>2006</v>
      </c>
      <c r="D13" s="1142" t="s">
        <v>2007</v>
      </c>
      <c r="E13" s="917">
        <v>3</v>
      </c>
      <c r="F13" s="2050"/>
      <c r="G13" s="2050"/>
      <c r="H13" s="847"/>
      <c r="I13" s="1151" t="str">
        <f>IF(OR(ISTEXT(F13)=TRUE,ISTEXT(G13)=TRUE),Calculation1!$B$87,IF(F13+G13&gt;E13,Calculation1!$B$84,""))</f>
        <v/>
      </c>
      <c r="J13" s="1144"/>
      <c r="K13" s="1144"/>
      <c r="L13" s="1144"/>
      <c r="M13" s="1144"/>
      <c r="N13" s="1144"/>
      <c r="O13" s="1144"/>
      <c r="P13" s="1144"/>
      <c r="Q13" s="1144"/>
      <c r="R13" s="1144"/>
      <c r="S13" s="1144"/>
      <c r="T13" s="1144"/>
      <c r="U13" s="1144"/>
      <c r="V13" s="1144"/>
      <c r="W13" s="1144"/>
      <c r="X13" s="1144"/>
      <c r="Y13" s="1144"/>
      <c r="Z13" s="1144"/>
      <c r="AA13" s="1144"/>
      <c r="AB13" s="1144"/>
      <c r="AC13" s="1144"/>
      <c r="AD13" s="1144"/>
      <c r="AE13" s="1144"/>
      <c r="AF13" s="1144"/>
      <c r="AG13" s="1144"/>
      <c r="AH13" s="1144"/>
      <c r="AI13" s="1144"/>
      <c r="AJ13" s="1144"/>
      <c r="AK13" s="1144"/>
      <c r="AL13" s="1144"/>
      <c r="AM13" s="1144"/>
      <c r="AN13" s="1144"/>
      <c r="AO13" s="1144"/>
      <c r="AP13" s="1144"/>
      <c r="AQ13" s="1144"/>
      <c r="AR13" s="1144"/>
      <c r="AS13" s="274"/>
      <c r="AT13" s="274"/>
      <c r="AU13" s="274"/>
      <c r="AV13" s="274"/>
      <c r="AW13" s="274"/>
      <c r="AX13" s="274"/>
      <c r="AY13" s="274"/>
      <c r="AZ13" s="274"/>
      <c r="BA13" s="274"/>
      <c r="BB13" s="274"/>
      <c r="BC13" s="274"/>
      <c r="BD13" s="274"/>
      <c r="BE13" s="274"/>
      <c r="BF13" s="274"/>
      <c r="BG13" s="274"/>
      <c r="BH13" s="274"/>
      <c r="BI13" s="274"/>
      <c r="BJ13" s="274"/>
      <c r="BK13" s="274"/>
      <c r="BL13" s="274"/>
      <c r="BM13" s="274"/>
      <c r="BN13" s="274"/>
      <c r="BO13" s="274"/>
      <c r="BP13" s="274"/>
      <c r="BQ13" s="274"/>
      <c r="BR13" s="274"/>
      <c r="BS13" s="274"/>
      <c r="BT13" s="274"/>
      <c r="BU13" s="274"/>
      <c r="BV13" s="274"/>
      <c r="BW13" s="274"/>
      <c r="BX13" s="274"/>
      <c r="BY13" s="274"/>
      <c r="BZ13" s="274"/>
      <c r="CA13" s="274"/>
      <c r="CB13" s="274"/>
      <c r="CC13" s="274"/>
      <c r="CD13" s="274"/>
      <c r="CE13" s="274"/>
      <c r="CF13" s="274"/>
      <c r="CG13" s="274"/>
      <c r="CH13" s="274"/>
      <c r="CI13" s="274"/>
      <c r="CJ13" s="274"/>
      <c r="CK13" s="274"/>
      <c r="CL13" s="274"/>
      <c r="CM13" s="274"/>
      <c r="CN13" s="274"/>
      <c r="CO13" s="274"/>
      <c r="CP13" s="274"/>
      <c r="CQ13" s="274"/>
      <c r="CR13" s="274"/>
      <c r="CS13" s="274"/>
      <c r="CT13" s="274"/>
      <c r="CU13" s="274"/>
      <c r="CV13" s="274"/>
      <c r="CW13" s="274"/>
      <c r="CX13" s="274"/>
      <c r="CY13" s="274"/>
      <c r="CZ13" s="274"/>
      <c r="DA13" s="274"/>
      <c r="DB13" s="274"/>
      <c r="DC13" s="274"/>
      <c r="DD13" s="274"/>
      <c r="DE13" s="274"/>
      <c r="DF13" s="274"/>
      <c r="DG13" s="274"/>
      <c r="DH13" s="274"/>
      <c r="DI13" s="274"/>
      <c r="DJ13" s="274"/>
      <c r="DK13" s="274"/>
      <c r="DL13" s="274"/>
      <c r="DM13" s="274"/>
      <c r="DN13" s="274"/>
      <c r="DO13" s="274"/>
      <c r="DP13" s="274"/>
      <c r="DQ13" s="274"/>
      <c r="DR13" s="274"/>
      <c r="DS13" s="274"/>
      <c r="DT13" s="274"/>
      <c r="DU13" s="274"/>
      <c r="DV13" s="274"/>
      <c r="DW13" s="274"/>
      <c r="DX13" s="274"/>
      <c r="DY13" s="274"/>
      <c r="DZ13" s="274"/>
      <c r="EA13" s="274"/>
      <c r="EB13" s="274"/>
      <c r="EC13" s="274"/>
      <c r="ED13" s="274"/>
      <c r="EE13" s="274"/>
      <c r="EF13" s="274"/>
      <c r="EG13" s="274"/>
      <c r="EH13" s="274"/>
      <c r="EI13" s="274"/>
      <c r="EJ13" s="274"/>
      <c r="EK13" s="274"/>
      <c r="EL13" s="274"/>
      <c r="EM13" s="274"/>
      <c r="EN13" s="274"/>
      <c r="EO13" s="274"/>
      <c r="EP13" s="274"/>
      <c r="EQ13" s="274"/>
      <c r="ER13" s="274"/>
      <c r="ES13" s="274"/>
      <c r="ET13" s="274"/>
      <c r="EU13" s="274"/>
      <c r="EV13" s="274"/>
      <c r="EW13" s="274"/>
      <c r="EX13" s="274"/>
      <c r="EY13" s="274"/>
      <c r="EZ13" s="274"/>
      <c r="FA13" s="274"/>
      <c r="FB13" s="274"/>
      <c r="FC13" s="274"/>
      <c r="FD13" s="274"/>
      <c r="FE13" s="274"/>
      <c r="FF13" s="274"/>
      <c r="FG13" s="274"/>
      <c r="FH13" s="274"/>
      <c r="FI13" s="274"/>
      <c r="FJ13" s="274"/>
      <c r="FK13" s="274"/>
      <c r="FL13" s="274"/>
      <c r="FM13" s="274"/>
      <c r="FN13" s="274"/>
      <c r="FO13" s="274"/>
      <c r="FP13" s="274"/>
      <c r="FQ13" s="274"/>
      <c r="FR13" s="274"/>
      <c r="FS13" s="274"/>
      <c r="FT13" s="274"/>
      <c r="FU13" s="274"/>
      <c r="FV13" s="274"/>
      <c r="FW13" s="274"/>
      <c r="FX13" s="274"/>
      <c r="FY13" s="274"/>
      <c r="FZ13" s="274"/>
      <c r="GA13" s="274"/>
      <c r="GB13" s="274"/>
      <c r="GC13" s="274"/>
      <c r="GD13" s="274"/>
      <c r="GE13" s="274"/>
      <c r="GF13" s="274"/>
      <c r="GG13" s="274"/>
      <c r="GH13" s="274"/>
      <c r="GI13" s="274"/>
      <c r="GJ13" s="274"/>
      <c r="GK13" s="274"/>
      <c r="GL13" s="274"/>
      <c r="GM13" s="274"/>
      <c r="GN13" s="274"/>
      <c r="GO13" s="274"/>
      <c r="GP13" s="274"/>
      <c r="GQ13" s="274"/>
      <c r="GR13" s="274"/>
      <c r="GS13" s="274"/>
      <c r="GT13" s="274"/>
      <c r="GU13" s="274"/>
      <c r="GV13" s="274"/>
      <c r="GW13" s="274"/>
      <c r="GX13" s="274"/>
      <c r="GY13" s="274"/>
      <c r="GZ13" s="274"/>
      <c r="HA13" s="274"/>
      <c r="HB13" s="274"/>
      <c r="HC13" s="274"/>
      <c r="HD13" s="274"/>
      <c r="HE13" s="274"/>
      <c r="HF13" s="274"/>
      <c r="HG13" s="274"/>
      <c r="HH13" s="274"/>
      <c r="HI13" s="274"/>
      <c r="HJ13" s="274"/>
      <c r="HK13" s="274"/>
      <c r="HL13" s="274"/>
      <c r="HM13" s="274"/>
      <c r="HN13" s="274"/>
      <c r="HO13" s="274"/>
      <c r="HP13" s="274"/>
      <c r="HQ13" s="274"/>
      <c r="HR13" s="274"/>
      <c r="HS13" s="274"/>
      <c r="HT13" s="274"/>
      <c r="HU13" s="274"/>
      <c r="HV13" s="274"/>
      <c r="HW13" s="274"/>
      <c r="HX13" s="274"/>
      <c r="HY13" s="274"/>
      <c r="HZ13" s="274"/>
      <c r="IA13" s="274"/>
      <c r="IB13" s="274"/>
      <c r="IC13" s="274"/>
      <c r="ID13" s="274"/>
      <c r="IE13" s="274"/>
      <c r="IF13" s="274"/>
      <c r="IG13" s="274"/>
      <c r="IH13" s="274"/>
      <c r="II13" s="274"/>
      <c r="IJ13" s="274"/>
      <c r="IK13" s="274"/>
      <c r="IL13" s="274"/>
      <c r="IM13" s="274"/>
      <c r="IN13" s="274"/>
      <c r="IO13" s="274"/>
      <c r="IP13" s="274"/>
      <c r="IQ13" s="274"/>
      <c r="IR13" s="274"/>
      <c r="IS13" s="274"/>
      <c r="IT13" s="274"/>
      <c r="IU13" s="274"/>
    </row>
    <row r="14" spans="1:255" ht="25.5">
      <c r="A14" s="1116" t="s">
        <v>394</v>
      </c>
      <c r="B14" s="941" t="s">
        <v>435</v>
      </c>
      <c r="C14" s="942"/>
      <c r="D14" s="1117" t="s">
        <v>2104</v>
      </c>
      <c r="E14" s="1115" t="s">
        <v>1308</v>
      </c>
      <c r="F14" s="1118" t="s">
        <v>1308</v>
      </c>
      <c r="G14" s="1118" t="s">
        <v>1308</v>
      </c>
      <c r="H14" s="2048"/>
      <c r="I14" s="1151"/>
      <c r="J14" s="1144"/>
      <c r="K14" s="1144"/>
      <c r="L14" s="1144"/>
      <c r="M14" s="1144"/>
      <c r="N14" s="1144"/>
      <c r="O14" s="1144"/>
      <c r="P14" s="1144"/>
      <c r="Q14" s="1144"/>
      <c r="R14" s="1144"/>
      <c r="S14" s="1144"/>
      <c r="T14" s="1144"/>
      <c r="U14" s="1144"/>
      <c r="V14" s="1144"/>
      <c r="W14" s="1144"/>
      <c r="X14" s="1144"/>
      <c r="Y14" s="1144"/>
      <c r="Z14" s="1144"/>
      <c r="AA14" s="1144"/>
      <c r="AB14" s="1144"/>
      <c r="AC14" s="1144"/>
      <c r="AD14" s="1144"/>
      <c r="AE14" s="1144"/>
      <c r="AF14" s="1144"/>
      <c r="AG14" s="1144"/>
      <c r="AH14" s="1144"/>
      <c r="AI14" s="1144"/>
      <c r="AJ14" s="1144"/>
      <c r="AK14" s="1144"/>
      <c r="AL14" s="1144"/>
      <c r="AM14" s="1144"/>
      <c r="AN14" s="1144"/>
      <c r="AO14" s="1144"/>
      <c r="AP14" s="1144"/>
      <c r="AQ14" s="1144"/>
      <c r="AR14" s="114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4"/>
      <c r="BY14" s="274"/>
      <c r="BZ14" s="274"/>
      <c r="CA14" s="274"/>
      <c r="CB14" s="274"/>
      <c r="CC14" s="274"/>
      <c r="CD14" s="274"/>
      <c r="CE14" s="274"/>
      <c r="CF14" s="274"/>
      <c r="CG14" s="274"/>
      <c r="CH14" s="274"/>
      <c r="CI14" s="274"/>
      <c r="CJ14" s="274"/>
      <c r="CK14" s="274"/>
      <c r="CL14" s="274"/>
      <c r="CM14" s="274"/>
      <c r="CN14" s="274"/>
      <c r="CO14" s="274"/>
      <c r="CP14" s="274"/>
      <c r="CQ14" s="274"/>
      <c r="CR14" s="274"/>
      <c r="CS14" s="274"/>
      <c r="CT14" s="274"/>
      <c r="CU14" s="274"/>
      <c r="CV14" s="274"/>
      <c r="CW14" s="274"/>
      <c r="CX14" s="274"/>
      <c r="CY14" s="274"/>
      <c r="CZ14" s="274"/>
      <c r="DA14" s="274"/>
      <c r="DB14" s="274"/>
      <c r="DC14" s="274"/>
      <c r="DD14" s="274"/>
      <c r="DE14" s="274"/>
      <c r="DF14" s="274"/>
      <c r="DG14" s="274"/>
      <c r="DH14" s="274"/>
      <c r="DI14" s="274"/>
      <c r="DJ14" s="274"/>
      <c r="DK14" s="274"/>
      <c r="DL14" s="274"/>
      <c r="DM14" s="274"/>
      <c r="DN14" s="274"/>
      <c r="DO14" s="274"/>
      <c r="DP14" s="274"/>
      <c r="DQ14" s="274"/>
      <c r="DR14" s="274"/>
      <c r="DS14" s="274"/>
      <c r="DT14" s="274"/>
      <c r="DU14" s="274"/>
      <c r="DV14" s="274"/>
      <c r="DW14" s="274"/>
      <c r="DX14" s="274"/>
      <c r="DY14" s="274"/>
      <c r="DZ14" s="274"/>
      <c r="EA14" s="274"/>
      <c r="EB14" s="274"/>
      <c r="EC14" s="274"/>
      <c r="ED14" s="274"/>
      <c r="EE14" s="274"/>
      <c r="EF14" s="274"/>
      <c r="EG14" s="274"/>
      <c r="EH14" s="274"/>
      <c r="EI14" s="274"/>
      <c r="EJ14" s="274"/>
      <c r="EK14" s="274"/>
      <c r="EL14" s="274"/>
      <c r="EM14" s="274"/>
      <c r="EN14" s="274"/>
      <c r="EO14" s="274"/>
      <c r="EP14" s="274"/>
      <c r="EQ14" s="274"/>
      <c r="ER14" s="274"/>
      <c r="ES14" s="274"/>
      <c r="ET14" s="274"/>
      <c r="EU14" s="274"/>
      <c r="EV14" s="274"/>
      <c r="EW14" s="274"/>
      <c r="EX14" s="274"/>
      <c r="EY14" s="274"/>
      <c r="EZ14" s="274"/>
      <c r="FA14" s="274"/>
      <c r="FB14" s="274"/>
      <c r="FC14" s="274"/>
      <c r="FD14" s="274"/>
      <c r="FE14" s="274"/>
      <c r="FF14" s="274"/>
      <c r="FG14" s="274"/>
      <c r="FH14" s="274"/>
      <c r="FI14" s="274"/>
      <c r="FJ14" s="274"/>
      <c r="FK14" s="274"/>
      <c r="FL14" s="274"/>
      <c r="FM14" s="274"/>
      <c r="FN14" s="274"/>
      <c r="FO14" s="274"/>
      <c r="FP14" s="274"/>
      <c r="FQ14" s="274"/>
      <c r="FR14" s="274"/>
      <c r="FS14" s="274"/>
      <c r="FT14" s="274"/>
      <c r="FU14" s="274"/>
      <c r="FV14" s="274"/>
      <c r="FW14" s="274"/>
      <c r="FX14" s="274"/>
      <c r="FY14" s="274"/>
      <c r="FZ14" s="274"/>
      <c r="GA14" s="274"/>
      <c r="GB14" s="274"/>
      <c r="GC14" s="274"/>
      <c r="GD14" s="274"/>
      <c r="GE14" s="274"/>
      <c r="GF14" s="274"/>
      <c r="GG14" s="274"/>
      <c r="GH14" s="274"/>
      <c r="GI14" s="274"/>
      <c r="GJ14" s="274"/>
      <c r="GK14" s="274"/>
      <c r="GL14" s="274"/>
      <c r="GM14" s="274"/>
      <c r="GN14" s="274"/>
      <c r="GO14" s="274"/>
      <c r="GP14" s="274"/>
      <c r="GQ14" s="274"/>
      <c r="GR14" s="274"/>
      <c r="GS14" s="274"/>
      <c r="GT14" s="274"/>
      <c r="GU14" s="274"/>
      <c r="GV14" s="274"/>
      <c r="GW14" s="274"/>
      <c r="GX14" s="274"/>
      <c r="GY14" s="274"/>
      <c r="GZ14" s="274"/>
      <c r="HA14" s="274"/>
      <c r="HB14" s="274"/>
      <c r="HC14" s="274"/>
      <c r="HD14" s="274"/>
      <c r="HE14" s="274"/>
      <c r="HF14" s="274"/>
      <c r="HG14" s="274"/>
      <c r="HH14" s="274"/>
      <c r="HI14" s="274"/>
      <c r="HJ14" s="274"/>
      <c r="HK14" s="274"/>
      <c r="HL14" s="274"/>
      <c r="HM14" s="274"/>
      <c r="HN14" s="274"/>
      <c r="HO14" s="274"/>
      <c r="HP14" s="274"/>
      <c r="HQ14" s="274"/>
      <c r="HR14" s="274"/>
      <c r="HS14" s="274"/>
      <c r="HT14" s="274"/>
      <c r="HU14" s="274"/>
      <c r="HV14" s="274"/>
      <c r="HW14" s="274"/>
      <c r="HX14" s="274"/>
      <c r="HY14" s="274"/>
      <c r="HZ14" s="274"/>
      <c r="IA14" s="274"/>
      <c r="IB14" s="274"/>
      <c r="IC14" s="274"/>
      <c r="ID14" s="274"/>
      <c r="IE14" s="274"/>
      <c r="IF14" s="274"/>
      <c r="IG14" s="274"/>
      <c r="IH14" s="274"/>
      <c r="II14" s="274"/>
      <c r="IJ14" s="274"/>
      <c r="IK14" s="274"/>
      <c r="IL14" s="274"/>
      <c r="IM14" s="274"/>
      <c r="IN14" s="274"/>
      <c r="IO14" s="274"/>
      <c r="IP14" s="274"/>
      <c r="IQ14" s="274"/>
      <c r="IR14" s="274"/>
      <c r="IS14" s="274"/>
      <c r="IT14" s="274"/>
      <c r="IU14" s="274"/>
    </row>
    <row r="15" spans="1:255" ht="44.25" customHeight="1">
      <c r="A15" s="1116" t="s">
        <v>47</v>
      </c>
      <c r="B15" s="941" t="s">
        <v>46</v>
      </c>
      <c r="C15" s="942"/>
      <c r="D15" s="943" t="s">
        <v>2104</v>
      </c>
      <c r="E15" s="940" t="s">
        <v>1308</v>
      </c>
      <c r="F15" s="1118" t="s">
        <v>1308</v>
      </c>
      <c r="G15" s="1118" t="s">
        <v>1308</v>
      </c>
      <c r="H15" s="2048"/>
      <c r="I15" s="1151" t="str">
        <f>IF(OR(ISTEXT(F15)=TRUE,ISTEXT(G15)=TRUE),Calculation1!$B$87,IF(F15+G15&gt;E15,Calculation1!$B$84,""))</f>
        <v>ERROR, text not valid!</v>
      </c>
      <c r="J15" s="1144"/>
      <c r="K15" s="1144"/>
      <c r="L15" s="1144"/>
      <c r="M15" s="1144"/>
      <c r="N15" s="1144"/>
      <c r="O15" s="1144"/>
      <c r="P15" s="1144"/>
      <c r="Q15" s="1144"/>
      <c r="R15" s="1144"/>
      <c r="S15" s="1144"/>
      <c r="T15" s="1144"/>
      <c r="U15" s="1144"/>
      <c r="V15" s="1144"/>
      <c r="W15" s="1144"/>
      <c r="X15" s="1144"/>
      <c r="Y15" s="1144"/>
      <c r="Z15" s="1144"/>
      <c r="AA15" s="1144"/>
      <c r="AB15" s="1144"/>
      <c r="AC15" s="1144"/>
      <c r="AD15" s="1144"/>
      <c r="AE15" s="1144"/>
      <c r="AF15" s="1144"/>
      <c r="AG15" s="1144"/>
      <c r="AH15" s="1144"/>
      <c r="AI15" s="1144"/>
      <c r="AJ15" s="1144"/>
      <c r="AK15" s="1144"/>
      <c r="AL15" s="1144"/>
      <c r="AM15" s="1144"/>
      <c r="AN15" s="1144"/>
      <c r="AO15" s="1144"/>
      <c r="AP15" s="1144"/>
      <c r="AQ15" s="1144"/>
      <c r="AR15" s="114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274"/>
      <c r="CA15" s="274"/>
      <c r="CB15" s="274"/>
      <c r="CC15" s="274"/>
      <c r="CD15" s="274"/>
      <c r="CE15" s="274"/>
      <c r="CF15" s="274"/>
      <c r="CG15" s="274"/>
      <c r="CH15" s="274"/>
      <c r="CI15" s="274"/>
      <c r="CJ15" s="274"/>
      <c r="CK15" s="274"/>
      <c r="CL15" s="274"/>
      <c r="CM15" s="274"/>
      <c r="CN15" s="274"/>
      <c r="CO15" s="274"/>
      <c r="CP15" s="274"/>
      <c r="CQ15" s="274"/>
      <c r="CR15" s="274"/>
      <c r="CS15" s="274"/>
      <c r="CT15" s="274"/>
      <c r="CU15" s="274"/>
      <c r="CV15" s="274"/>
      <c r="CW15" s="274"/>
      <c r="CX15" s="274"/>
      <c r="CY15" s="274"/>
      <c r="CZ15" s="274"/>
      <c r="DA15" s="274"/>
      <c r="DB15" s="274"/>
      <c r="DC15" s="274"/>
      <c r="DD15" s="274"/>
      <c r="DE15" s="274"/>
      <c r="DF15" s="274"/>
      <c r="DG15" s="274"/>
      <c r="DH15" s="274"/>
      <c r="DI15" s="274"/>
      <c r="DJ15" s="274"/>
      <c r="DK15" s="274"/>
      <c r="DL15" s="274"/>
      <c r="DM15" s="274"/>
      <c r="DN15" s="274"/>
      <c r="DO15" s="274"/>
      <c r="DP15" s="274"/>
      <c r="DQ15" s="274"/>
      <c r="DR15" s="274"/>
      <c r="DS15" s="274"/>
      <c r="DT15" s="274"/>
      <c r="DU15" s="274"/>
      <c r="DV15" s="274"/>
      <c r="DW15" s="274"/>
      <c r="DX15" s="274"/>
      <c r="DY15" s="274"/>
      <c r="DZ15" s="274"/>
      <c r="EA15" s="274"/>
      <c r="EB15" s="274"/>
      <c r="EC15" s="274"/>
      <c r="ED15" s="274"/>
      <c r="EE15" s="274"/>
      <c r="EF15" s="274"/>
      <c r="EG15" s="274"/>
      <c r="EH15" s="274"/>
      <c r="EI15" s="274"/>
      <c r="EJ15" s="274"/>
      <c r="EK15" s="274"/>
      <c r="EL15" s="274"/>
      <c r="EM15" s="274"/>
      <c r="EN15" s="274"/>
      <c r="EO15" s="274"/>
      <c r="EP15" s="274"/>
      <c r="EQ15" s="274"/>
      <c r="ER15" s="274"/>
      <c r="ES15" s="274"/>
      <c r="ET15" s="274"/>
      <c r="EU15" s="274"/>
      <c r="EV15" s="274"/>
      <c r="EW15" s="274"/>
      <c r="EX15" s="274"/>
      <c r="EY15" s="274"/>
      <c r="EZ15" s="274"/>
      <c r="FA15" s="274"/>
      <c r="FB15" s="274"/>
      <c r="FC15" s="274"/>
      <c r="FD15" s="274"/>
      <c r="FE15" s="274"/>
      <c r="FF15" s="274"/>
      <c r="FG15" s="274"/>
      <c r="FH15" s="274"/>
      <c r="FI15" s="274"/>
      <c r="FJ15" s="274"/>
      <c r="FK15" s="274"/>
      <c r="FL15" s="274"/>
      <c r="FM15" s="274"/>
      <c r="FN15" s="274"/>
      <c r="FO15" s="274"/>
      <c r="FP15" s="274"/>
      <c r="FQ15" s="274"/>
      <c r="FR15" s="274"/>
      <c r="FS15" s="274"/>
      <c r="FT15" s="274"/>
      <c r="FU15" s="274"/>
      <c r="FV15" s="274"/>
      <c r="FW15" s="274"/>
      <c r="FX15" s="274"/>
      <c r="FY15" s="274"/>
      <c r="FZ15" s="274"/>
      <c r="GA15" s="274"/>
      <c r="GB15" s="274"/>
      <c r="GC15" s="274"/>
      <c r="GD15" s="274"/>
      <c r="GE15" s="274"/>
      <c r="GF15" s="274"/>
      <c r="GG15" s="274"/>
      <c r="GH15" s="274"/>
      <c r="GI15" s="274"/>
      <c r="GJ15" s="274"/>
      <c r="GK15" s="274"/>
      <c r="GL15" s="274"/>
      <c r="GM15" s="274"/>
      <c r="GN15" s="274"/>
      <c r="GO15" s="274"/>
      <c r="GP15" s="274"/>
      <c r="GQ15" s="274"/>
      <c r="GR15" s="274"/>
      <c r="GS15" s="274"/>
      <c r="GT15" s="274"/>
      <c r="GU15" s="274"/>
      <c r="GV15" s="274"/>
      <c r="GW15" s="274"/>
      <c r="GX15" s="274"/>
      <c r="GY15" s="274"/>
      <c r="GZ15" s="274"/>
      <c r="HA15" s="274"/>
      <c r="HB15" s="274"/>
      <c r="HC15" s="274"/>
      <c r="HD15" s="274"/>
      <c r="HE15" s="274"/>
      <c r="HF15" s="274"/>
      <c r="HG15" s="274"/>
      <c r="HH15" s="274"/>
      <c r="HI15" s="274"/>
      <c r="HJ15" s="274"/>
      <c r="HK15" s="274"/>
      <c r="HL15" s="274"/>
      <c r="HM15" s="274"/>
      <c r="HN15" s="274"/>
      <c r="HO15" s="274"/>
      <c r="HP15" s="274"/>
      <c r="HQ15" s="274"/>
      <c r="HR15" s="274"/>
      <c r="HS15" s="274"/>
      <c r="HT15" s="274"/>
      <c r="HU15" s="274"/>
      <c r="HV15" s="274"/>
      <c r="HW15" s="274"/>
      <c r="HX15" s="274"/>
      <c r="HY15" s="274"/>
      <c r="HZ15" s="274"/>
      <c r="IA15" s="274"/>
      <c r="IB15" s="274"/>
      <c r="IC15" s="274"/>
      <c r="ID15" s="274"/>
      <c r="IE15" s="274"/>
      <c r="IF15" s="274"/>
      <c r="IG15" s="274"/>
      <c r="IH15" s="274"/>
      <c r="II15" s="274"/>
      <c r="IJ15" s="274"/>
      <c r="IK15" s="274"/>
      <c r="IL15" s="274"/>
      <c r="IM15" s="274"/>
      <c r="IN15" s="274"/>
      <c r="IO15" s="274"/>
      <c r="IP15" s="274"/>
      <c r="IQ15" s="274"/>
      <c r="IR15" s="274"/>
      <c r="IS15" s="274"/>
      <c r="IT15" s="274"/>
      <c r="IU15" s="274"/>
    </row>
    <row r="16" spans="1:255" ht="79.900000000000006" customHeight="1">
      <c r="A16" s="453" t="s">
        <v>964</v>
      </c>
      <c r="B16" s="919" t="s">
        <v>48</v>
      </c>
      <c r="C16" s="1120" t="s">
        <v>49</v>
      </c>
      <c r="D16" s="1119" t="s">
        <v>2008</v>
      </c>
      <c r="E16" s="454">
        <v>1</v>
      </c>
      <c r="F16" s="2051"/>
      <c r="G16" s="2051"/>
      <c r="H16" s="850"/>
      <c r="I16" s="1151" t="str">
        <f>IF(OR(ISTEXT(F16)=TRUE,ISTEXT(G16)=TRUE),Calculation1!$B$87,IF(F16+G16&gt;E16,Calculation1!$B$84,""))</f>
        <v/>
      </c>
      <c r="J16" s="1144"/>
      <c r="K16" s="1144"/>
      <c r="L16" s="1144"/>
      <c r="M16" s="1144"/>
      <c r="N16" s="1144"/>
      <c r="O16" s="1144"/>
      <c r="P16" s="1144"/>
      <c r="Q16" s="1144"/>
      <c r="R16" s="1144"/>
      <c r="S16" s="1144"/>
      <c r="T16" s="1144"/>
      <c r="U16" s="1144"/>
      <c r="V16" s="1144"/>
      <c r="W16" s="1144"/>
      <c r="X16" s="1144"/>
      <c r="Y16" s="1144"/>
      <c r="Z16" s="1144"/>
      <c r="AA16" s="1144"/>
      <c r="AB16" s="1144"/>
      <c r="AC16" s="1144"/>
      <c r="AD16" s="1144"/>
      <c r="AE16" s="1144"/>
      <c r="AF16" s="1144"/>
      <c r="AG16" s="1144"/>
      <c r="AH16" s="1144"/>
      <c r="AI16" s="1144"/>
      <c r="AJ16" s="1144"/>
      <c r="AK16" s="1144"/>
      <c r="AL16" s="1144"/>
      <c r="AM16" s="1144"/>
      <c r="AN16" s="1144"/>
      <c r="AO16" s="1144"/>
      <c r="AP16" s="1144"/>
      <c r="AQ16" s="1144"/>
      <c r="AR16" s="1144"/>
      <c r="AS16" s="274"/>
      <c r="AT16" s="274"/>
      <c r="AU16" s="274"/>
      <c r="AV16" s="274"/>
      <c r="AW16" s="274"/>
      <c r="AX16" s="274"/>
      <c r="AY16" s="274"/>
      <c r="AZ16" s="274"/>
      <c r="BA16" s="274"/>
      <c r="BB16" s="274"/>
      <c r="BC16" s="274"/>
      <c r="BD16" s="274"/>
      <c r="BE16" s="274"/>
      <c r="BF16" s="274"/>
      <c r="BG16" s="274"/>
      <c r="BH16" s="274"/>
      <c r="BI16" s="274"/>
      <c r="BJ16" s="274"/>
      <c r="BK16" s="274"/>
      <c r="BL16" s="274"/>
      <c r="BM16" s="274"/>
      <c r="BN16" s="274"/>
      <c r="BO16" s="274"/>
      <c r="BP16" s="274"/>
      <c r="BQ16" s="274"/>
      <c r="BR16" s="274"/>
      <c r="BS16" s="274"/>
      <c r="BT16" s="274"/>
      <c r="BU16" s="274"/>
      <c r="BV16" s="274"/>
      <c r="BW16" s="274"/>
      <c r="BX16" s="274"/>
      <c r="BY16" s="274"/>
      <c r="BZ16" s="274"/>
      <c r="CA16" s="274"/>
      <c r="CB16" s="274"/>
      <c r="CC16" s="274"/>
      <c r="CD16" s="274"/>
      <c r="CE16" s="274"/>
      <c r="CF16" s="274"/>
      <c r="CG16" s="274"/>
      <c r="CH16" s="274"/>
      <c r="CI16" s="274"/>
      <c r="CJ16" s="274"/>
      <c r="CK16" s="274"/>
      <c r="CL16" s="274"/>
      <c r="CM16" s="274"/>
      <c r="CN16" s="274"/>
      <c r="CO16" s="274"/>
      <c r="CP16" s="274"/>
      <c r="CQ16" s="274"/>
      <c r="CR16" s="274"/>
      <c r="CS16" s="274"/>
      <c r="CT16" s="274"/>
      <c r="CU16" s="274"/>
      <c r="CV16" s="274"/>
      <c r="CW16" s="274"/>
      <c r="CX16" s="274"/>
      <c r="CY16" s="274"/>
      <c r="CZ16" s="274"/>
      <c r="DA16" s="274"/>
      <c r="DB16" s="274"/>
      <c r="DC16" s="274"/>
      <c r="DD16" s="274"/>
      <c r="DE16" s="274"/>
      <c r="DF16" s="274"/>
      <c r="DG16" s="274"/>
      <c r="DH16" s="274"/>
      <c r="DI16" s="274"/>
      <c r="DJ16" s="274"/>
      <c r="DK16" s="274"/>
      <c r="DL16" s="274"/>
      <c r="DM16" s="274"/>
      <c r="DN16" s="274"/>
      <c r="DO16" s="274"/>
      <c r="DP16" s="274"/>
      <c r="DQ16" s="274"/>
      <c r="DR16" s="274"/>
      <c r="DS16" s="274"/>
      <c r="DT16" s="274"/>
      <c r="DU16" s="274"/>
      <c r="DV16" s="274"/>
      <c r="DW16" s="274"/>
      <c r="DX16" s="274"/>
      <c r="DY16" s="274"/>
      <c r="DZ16" s="274"/>
      <c r="EA16" s="274"/>
      <c r="EB16" s="274"/>
      <c r="EC16" s="274"/>
      <c r="ED16" s="274"/>
      <c r="EE16" s="274"/>
      <c r="EF16" s="274"/>
      <c r="EG16" s="274"/>
      <c r="EH16" s="274"/>
      <c r="EI16" s="274"/>
      <c r="EJ16" s="274"/>
      <c r="EK16" s="274"/>
      <c r="EL16" s="274"/>
      <c r="EM16" s="274"/>
      <c r="EN16" s="274"/>
      <c r="EO16" s="274"/>
      <c r="EP16" s="274"/>
      <c r="EQ16" s="274"/>
      <c r="ER16" s="274"/>
      <c r="ES16" s="274"/>
      <c r="ET16" s="274"/>
      <c r="EU16" s="274"/>
      <c r="EV16" s="274"/>
      <c r="EW16" s="274"/>
      <c r="EX16" s="274"/>
      <c r="EY16" s="274"/>
      <c r="EZ16" s="274"/>
      <c r="FA16" s="274"/>
      <c r="FB16" s="274"/>
      <c r="FC16" s="274"/>
      <c r="FD16" s="274"/>
      <c r="FE16" s="274"/>
      <c r="FF16" s="274"/>
      <c r="FG16" s="274"/>
      <c r="FH16" s="274"/>
      <c r="FI16" s="274"/>
      <c r="FJ16" s="274"/>
      <c r="FK16" s="274"/>
      <c r="FL16" s="274"/>
      <c r="FM16" s="274"/>
      <c r="FN16" s="274"/>
      <c r="FO16" s="274"/>
      <c r="FP16" s="274"/>
      <c r="FQ16" s="274"/>
      <c r="FR16" s="274"/>
      <c r="FS16" s="274"/>
      <c r="FT16" s="274"/>
      <c r="FU16" s="274"/>
      <c r="FV16" s="274"/>
      <c r="FW16" s="274"/>
      <c r="FX16" s="274"/>
      <c r="FY16" s="274"/>
      <c r="FZ16" s="274"/>
      <c r="GA16" s="274"/>
      <c r="GB16" s="274"/>
      <c r="GC16" s="274"/>
      <c r="GD16" s="274"/>
      <c r="GE16" s="274"/>
      <c r="GF16" s="274"/>
      <c r="GG16" s="274"/>
      <c r="GH16" s="274"/>
      <c r="GI16" s="274"/>
      <c r="GJ16" s="274"/>
      <c r="GK16" s="274"/>
      <c r="GL16" s="274"/>
      <c r="GM16" s="274"/>
      <c r="GN16" s="274"/>
      <c r="GO16" s="274"/>
      <c r="GP16" s="274"/>
      <c r="GQ16" s="274"/>
      <c r="GR16" s="274"/>
      <c r="GS16" s="274"/>
      <c r="GT16" s="274"/>
      <c r="GU16" s="274"/>
      <c r="GV16" s="274"/>
      <c r="GW16" s="274"/>
      <c r="GX16" s="274"/>
      <c r="GY16" s="274"/>
      <c r="GZ16" s="274"/>
      <c r="HA16" s="274"/>
      <c r="HB16" s="274"/>
      <c r="HC16" s="274"/>
      <c r="HD16" s="274"/>
      <c r="HE16" s="274"/>
      <c r="HF16" s="274"/>
      <c r="HG16" s="274"/>
      <c r="HH16" s="274"/>
      <c r="HI16" s="274"/>
      <c r="HJ16" s="274"/>
      <c r="HK16" s="274"/>
      <c r="HL16" s="274"/>
      <c r="HM16" s="274"/>
      <c r="HN16" s="274"/>
      <c r="HO16" s="274"/>
      <c r="HP16" s="274"/>
      <c r="HQ16" s="274"/>
      <c r="HR16" s="274"/>
      <c r="HS16" s="274"/>
      <c r="HT16" s="274"/>
      <c r="HU16" s="274"/>
      <c r="HV16" s="274"/>
      <c r="HW16" s="274"/>
      <c r="HX16" s="274"/>
      <c r="HY16" s="274"/>
      <c r="HZ16" s="274"/>
      <c r="IA16" s="274"/>
      <c r="IB16" s="274"/>
      <c r="IC16" s="274"/>
      <c r="ID16" s="274"/>
      <c r="IE16" s="274"/>
      <c r="IF16" s="274"/>
      <c r="IG16" s="274"/>
      <c r="IH16" s="274"/>
      <c r="II16" s="274"/>
      <c r="IJ16" s="274"/>
      <c r="IK16" s="274"/>
      <c r="IL16" s="274"/>
      <c r="IM16" s="274"/>
      <c r="IN16" s="274"/>
      <c r="IO16" s="274"/>
      <c r="IP16" s="274"/>
      <c r="IQ16" s="274"/>
      <c r="IR16" s="274"/>
      <c r="IS16" s="274"/>
      <c r="IT16" s="274"/>
      <c r="IU16" s="274"/>
    </row>
    <row r="17" spans="1:255" ht="22.5">
      <c r="A17" s="938" t="s">
        <v>436</v>
      </c>
      <c r="B17" s="857" t="s">
        <v>1</v>
      </c>
      <c r="C17" s="857"/>
      <c r="D17" s="939" t="s">
        <v>2104</v>
      </c>
      <c r="E17" s="940" t="s">
        <v>1308</v>
      </c>
      <c r="F17" s="946" t="s">
        <v>1308</v>
      </c>
      <c r="G17" s="946" t="s">
        <v>1308</v>
      </c>
      <c r="H17" s="2047"/>
      <c r="I17" s="1151" t="str">
        <f>IF(OR(ISTEXT(F17)=TRUE,ISTEXT(G17)=TRUE),Calculation1!$B$87,IF(F17+G17&gt;E17,Calculation1!$B$84,""))</f>
        <v>ERROR, text not valid!</v>
      </c>
      <c r="J17" s="1144"/>
      <c r="K17" s="1144"/>
      <c r="L17" s="1144"/>
      <c r="M17" s="1144"/>
      <c r="N17" s="1144"/>
      <c r="O17" s="1144"/>
      <c r="P17" s="1144"/>
      <c r="Q17" s="1144"/>
      <c r="R17" s="1144"/>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114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74"/>
      <c r="BQ17" s="274"/>
      <c r="BR17" s="274"/>
      <c r="BS17" s="274"/>
      <c r="BT17" s="274"/>
      <c r="BU17" s="274"/>
      <c r="BV17" s="274"/>
      <c r="BW17" s="274"/>
      <c r="BX17" s="274"/>
      <c r="BY17" s="274"/>
      <c r="BZ17" s="274"/>
      <c r="CA17" s="274"/>
      <c r="CB17" s="274"/>
      <c r="CC17" s="274"/>
      <c r="CD17" s="274"/>
      <c r="CE17" s="274"/>
      <c r="CF17" s="274"/>
      <c r="CG17" s="274"/>
      <c r="CH17" s="274"/>
      <c r="CI17" s="274"/>
      <c r="CJ17" s="274"/>
      <c r="CK17" s="274"/>
      <c r="CL17" s="274"/>
      <c r="CM17" s="274"/>
      <c r="CN17" s="274"/>
      <c r="CO17" s="274"/>
      <c r="CP17" s="274"/>
      <c r="CQ17" s="274"/>
      <c r="CR17" s="274"/>
      <c r="CS17" s="274"/>
      <c r="CT17" s="274"/>
      <c r="CU17" s="274"/>
      <c r="CV17" s="274"/>
      <c r="CW17" s="274"/>
      <c r="CX17" s="274"/>
      <c r="CY17" s="274"/>
      <c r="CZ17" s="274"/>
      <c r="DA17" s="274"/>
      <c r="DB17" s="274"/>
      <c r="DC17" s="274"/>
      <c r="DD17" s="274"/>
      <c r="DE17" s="274"/>
      <c r="DF17" s="274"/>
      <c r="DG17" s="274"/>
      <c r="DH17" s="274"/>
      <c r="DI17" s="274"/>
      <c r="DJ17" s="274"/>
      <c r="DK17" s="274"/>
      <c r="DL17" s="274"/>
      <c r="DM17" s="274"/>
      <c r="DN17" s="274"/>
      <c r="DO17" s="274"/>
      <c r="DP17" s="274"/>
      <c r="DQ17" s="274"/>
      <c r="DR17" s="274"/>
      <c r="DS17" s="274"/>
      <c r="DT17" s="274"/>
      <c r="DU17" s="274"/>
      <c r="DV17" s="274"/>
      <c r="DW17" s="274"/>
      <c r="DX17" s="274"/>
      <c r="DY17" s="274"/>
      <c r="DZ17" s="274"/>
      <c r="EA17" s="274"/>
      <c r="EB17" s="274"/>
      <c r="EC17" s="274"/>
      <c r="ED17" s="274"/>
      <c r="EE17" s="274"/>
      <c r="EF17" s="274"/>
      <c r="EG17" s="274"/>
      <c r="EH17" s="274"/>
      <c r="EI17" s="274"/>
      <c r="EJ17" s="274"/>
      <c r="EK17" s="274"/>
      <c r="EL17" s="274"/>
      <c r="EM17" s="274"/>
      <c r="EN17" s="274"/>
      <c r="EO17" s="274"/>
      <c r="EP17" s="274"/>
      <c r="EQ17" s="274"/>
      <c r="ER17" s="274"/>
      <c r="ES17" s="274"/>
      <c r="ET17" s="274"/>
      <c r="EU17" s="274"/>
      <c r="EV17" s="274"/>
      <c r="EW17" s="274"/>
      <c r="EX17" s="274"/>
      <c r="EY17" s="274"/>
      <c r="EZ17" s="274"/>
      <c r="FA17" s="274"/>
      <c r="FB17" s="274"/>
      <c r="FC17" s="274"/>
      <c r="FD17" s="274"/>
      <c r="FE17" s="274"/>
      <c r="FF17" s="274"/>
      <c r="FG17" s="274"/>
      <c r="FH17" s="274"/>
      <c r="FI17" s="274"/>
      <c r="FJ17" s="274"/>
      <c r="FK17" s="274"/>
      <c r="FL17" s="274"/>
      <c r="FM17" s="274"/>
      <c r="FN17" s="274"/>
      <c r="FO17" s="274"/>
      <c r="FP17" s="274"/>
      <c r="FQ17" s="274"/>
      <c r="FR17" s="274"/>
      <c r="FS17" s="274"/>
      <c r="FT17" s="274"/>
      <c r="FU17" s="274"/>
      <c r="FV17" s="274"/>
      <c r="FW17" s="274"/>
      <c r="FX17" s="274"/>
      <c r="FY17" s="274"/>
      <c r="FZ17" s="274"/>
      <c r="GA17" s="274"/>
      <c r="GB17" s="274"/>
      <c r="GC17" s="274"/>
      <c r="GD17" s="274"/>
      <c r="GE17" s="274"/>
      <c r="GF17" s="274"/>
      <c r="GG17" s="274"/>
      <c r="GH17" s="274"/>
      <c r="GI17" s="274"/>
      <c r="GJ17" s="274"/>
      <c r="GK17" s="274"/>
      <c r="GL17" s="274"/>
      <c r="GM17" s="274"/>
      <c r="GN17" s="274"/>
      <c r="GO17" s="274"/>
      <c r="GP17" s="274"/>
      <c r="GQ17" s="274"/>
      <c r="GR17" s="274"/>
      <c r="GS17" s="274"/>
      <c r="GT17" s="274"/>
      <c r="GU17" s="274"/>
      <c r="GV17" s="274"/>
      <c r="GW17" s="274"/>
      <c r="GX17" s="274"/>
      <c r="GY17" s="274"/>
      <c r="GZ17" s="274"/>
      <c r="HA17" s="274"/>
      <c r="HB17" s="274"/>
      <c r="HC17" s="274"/>
      <c r="HD17" s="274"/>
      <c r="HE17" s="274"/>
      <c r="HF17" s="274"/>
      <c r="HG17" s="274"/>
      <c r="HH17" s="274"/>
      <c r="HI17" s="274"/>
      <c r="HJ17" s="274"/>
      <c r="HK17" s="274"/>
      <c r="HL17" s="274"/>
      <c r="HM17" s="274"/>
      <c r="HN17" s="274"/>
      <c r="HO17" s="274"/>
      <c r="HP17" s="274"/>
      <c r="HQ17" s="274"/>
      <c r="HR17" s="274"/>
      <c r="HS17" s="274"/>
      <c r="HT17" s="274"/>
      <c r="HU17" s="274"/>
      <c r="HV17" s="274"/>
      <c r="HW17" s="274"/>
      <c r="HX17" s="274"/>
      <c r="HY17" s="274"/>
      <c r="HZ17" s="274"/>
      <c r="IA17" s="274"/>
      <c r="IB17" s="274"/>
      <c r="IC17" s="274"/>
      <c r="ID17" s="274"/>
      <c r="IE17" s="274"/>
      <c r="IF17" s="274"/>
      <c r="IG17" s="274"/>
      <c r="IH17" s="274"/>
      <c r="II17" s="274"/>
      <c r="IJ17" s="274"/>
      <c r="IK17" s="274"/>
      <c r="IL17" s="274"/>
      <c r="IM17" s="274"/>
      <c r="IN17" s="274"/>
      <c r="IO17" s="274"/>
      <c r="IP17" s="274"/>
      <c r="IQ17" s="274"/>
      <c r="IR17" s="274"/>
      <c r="IS17" s="274"/>
      <c r="IT17" s="274"/>
      <c r="IU17" s="274"/>
    </row>
    <row r="18" spans="1:255" s="912" customFormat="1" ht="38.25">
      <c r="A18" s="938" t="s">
        <v>1309</v>
      </c>
      <c r="B18" s="857" t="s">
        <v>1310</v>
      </c>
      <c r="C18" s="857"/>
      <c r="D18" s="939" t="s">
        <v>2104</v>
      </c>
      <c r="E18" s="940" t="s">
        <v>1308</v>
      </c>
      <c r="F18" s="946" t="s">
        <v>1308</v>
      </c>
      <c r="G18" s="946" t="s">
        <v>1308</v>
      </c>
      <c r="H18" s="2047"/>
      <c r="I18" s="1151" t="str">
        <f>IF(OR(ISTEXT(F18)=TRUE,ISTEXT(G18)=TRUE),Calculation1!$B$87,IF(F18+G18&gt;E18,Calculation1!$B$84,""))</f>
        <v>ERROR, text not valid!</v>
      </c>
      <c r="J18" s="1144"/>
      <c r="K18" s="1144"/>
      <c r="L18" s="1144"/>
      <c r="M18" s="1144"/>
      <c r="N18" s="1144"/>
      <c r="O18" s="1144"/>
      <c r="P18" s="1144"/>
      <c r="Q18" s="1144"/>
      <c r="R18" s="1144"/>
      <c r="S18" s="1144"/>
      <c r="T18" s="1144"/>
      <c r="U18" s="1144"/>
      <c r="V18" s="1144"/>
      <c r="W18" s="1144"/>
      <c r="X18" s="1144"/>
      <c r="Y18" s="1144"/>
      <c r="Z18" s="1144"/>
      <c r="AA18" s="1144"/>
      <c r="AB18" s="1144"/>
      <c r="AC18" s="1144"/>
      <c r="AD18" s="1144"/>
      <c r="AE18" s="1144"/>
      <c r="AF18" s="1144"/>
      <c r="AG18" s="1144"/>
      <c r="AH18" s="1144"/>
      <c r="AI18" s="1144"/>
      <c r="AJ18" s="1144"/>
      <c r="AK18" s="1144"/>
      <c r="AL18" s="1144"/>
      <c r="AM18" s="1144"/>
      <c r="AN18" s="1144"/>
      <c r="AO18" s="1144"/>
      <c r="AP18" s="1144"/>
      <c r="AQ18" s="1144"/>
      <c r="AR18" s="1144"/>
      <c r="AS18" s="274"/>
      <c r="AT18" s="274"/>
      <c r="AU18" s="274"/>
      <c r="AV18" s="274"/>
      <c r="AW18" s="274"/>
      <c r="AX18" s="274"/>
      <c r="AY18" s="274"/>
      <c r="AZ18" s="274"/>
      <c r="BA18" s="274"/>
      <c r="BB18" s="274"/>
      <c r="BC18" s="274"/>
      <c r="BD18" s="274"/>
      <c r="BE18" s="274"/>
      <c r="BF18" s="274"/>
      <c r="BG18" s="274"/>
      <c r="BH18" s="274"/>
      <c r="BI18" s="274"/>
      <c r="BJ18" s="274"/>
      <c r="BK18" s="274"/>
      <c r="BL18" s="274"/>
      <c r="BM18" s="274"/>
      <c r="BN18" s="274"/>
      <c r="BO18" s="274"/>
      <c r="BP18" s="274"/>
      <c r="BQ18" s="274"/>
      <c r="BR18" s="274"/>
      <c r="BS18" s="274"/>
      <c r="BT18" s="274"/>
      <c r="BU18" s="274"/>
      <c r="BV18" s="274"/>
      <c r="BW18" s="274"/>
      <c r="BX18" s="274"/>
      <c r="BY18" s="274"/>
      <c r="BZ18" s="274"/>
      <c r="CA18" s="274"/>
      <c r="CB18" s="274"/>
      <c r="CC18" s="274"/>
      <c r="CD18" s="274"/>
      <c r="CE18" s="274"/>
      <c r="CF18" s="274"/>
      <c r="CG18" s="274"/>
      <c r="CH18" s="274"/>
      <c r="CI18" s="274"/>
      <c r="CJ18" s="274"/>
      <c r="CK18" s="274"/>
      <c r="CL18" s="274"/>
      <c r="CM18" s="274"/>
      <c r="CN18" s="274"/>
      <c r="CO18" s="274"/>
      <c r="CP18" s="274"/>
      <c r="CQ18" s="274"/>
      <c r="CR18" s="274"/>
      <c r="CS18" s="274"/>
      <c r="CT18" s="274"/>
      <c r="CU18" s="274"/>
      <c r="CV18" s="274"/>
      <c r="CW18" s="274"/>
      <c r="CX18" s="274"/>
      <c r="CY18" s="274"/>
      <c r="CZ18" s="274"/>
      <c r="DA18" s="274"/>
      <c r="DB18" s="274"/>
      <c r="DC18" s="274"/>
      <c r="DD18" s="274"/>
      <c r="DE18" s="274"/>
      <c r="DF18" s="274"/>
      <c r="DG18" s="274"/>
      <c r="DH18" s="274"/>
      <c r="DI18" s="274"/>
      <c r="DJ18" s="274"/>
      <c r="DK18" s="274"/>
      <c r="DL18" s="274"/>
      <c r="DM18" s="274"/>
      <c r="DN18" s="274"/>
      <c r="DO18" s="274"/>
      <c r="DP18" s="274"/>
      <c r="DQ18" s="274"/>
      <c r="DR18" s="274"/>
      <c r="DS18" s="274"/>
      <c r="DT18" s="274"/>
      <c r="DU18" s="274"/>
      <c r="DV18" s="274"/>
      <c r="DW18" s="274"/>
      <c r="DX18" s="274"/>
      <c r="DY18" s="274"/>
      <c r="DZ18" s="274"/>
      <c r="EA18" s="274"/>
      <c r="EB18" s="274"/>
      <c r="EC18" s="274"/>
      <c r="ED18" s="274"/>
      <c r="EE18" s="274"/>
      <c r="EF18" s="274"/>
      <c r="EG18" s="274"/>
      <c r="EH18" s="274"/>
      <c r="EI18" s="274"/>
      <c r="EJ18" s="274"/>
      <c r="EK18" s="274"/>
      <c r="EL18" s="274"/>
      <c r="EM18" s="274"/>
      <c r="EN18" s="274"/>
      <c r="EO18" s="274"/>
      <c r="EP18" s="274"/>
      <c r="EQ18" s="274"/>
      <c r="ER18" s="274"/>
      <c r="ES18" s="274"/>
      <c r="ET18" s="274"/>
      <c r="EU18" s="274"/>
      <c r="EV18" s="274"/>
      <c r="EW18" s="274"/>
      <c r="EX18" s="274"/>
      <c r="EY18" s="274"/>
      <c r="EZ18" s="274"/>
      <c r="FA18" s="274"/>
      <c r="FB18" s="274"/>
      <c r="FC18" s="274"/>
      <c r="FD18" s="274"/>
      <c r="FE18" s="274"/>
      <c r="FF18" s="274"/>
      <c r="FG18" s="274"/>
      <c r="FH18" s="274"/>
      <c r="FI18" s="274"/>
      <c r="FJ18" s="274"/>
      <c r="FK18" s="274"/>
      <c r="FL18" s="274"/>
      <c r="FM18" s="274"/>
      <c r="FN18" s="274"/>
      <c r="FO18" s="274"/>
      <c r="FP18" s="274"/>
      <c r="FQ18" s="274"/>
      <c r="FR18" s="274"/>
      <c r="FS18" s="274"/>
      <c r="FT18" s="274"/>
      <c r="FU18" s="274"/>
      <c r="FV18" s="274"/>
      <c r="FW18" s="274"/>
      <c r="FX18" s="274"/>
      <c r="FY18" s="274"/>
      <c r="FZ18" s="274"/>
      <c r="GA18" s="274"/>
      <c r="GB18" s="274"/>
      <c r="GC18" s="274"/>
      <c r="GD18" s="274"/>
      <c r="GE18" s="274"/>
      <c r="GF18" s="274"/>
      <c r="GG18" s="274"/>
      <c r="GH18" s="274"/>
      <c r="GI18" s="274"/>
      <c r="GJ18" s="274"/>
      <c r="GK18" s="274"/>
      <c r="GL18" s="274"/>
      <c r="GM18" s="274"/>
      <c r="GN18" s="274"/>
      <c r="GO18" s="274"/>
      <c r="GP18" s="274"/>
      <c r="GQ18" s="274"/>
      <c r="GR18" s="274"/>
      <c r="GS18" s="274"/>
      <c r="GT18" s="274"/>
      <c r="GU18" s="274"/>
      <c r="GV18" s="274"/>
      <c r="GW18" s="274"/>
      <c r="GX18" s="274"/>
      <c r="GY18" s="274"/>
      <c r="GZ18" s="274"/>
      <c r="HA18" s="274"/>
      <c r="HB18" s="274"/>
      <c r="HC18" s="274"/>
      <c r="HD18" s="274"/>
      <c r="HE18" s="274"/>
      <c r="HF18" s="274"/>
      <c r="HG18" s="274"/>
      <c r="HH18" s="274"/>
      <c r="HI18" s="274"/>
      <c r="HJ18" s="274"/>
      <c r="HK18" s="274"/>
      <c r="HL18" s="274"/>
      <c r="HM18" s="274"/>
      <c r="HN18" s="274"/>
      <c r="HO18" s="274"/>
      <c r="HP18" s="274"/>
      <c r="HQ18" s="274"/>
      <c r="HR18" s="274"/>
      <c r="HS18" s="274"/>
      <c r="HT18" s="274"/>
      <c r="HU18" s="274"/>
      <c r="HV18" s="274"/>
      <c r="HW18" s="274"/>
      <c r="HX18" s="274"/>
      <c r="HY18" s="274"/>
      <c r="HZ18" s="274"/>
      <c r="IA18" s="274"/>
      <c r="IB18" s="274"/>
      <c r="IC18" s="274"/>
      <c r="ID18" s="274"/>
      <c r="IE18" s="274"/>
      <c r="IF18" s="274"/>
      <c r="IG18" s="274"/>
      <c r="IH18" s="274"/>
      <c r="II18" s="274"/>
      <c r="IJ18" s="274"/>
      <c r="IK18" s="274"/>
      <c r="IL18" s="274"/>
      <c r="IM18" s="274"/>
      <c r="IN18" s="274"/>
      <c r="IO18" s="274"/>
      <c r="IP18" s="274"/>
      <c r="IQ18" s="274"/>
      <c r="IR18" s="274"/>
      <c r="IS18" s="274"/>
      <c r="IT18" s="274"/>
      <c r="IU18" s="274"/>
    </row>
    <row r="19" spans="1:255" s="912" customFormat="1" ht="230.25" customHeight="1">
      <c r="A19" s="921" t="s">
        <v>1313</v>
      </c>
      <c r="B19" s="1983" t="s">
        <v>1311</v>
      </c>
      <c r="C19" s="1121" t="s">
        <v>1453</v>
      </c>
      <c r="D19" s="1142" t="s">
        <v>2009</v>
      </c>
      <c r="E19" s="920">
        <v>1</v>
      </c>
      <c r="F19" s="2052"/>
      <c r="G19" s="2052"/>
      <c r="H19" s="2054"/>
      <c r="I19" s="1151"/>
      <c r="J19" s="1144"/>
      <c r="K19" s="1144"/>
      <c r="L19" s="1144"/>
      <c r="M19" s="1144"/>
      <c r="N19" s="1144"/>
      <c r="O19" s="1144"/>
      <c r="P19" s="1144"/>
      <c r="Q19" s="1144"/>
      <c r="R19" s="1144"/>
      <c r="S19" s="1144"/>
      <c r="T19" s="1144"/>
      <c r="U19" s="1144"/>
      <c r="V19" s="1144"/>
      <c r="W19" s="1144"/>
      <c r="X19" s="1144"/>
      <c r="Y19" s="1144"/>
      <c r="Z19" s="1144"/>
      <c r="AA19" s="1144"/>
      <c r="AB19" s="1144"/>
      <c r="AC19" s="1144"/>
      <c r="AD19" s="1144"/>
      <c r="AE19" s="1144"/>
      <c r="AF19" s="1144"/>
      <c r="AG19" s="1144"/>
      <c r="AH19" s="1144"/>
      <c r="AI19" s="1144"/>
      <c r="AJ19" s="1144"/>
      <c r="AK19" s="1144"/>
      <c r="AL19" s="1144"/>
      <c r="AM19" s="1144"/>
      <c r="AN19" s="1144"/>
      <c r="AO19" s="1144"/>
      <c r="AP19" s="1144"/>
      <c r="AQ19" s="1144"/>
      <c r="AR19" s="114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274"/>
      <c r="BW19" s="274"/>
      <c r="BX19" s="274"/>
      <c r="BY19" s="274"/>
      <c r="BZ19" s="274"/>
      <c r="CA19" s="274"/>
      <c r="CB19" s="274"/>
      <c r="CC19" s="274"/>
      <c r="CD19" s="274"/>
      <c r="CE19" s="274"/>
      <c r="CF19" s="274"/>
      <c r="CG19" s="274"/>
      <c r="CH19" s="274"/>
      <c r="CI19" s="274"/>
      <c r="CJ19" s="274"/>
      <c r="CK19" s="274"/>
      <c r="CL19" s="274"/>
      <c r="CM19" s="274"/>
      <c r="CN19" s="274"/>
      <c r="CO19" s="274"/>
      <c r="CP19" s="274"/>
      <c r="CQ19" s="274"/>
      <c r="CR19" s="274"/>
      <c r="CS19" s="274"/>
      <c r="CT19" s="274"/>
      <c r="CU19" s="274"/>
      <c r="CV19" s="274"/>
      <c r="CW19" s="274"/>
      <c r="CX19" s="274"/>
      <c r="CY19" s="274"/>
      <c r="CZ19" s="274"/>
      <c r="DA19" s="274"/>
      <c r="DB19" s="274"/>
      <c r="DC19" s="274"/>
      <c r="DD19" s="274"/>
      <c r="DE19" s="274"/>
      <c r="DF19" s="274"/>
      <c r="DG19" s="274"/>
      <c r="DH19" s="274"/>
      <c r="DI19" s="274"/>
      <c r="DJ19" s="274"/>
      <c r="DK19" s="274"/>
      <c r="DL19" s="274"/>
      <c r="DM19" s="274"/>
      <c r="DN19" s="274"/>
      <c r="DO19" s="274"/>
      <c r="DP19" s="274"/>
      <c r="DQ19" s="274"/>
      <c r="DR19" s="274"/>
      <c r="DS19" s="274"/>
      <c r="DT19" s="274"/>
      <c r="DU19" s="274"/>
      <c r="DV19" s="274"/>
      <c r="DW19" s="274"/>
      <c r="DX19" s="274"/>
      <c r="DY19" s="274"/>
      <c r="DZ19" s="274"/>
      <c r="EA19" s="274"/>
      <c r="EB19" s="274"/>
      <c r="EC19" s="274"/>
      <c r="ED19" s="274"/>
      <c r="EE19" s="274"/>
      <c r="EF19" s="274"/>
      <c r="EG19" s="274"/>
      <c r="EH19" s="274"/>
      <c r="EI19" s="274"/>
      <c r="EJ19" s="274"/>
      <c r="EK19" s="274"/>
      <c r="EL19" s="274"/>
      <c r="EM19" s="274"/>
      <c r="EN19" s="274"/>
      <c r="EO19" s="274"/>
      <c r="EP19" s="274"/>
      <c r="EQ19" s="274"/>
      <c r="ER19" s="274"/>
      <c r="ES19" s="274"/>
      <c r="ET19" s="274"/>
      <c r="EU19" s="274"/>
      <c r="EV19" s="274"/>
      <c r="EW19" s="274"/>
      <c r="EX19" s="274"/>
      <c r="EY19" s="274"/>
      <c r="EZ19" s="274"/>
      <c r="FA19" s="274"/>
      <c r="FB19" s="274"/>
      <c r="FC19" s="274"/>
      <c r="FD19" s="274"/>
      <c r="FE19" s="274"/>
      <c r="FF19" s="274"/>
      <c r="FG19" s="274"/>
      <c r="FH19" s="274"/>
      <c r="FI19" s="274"/>
      <c r="FJ19" s="274"/>
      <c r="FK19" s="274"/>
      <c r="FL19" s="274"/>
      <c r="FM19" s="274"/>
      <c r="FN19" s="274"/>
      <c r="FO19" s="274"/>
      <c r="FP19" s="274"/>
      <c r="FQ19" s="274"/>
      <c r="FR19" s="274"/>
      <c r="FS19" s="274"/>
      <c r="FT19" s="274"/>
      <c r="FU19" s="274"/>
      <c r="FV19" s="274"/>
      <c r="FW19" s="274"/>
      <c r="FX19" s="274"/>
      <c r="FY19" s="274"/>
      <c r="FZ19" s="274"/>
      <c r="GA19" s="274"/>
      <c r="GB19" s="274"/>
      <c r="GC19" s="274"/>
      <c r="GD19" s="274"/>
      <c r="GE19" s="274"/>
      <c r="GF19" s="274"/>
      <c r="GG19" s="274"/>
      <c r="GH19" s="274"/>
      <c r="GI19" s="274"/>
      <c r="GJ19" s="274"/>
      <c r="GK19" s="274"/>
      <c r="GL19" s="274"/>
      <c r="GM19" s="274"/>
      <c r="GN19" s="274"/>
      <c r="GO19" s="274"/>
      <c r="GP19" s="274"/>
      <c r="GQ19" s="274"/>
      <c r="GR19" s="274"/>
      <c r="GS19" s="274"/>
      <c r="GT19" s="274"/>
      <c r="GU19" s="274"/>
      <c r="GV19" s="274"/>
      <c r="GW19" s="274"/>
      <c r="GX19" s="274"/>
      <c r="GY19" s="274"/>
      <c r="GZ19" s="274"/>
      <c r="HA19" s="274"/>
      <c r="HB19" s="274"/>
      <c r="HC19" s="274"/>
      <c r="HD19" s="274"/>
      <c r="HE19" s="274"/>
      <c r="HF19" s="274"/>
      <c r="HG19" s="274"/>
      <c r="HH19" s="274"/>
      <c r="HI19" s="274"/>
      <c r="HJ19" s="274"/>
      <c r="HK19" s="274"/>
      <c r="HL19" s="274"/>
      <c r="HM19" s="274"/>
      <c r="HN19" s="274"/>
      <c r="HO19" s="274"/>
      <c r="HP19" s="274"/>
      <c r="HQ19" s="274"/>
      <c r="HR19" s="274"/>
      <c r="HS19" s="274"/>
      <c r="HT19" s="274"/>
      <c r="HU19" s="274"/>
      <c r="HV19" s="274"/>
      <c r="HW19" s="274"/>
      <c r="HX19" s="274"/>
      <c r="HY19" s="274"/>
      <c r="HZ19" s="274"/>
      <c r="IA19" s="274"/>
      <c r="IB19" s="274"/>
      <c r="IC19" s="274"/>
      <c r="ID19" s="274"/>
      <c r="IE19" s="274"/>
      <c r="IF19" s="274"/>
      <c r="IG19" s="274"/>
      <c r="IH19" s="274"/>
      <c r="II19" s="274"/>
      <c r="IJ19" s="274"/>
      <c r="IK19" s="274"/>
      <c r="IL19" s="274"/>
      <c r="IM19" s="274"/>
      <c r="IN19" s="274"/>
      <c r="IO19" s="274"/>
      <c r="IP19" s="274"/>
      <c r="IQ19" s="274"/>
      <c r="IR19" s="274"/>
      <c r="IS19" s="274"/>
      <c r="IT19" s="274"/>
      <c r="IU19" s="274"/>
    </row>
    <row r="20" spans="1:255" s="912" customFormat="1" ht="240.75" customHeight="1">
      <c r="A20" s="921" t="s">
        <v>1314</v>
      </c>
      <c r="B20" s="1983" t="s">
        <v>1312</v>
      </c>
      <c r="C20" s="1983" t="s">
        <v>2010</v>
      </c>
      <c r="D20" s="1142" t="s">
        <v>2011</v>
      </c>
      <c r="E20" s="920">
        <v>1</v>
      </c>
      <c r="F20" s="2052"/>
      <c r="G20" s="2052"/>
      <c r="H20" s="2054"/>
      <c r="I20" s="1151"/>
      <c r="J20" s="1144"/>
      <c r="K20" s="1144"/>
      <c r="L20" s="1144"/>
      <c r="M20" s="1144"/>
      <c r="N20" s="1144"/>
      <c r="O20" s="1144"/>
      <c r="P20" s="1144"/>
      <c r="Q20" s="1144"/>
      <c r="R20" s="1144"/>
      <c r="S20" s="1144"/>
      <c r="T20" s="1144"/>
      <c r="U20" s="1144"/>
      <c r="V20" s="1144"/>
      <c r="W20" s="1144"/>
      <c r="X20" s="1144"/>
      <c r="Y20" s="1144"/>
      <c r="Z20" s="1144"/>
      <c r="AA20" s="1144"/>
      <c r="AB20" s="1144"/>
      <c r="AC20" s="1144"/>
      <c r="AD20" s="1144"/>
      <c r="AE20" s="1144"/>
      <c r="AF20" s="1144"/>
      <c r="AG20" s="1144"/>
      <c r="AH20" s="1144"/>
      <c r="AI20" s="1144"/>
      <c r="AJ20" s="1144"/>
      <c r="AK20" s="1144"/>
      <c r="AL20" s="1144"/>
      <c r="AM20" s="1144"/>
      <c r="AN20" s="1144"/>
      <c r="AO20" s="1144"/>
      <c r="AP20" s="1144"/>
      <c r="AQ20" s="1144"/>
      <c r="AR20" s="1144"/>
      <c r="AS20" s="274"/>
      <c r="AT20" s="274"/>
      <c r="AU20" s="274"/>
      <c r="AV20" s="274"/>
      <c r="AW20" s="274"/>
      <c r="AX20" s="274"/>
      <c r="AY20" s="274"/>
      <c r="AZ20" s="274"/>
      <c r="BA20" s="274"/>
      <c r="BB20" s="274"/>
      <c r="BC20" s="274"/>
      <c r="BD20" s="274"/>
      <c r="BE20" s="274"/>
      <c r="BF20" s="274"/>
      <c r="BG20" s="274"/>
      <c r="BH20" s="274"/>
      <c r="BI20" s="274"/>
      <c r="BJ20" s="274"/>
      <c r="BK20" s="274"/>
      <c r="BL20" s="274"/>
      <c r="BM20" s="274"/>
      <c r="BN20" s="274"/>
      <c r="BO20" s="274"/>
      <c r="BP20" s="274"/>
      <c r="BQ20" s="274"/>
      <c r="BR20" s="274"/>
      <c r="BS20" s="274"/>
      <c r="BT20" s="274"/>
      <c r="BU20" s="274"/>
      <c r="BV20" s="274"/>
      <c r="BW20" s="274"/>
      <c r="BX20" s="274"/>
      <c r="BY20" s="274"/>
      <c r="BZ20" s="274"/>
      <c r="CA20" s="274"/>
      <c r="CB20" s="274"/>
      <c r="CC20" s="274"/>
      <c r="CD20" s="274"/>
      <c r="CE20" s="274"/>
      <c r="CF20" s="274"/>
      <c r="CG20" s="274"/>
      <c r="CH20" s="274"/>
      <c r="CI20" s="274"/>
      <c r="CJ20" s="274"/>
      <c r="CK20" s="274"/>
      <c r="CL20" s="274"/>
      <c r="CM20" s="274"/>
      <c r="CN20" s="274"/>
      <c r="CO20" s="274"/>
      <c r="CP20" s="274"/>
      <c r="CQ20" s="274"/>
      <c r="CR20" s="274"/>
      <c r="CS20" s="274"/>
      <c r="CT20" s="274"/>
      <c r="CU20" s="274"/>
      <c r="CV20" s="274"/>
      <c r="CW20" s="274"/>
      <c r="CX20" s="274"/>
      <c r="CY20" s="274"/>
      <c r="CZ20" s="274"/>
      <c r="DA20" s="274"/>
      <c r="DB20" s="274"/>
      <c r="DC20" s="274"/>
      <c r="DD20" s="274"/>
      <c r="DE20" s="274"/>
      <c r="DF20" s="274"/>
      <c r="DG20" s="274"/>
      <c r="DH20" s="274"/>
      <c r="DI20" s="274"/>
      <c r="DJ20" s="274"/>
      <c r="DK20" s="274"/>
      <c r="DL20" s="274"/>
      <c r="DM20" s="274"/>
      <c r="DN20" s="274"/>
      <c r="DO20" s="274"/>
      <c r="DP20" s="274"/>
      <c r="DQ20" s="274"/>
      <c r="DR20" s="274"/>
      <c r="DS20" s="274"/>
      <c r="DT20" s="274"/>
      <c r="DU20" s="274"/>
      <c r="DV20" s="274"/>
      <c r="DW20" s="274"/>
      <c r="DX20" s="274"/>
      <c r="DY20" s="274"/>
      <c r="DZ20" s="274"/>
      <c r="EA20" s="274"/>
      <c r="EB20" s="274"/>
      <c r="EC20" s="274"/>
      <c r="ED20" s="274"/>
      <c r="EE20" s="274"/>
      <c r="EF20" s="274"/>
      <c r="EG20" s="274"/>
      <c r="EH20" s="274"/>
      <c r="EI20" s="274"/>
      <c r="EJ20" s="274"/>
      <c r="EK20" s="274"/>
      <c r="EL20" s="274"/>
      <c r="EM20" s="274"/>
      <c r="EN20" s="274"/>
      <c r="EO20" s="274"/>
      <c r="EP20" s="274"/>
      <c r="EQ20" s="274"/>
      <c r="ER20" s="274"/>
      <c r="ES20" s="274"/>
      <c r="ET20" s="274"/>
      <c r="EU20" s="274"/>
      <c r="EV20" s="274"/>
      <c r="EW20" s="274"/>
      <c r="EX20" s="274"/>
      <c r="EY20" s="274"/>
      <c r="EZ20" s="274"/>
      <c r="FA20" s="274"/>
      <c r="FB20" s="274"/>
      <c r="FC20" s="274"/>
      <c r="FD20" s="274"/>
      <c r="FE20" s="274"/>
      <c r="FF20" s="274"/>
      <c r="FG20" s="274"/>
      <c r="FH20" s="274"/>
      <c r="FI20" s="274"/>
      <c r="FJ20" s="274"/>
      <c r="FK20" s="274"/>
      <c r="FL20" s="274"/>
      <c r="FM20" s="274"/>
      <c r="FN20" s="274"/>
      <c r="FO20" s="274"/>
      <c r="FP20" s="274"/>
      <c r="FQ20" s="274"/>
      <c r="FR20" s="274"/>
      <c r="FS20" s="274"/>
      <c r="FT20" s="274"/>
      <c r="FU20" s="274"/>
      <c r="FV20" s="274"/>
      <c r="FW20" s="274"/>
      <c r="FX20" s="274"/>
      <c r="FY20" s="274"/>
      <c r="FZ20" s="274"/>
      <c r="GA20" s="274"/>
      <c r="GB20" s="274"/>
      <c r="GC20" s="274"/>
      <c r="GD20" s="274"/>
      <c r="GE20" s="274"/>
      <c r="GF20" s="274"/>
      <c r="GG20" s="274"/>
      <c r="GH20" s="274"/>
      <c r="GI20" s="274"/>
      <c r="GJ20" s="274"/>
      <c r="GK20" s="274"/>
      <c r="GL20" s="274"/>
      <c r="GM20" s="274"/>
      <c r="GN20" s="274"/>
      <c r="GO20" s="274"/>
      <c r="GP20" s="274"/>
      <c r="GQ20" s="274"/>
      <c r="GR20" s="274"/>
      <c r="GS20" s="274"/>
      <c r="GT20" s="274"/>
      <c r="GU20" s="274"/>
      <c r="GV20" s="274"/>
      <c r="GW20" s="274"/>
      <c r="GX20" s="274"/>
      <c r="GY20" s="274"/>
      <c r="GZ20" s="274"/>
      <c r="HA20" s="274"/>
      <c r="HB20" s="274"/>
      <c r="HC20" s="274"/>
      <c r="HD20" s="274"/>
      <c r="HE20" s="274"/>
      <c r="HF20" s="274"/>
      <c r="HG20" s="274"/>
      <c r="HH20" s="274"/>
      <c r="HI20" s="274"/>
      <c r="HJ20" s="274"/>
      <c r="HK20" s="274"/>
      <c r="HL20" s="274"/>
      <c r="HM20" s="274"/>
      <c r="HN20" s="274"/>
      <c r="HO20" s="274"/>
      <c r="HP20" s="274"/>
      <c r="HQ20" s="274"/>
      <c r="HR20" s="274"/>
      <c r="HS20" s="274"/>
      <c r="HT20" s="274"/>
      <c r="HU20" s="274"/>
      <c r="HV20" s="274"/>
      <c r="HW20" s="274"/>
      <c r="HX20" s="274"/>
      <c r="HY20" s="274"/>
      <c r="HZ20" s="274"/>
      <c r="IA20" s="274"/>
      <c r="IB20" s="274"/>
      <c r="IC20" s="274"/>
      <c r="ID20" s="274"/>
      <c r="IE20" s="274"/>
      <c r="IF20" s="274"/>
      <c r="IG20" s="274"/>
      <c r="IH20" s="274"/>
      <c r="II20" s="274"/>
      <c r="IJ20" s="274"/>
      <c r="IK20" s="274"/>
      <c r="IL20" s="274"/>
      <c r="IM20" s="274"/>
      <c r="IN20" s="274"/>
      <c r="IO20" s="274"/>
      <c r="IP20" s="274"/>
      <c r="IQ20" s="274"/>
      <c r="IR20" s="274"/>
      <c r="IS20" s="274"/>
      <c r="IT20" s="274"/>
      <c r="IU20" s="274"/>
    </row>
    <row r="21" spans="1:255" s="951" customFormat="1" ht="179.25" thickBot="1">
      <c r="A21" s="954" t="s">
        <v>1378</v>
      </c>
      <c r="B21" s="1121" t="s">
        <v>1379</v>
      </c>
      <c r="C21" s="1121" t="s">
        <v>1380</v>
      </c>
      <c r="D21" s="1122" t="s">
        <v>2012</v>
      </c>
      <c r="E21" s="955">
        <v>1</v>
      </c>
      <c r="F21" s="2052"/>
      <c r="G21" s="2053"/>
      <c r="H21" s="2055"/>
      <c r="I21" s="1151"/>
      <c r="J21" s="1144"/>
      <c r="K21" s="1144"/>
      <c r="L21" s="1144"/>
      <c r="M21" s="1144"/>
      <c r="N21" s="1144"/>
      <c r="O21" s="1144"/>
      <c r="P21" s="1144"/>
      <c r="Q21" s="1144"/>
      <c r="R21" s="1144"/>
      <c r="S21" s="1144"/>
      <c r="T21" s="1144"/>
      <c r="U21" s="1144"/>
      <c r="V21" s="1144"/>
      <c r="W21" s="1144"/>
      <c r="X21" s="1144"/>
      <c r="Y21" s="1144"/>
      <c r="Z21" s="1144"/>
      <c r="AA21" s="1144"/>
      <c r="AB21" s="1144"/>
      <c r="AC21" s="1144"/>
      <c r="AD21" s="1144"/>
      <c r="AE21" s="1144"/>
      <c r="AF21" s="1144"/>
      <c r="AG21" s="1144"/>
      <c r="AH21" s="1144"/>
      <c r="AI21" s="1144"/>
      <c r="AJ21" s="1144"/>
      <c r="AK21" s="1144"/>
      <c r="AL21" s="1144"/>
      <c r="AM21" s="1144"/>
      <c r="AN21" s="1144"/>
      <c r="AO21" s="1144"/>
      <c r="AP21" s="1144"/>
      <c r="AQ21" s="1144"/>
      <c r="AR21" s="1144"/>
      <c r="AS21" s="952"/>
      <c r="AT21" s="952"/>
      <c r="AU21" s="952"/>
      <c r="AV21" s="952"/>
      <c r="AW21" s="952"/>
      <c r="AX21" s="952"/>
      <c r="AY21" s="952"/>
      <c r="AZ21" s="952"/>
      <c r="BA21" s="952"/>
      <c r="BB21" s="952"/>
      <c r="BC21" s="952"/>
      <c r="BD21" s="952"/>
      <c r="BE21" s="952"/>
      <c r="BF21" s="952"/>
      <c r="BG21" s="952"/>
      <c r="BH21" s="952"/>
      <c r="BI21" s="952"/>
      <c r="BJ21" s="952"/>
      <c r="BK21" s="952"/>
      <c r="BL21" s="952"/>
      <c r="BM21" s="952"/>
      <c r="BN21" s="952"/>
      <c r="BO21" s="952"/>
      <c r="BP21" s="952"/>
      <c r="BQ21" s="952"/>
      <c r="BR21" s="952"/>
      <c r="BS21" s="952"/>
      <c r="BT21" s="952"/>
      <c r="BU21" s="952"/>
      <c r="BV21" s="952"/>
      <c r="BW21" s="952"/>
      <c r="BX21" s="952"/>
      <c r="BY21" s="952"/>
      <c r="BZ21" s="952"/>
      <c r="CA21" s="952"/>
      <c r="CB21" s="952"/>
      <c r="CC21" s="952"/>
      <c r="CD21" s="952"/>
      <c r="CE21" s="952"/>
      <c r="CF21" s="952"/>
      <c r="CG21" s="952"/>
      <c r="CH21" s="952"/>
      <c r="CI21" s="952"/>
      <c r="CJ21" s="952"/>
      <c r="CK21" s="952"/>
      <c r="CL21" s="952"/>
      <c r="CM21" s="952"/>
      <c r="CN21" s="952"/>
      <c r="CO21" s="952"/>
      <c r="CP21" s="952"/>
      <c r="CQ21" s="952"/>
      <c r="CR21" s="952"/>
      <c r="CS21" s="952"/>
      <c r="CT21" s="952"/>
      <c r="CU21" s="952"/>
      <c r="CV21" s="952"/>
      <c r="CW21" s="952"/>
      <c r="CX21" s="952"/>
      <c r="CY21" s="952"/>
      <c r="CZ21" s="952"/>
      <c r="DA21" s="952"/>
      <c r="DB21" s="952"/>
      <c r="DC21" s="952"/>
      <c r="DD21" s="952"/>
      <c r="DE21" s="952"/>
      <c r="DF21" s="952"/>
      <c r="DG21" s="952"/>
      <c r="DH21" s="952"/>
      <c r="DI21" s="952"/>
      <c r="DJ21" s="952"/>
      <c r="DK21" s="952"/>
      <c r="DL21" s="952"/>
      <c r="DM21" s="952"/>
      <c r="DN21" s="952"/>
      <c r="DO21" s="952"/>
      <c r="DP21" s="952"/>
      <c r="DQ21" s="952"/>
      <c r="DR21" s="952"/>
      <c r="DS21" s="952"/>
      <c r="DT21" s="952"/>
      <c r="DU21" s="952"/>
      <c r="DV21" s="952"/>
      <c r="DW21" s="952"/>
      <c r="DX21" s="952"/>
      <c r="DY21" s="952"/>
      <c r="DZ21" s="952"/>
      <c r="EA21" s="952"/>
      <c r="EB21" s="952"/>
      <c r="EC21" s="952"/>
      <c r="ED21" s="952"/>
      <c r="EE21" s="952"/>
      <c r="EF21" s="952"/>
      <c r="EG21" s="952"/>
      <c r="EH21" s="952"/>
      <c r="EI21" s="952"/>
      <c r="EJ21" s="952"/>
      <c r="EK21" s="952"/>
      <c r="EL21" s="952"/>
      <c r="EM21" s="952"/>
      <c r="EN21" s="952"/>
      <c r="EO21" s="952"/>
      <c r="EP21" s="952"/>
      <c r="EQ21" s="952"/>
      <c r="ER21" s="952"/>
      <c r="ES21" s="952"/>
      <c r="ET21" s="952"/>
      <c r="EU21" s="952"/>
      <c r="EV21" s="952"/>
      <c r="EW21" s="952"/>
      <c r="EX21" s="952"/>
      <c r="EY21" s="952"/>
      <c r="EZ21" s="952"/>
      <c r="FA21" s="952"/>
      <c r="FB21" s="952"/>
      <c r="FC21" s="952"/>
      <c r="FD21" s="952"/>
      <c r="FE21" s="952"/>
      <c r="FF21" s="952"/>
      <c r="FG21" s="952"/>
      <c r="FH21" s="952"/>
      <c r="FI21" s="952"/>
      <c r="FJ21" s="952"/>
      <c r="FK21" s="952"/>
      <c r="FL21" s="952"/>
      <c r="FM21" s="952"/>
      <c r="FN21" s="952"/>
      <c r="FO21" s="952"/>
      <c r="FP21" s="952"/>
      <c r="FQ21" s="952"/>
      <c r="FR21" s="952"/>
      <c r="FS21" s="952"/>
      <c r="FT21" s="952"/>
      <c r="FU21" s="952"/>
      <c r="FV21" s="952"/>
      <c r="FW21" s="952"/>
      <c r="FX21" s="952"/>
      <c r="FY21" s="952"/>
      <c r="FZ21" s="952"/>
      <c r="GA21" s="952"/>
      <c r="GB21" s="952"/>
      <c r="GC21" s="952"/>
      <c r="GD21" s="952"/>
      <c r="GE21" s="952"/>
      <c r="GF21" s="952"/>
      <c r="GG21" s="952"/>
      <c r="GH21" s="952"/>
      <c r="GI21" s="952"/>
      <c r="GJ21" s="952"/>
      <c r="GK21" s="952"/>
      <c r="GL21" s="952"/>
      <c r="GM21" s="952"/>
      <c r="GN21" s="952"/>
      <c r="GO21" s="952"/>
      <c r="GP21" s="952"/>
      <c r="GQ21" s="952"/>
      <c r="GR21" s="952"/>
      <c r="GS21" s="952"/>
      <c r="GT21" s="952"/>
      <c r="GU21" s="952"/>
      <c r="GV21" s="952"/>
      <c r="GW21" s="952"/>
      <c r="GX21" s="952"/>
      <c r="GY21" s="952"/>
      <c r="GZ21" s="952"/>
      <c r="HA21" s="952"/>
      <c r="HB21" s="952"/>
      <c r="HC21" s="952"/>
      <c r="HD21" s="952"/>
      <c r="HE21" s="952"/>
      <c r="HF21" s="952"/>
      <c r="HG21" s="952"/>
      <c r="HH21" s="952"/>
      <c r="HI21" s="952"/>
      <c r="HJ21" s="952"/>
      <c r="HK21" s="952"/>
      <c r="HL21" s="952"/>
      <c r="HM21" s="952"/>
      <c r="HN21" s="952"/>
      <c r="HO21" s="952"/>
      <c r="HP21" s="952"/>
      <c r="HQ21" s="952"/>
      <c r="HR21" s="952"/>
      <c r="HS21" s="952"/>
      <c r="HT21" s="952"/>
      <c r="HU21" s="952"/>
      <c r="HV21" s="952"/>
      <c r="HW21" s="952"/>
      <c r="HX21" s="952"/>
      <c r="HY21" s="952"/>
      <c r="HZ21" s="952"/>
      <c r="IA21" s="952"/>
      <c r="IB21" s="952"/>
      <c r="IC21" s="952"/>
      <c r="ID21" s="952"/>
      <c r="IE21" s="952"/>
      <c r="IF21" s="952"/>
      <c r="IG21" s="952"/>
      <c r="IH21" s="952"/>
      <c r="II21" s="952"/>
      <c r="IJ21" s="952"/>
      <c r="IK21" s="952"/>
      <c r="IL21" s="952"/>
      <c r="IM21" s="952"/>
      <c r="IN21" s="952"/>
      <c r="IO21" s="952"/>
      <c r="IP21" s="952"/>
      <c r="IQ21" s="952"/>
      <c r="IR21" s="952"/>
      <c r="IS21" s="952"/>
      <c r="IT21" s="952"/>
      <c r="IU21" s="952"/>
    </row>
    <row r="22" spans="1:255" ht="18.75" thickBot="1">
      <c r="A22" s="1343"/>
      <c r="B22" s="1344"/>
      <c r="C22" s="1344"/>
      <c r="D22" s="1199" t="s">
        <v>1035</v>
      </c>
      <c r="E22" s="1345">
        <f>SUM(E5:E21)</f>
        <v>17</v>
      </c>
      <c r="F22" s="1345">
        <f>SUM(F5:F21)</f>
        <v>0</v>
      </c>
      <c r="G22" s="1345">
        <f>SUM(G5:G21)</f>
        <v>0</v>
      </c>
      <c r="H22" s="1210"/>
      <c r="I22" s="1151"/>
    </row>
    <row r="26" spans="1:255">
      <c r="A26" s="595" t="str">
        <f>Calculation1!$B$93</f>
        <v>Project Teams are to refer to the Green Star SA Public Building PILOT Technical Manual for explicit credit criteria and documentation requirements.</v>
      </c>
    </row>
    <row r="27" spans="1:255">
      <c r="A27" s="595" t="str">
        <f>Calculation1!$B$94</f>
        <v>The Green Star Technical Clarifications (TC) and Credit Interpretation Request (CIR) rulings provide an essential source of information to all</v>
      </c>
    </row>
    <row r="28" spans="1:255">
      <c r="A28" s="595" t="str">
        <f>Calculation1!$B$95</f>
        <v>projects undertaking Green Star assessment. They are available on the GBCSA website http://www.gbcsa.org.za . Technical Clarifications</v>
      </c>
    </row>
    <row r="29" spans="1:255">
      <c r="A29" s="595" t="str">
        <f>Calculation1!$B$96</f>
        <v xml:space="preserve">often represent the GBCSA answers to technical queries and complement Green Star SA Technical Manuals. They do not amend but clarify </v>
      </c>
    </row>
    <row r="30" spans="1:255">
      <c r="A30" s="595" t="str">
        <f>Calculation1!$B$97</f>
        <v xml:space="preserve">Credit Criteria or Compliance Requirements. They are an extension of the Technical Manual; it is the responsibility of the project teams to stay </v>
      </c>
    </row>
    <row r="31" spans="1:255">
      <c r="A31" s="595" t="str">
        <f>Calculation1!$B$98</f>
        <v xml:space="preserve">up-to-date with this section of the GBCSA website. The CIR rulings offer alternative compliance options whenever those have been deemed </v>
      </c>
    </row>
    <row r="32" spans="1:255">
      <c r="A32" s="595" t="str">
        <f>Calculation1!$B$99</f>
        <v>equivalent in meeting the Aim of Credit.</v>
      </c>
    </row>
    <row r="33" spans="1:1">
      <c r="A33" s="595"/>
    </row>
    <row r="34" spans="1:1">
      <c r="A34" s="450"/>
    </row>
    <row r="35" spans="1:1">
      <c r="A35" s="450"/>
    </row>
    <row r="36" spans="1:1">
      <c r="A36" s="450"/>
    </row>
  </sheetData>
  <sheetProtection password="AD9B" sheet="1" objects="1" scenarios="1"/>
  <mergeCells count="8">
    <mergeCell ref="H6:H7"/>
    <mergeCell ref="A6:A7"/>
    <mergeCell ref="B6:B7"/>
    <mergeCell ref="C6:C7"/>
    <mergeCell ref="A11:A12"/>
    <mergeCell ref="B11:B12"/>
    <mergeCell ref="H11:H12"/>
    <mergeCell ref="C11:C12"/>
  </mergeCells>
  <phoneticPr fontId="0"/>
  <printOptions horizontalCentered="1"/>
  <pageMargins left="0.59055118110236227" right="0.59055118110236227" top="0.47244094488188981" bottom="0.47244094488188981" header="0.23622047244094491" footer="0.35433070866141736"/>
  <pageSetup paperSize="9" scale="62" fitToHeight="3" orientation="landscape" blackAndWhite="1" r:id="rId1"/>
  <headerFooter alignWithMargins="0">
    <oddHeader>&amp;LGreen Building Council of South Africa&amp;R&amp;T   &amp;D</oddHeader>
    <oddFooter>&amp;L&amp;F&amp;CPage &amp;P of &amp;N&amp;RCategory: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2563" r:id="rId4" name="Button 3">
              <controlPr defaultSize="0" print="0" autoFill="0" autoPict="0" macro="[0]!GoToCreditSummary">
                <anchor moveWithCells="1" sizeWithCells="1">
                  <from>
                    <xdr:col>4</xdr:col>
                    <xdr:colOff>581025</xdr:colOff>
                    <xdr:row>23</xdr:row>
                    <xdr:rowOff>47625</xdr:rowOff>
                  </from>
                  <to>
                    <xdr:col>7</xdr:col>
                    <xdr:colOff>0</xdr:colOff>
                    <xdr:row>26</xdr:row>
                    <xdr:rowOff>38100</xdr:rowOff>
                  </to>
                </anchor>
              </controlPr>
            </control>
          </mc:Choice>
        </mc:AlternateContent>
        <mc:AlternateContent xmlns:mc="http://schemas.openxmlformats.org/markup-compatibility/2006">
          <mc:Choice Requires="x14">
            <control shapeId="322564" r:id="rId5" name="Button 4">
              <controlPr defaultSize="0" print="0" autoFill="0" autoPict="0" macro="[0]!BackToTop">
                <anchor moveWithCells="1" sizeWithCells="1">
                  <from>
                    <xdr:col>7</xdr:col>
                    <xdr:colOff>809625</xdr:colOff>
                    <xdr:row>23</xdr:row>
                    <xdr:rowOff>142875</xdr:rowOff>
                  </from>
                  <to>
                    <xdr:col>7</xdr:col>
                    <xdr:colOff>1933575</xdr:colOff>
                    <xdr:row>25</xdr:row>
                    <xdr:rowOff>142875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96</vt:i4>
      </vt:variant>
    </vt:vector>
  </HeadingPairs>
  <TitlesOfParts>
    <vt:vector size="125" baseType="lpstr">
      <vt:lpstr>Green Star SA</vt:lpstr>
      <vt:lpstr>Introduction</vt:lpstr>
      <vt:lpstr>How to use</vt:lpstr>
      <vt:lpstr>Disclaimer</vt:lpstr>
      <vt:lpstr>R1 Pre-Submission Checklist</vt:lpstr>
      <vt:lpstr>R2 Pre-Submission Checklist</vt:lpstr>
      <vt:lpstr>Applicant Declaration</vt:lpstr>
      <vt:lpstr>Building Input</vt:lpstr>
      <vt:lpstr>Management</vt:lpstr>
      <vt:lpstr>IEQ</vt:lpstr>
      <vt:lpstr>Energy</vt:lpstr>
      <vt:lpstr>Energy Calculator</vt:lpstr>
      <vt:lpstr>Lighting Energy Calculator</vt:lpstr>
      <vt:lpstr>Transport</vt:lpstr>
      <vt:lpstr>Transport Calculator</vt:lpstr>
      <vt:lpstr>Water</vt:lpstr>
      <vt:lpstr>Potable Water Calculator</vt:lpstr>
      <vt:lpstr>Rainfall data</vt:lpstr>
      <vt:lpstr>Materials</vt:lpstr>
      <vt:lpstr>Land Use &amp; Ecology</vt:lpstr>
      <vt:lpstr>Ecology Calculator</vt:lpstr>
      <vt:lpstr>Emissions</vt:lpstr>
      <vt:lpstr>Sewage Calculator</vt:lpstr>
      <vt:lpstr>Innovation</vt:lpstr>
      <vt:lpstr>Credit Summary</vt:lpstr>
      <vt:lpstr>Graphical Summary</vt:lpstr>
      <vt:lpstr>Rainfall data_old</vt:lpstr>
      <vt:lpstr>Calculation</vt:lpstr>
      <vt:lpstr>Calculation1</vt:lpstr>
      <vt:lpstr>'Ecology Calculator'!Albany_Alluvial_Vegetation</vt:lpstr>
      <vt:lpstr>'Ecology Calculator'!Albany_Thicket_Strandveld</vt:lpstr>
      <vt:lpstr>'Ecology Calculator'!Albany_Thickets</vt:lpstr>
      <vt:lpstr>'Ecology Calculator'!Albany_Thickets_Alluvial_Vegetation</vt:lpstr>
      <vt:lpstr>'Ecology Calculator'!Albany_Thickets_Strandveld</vt:lpstr>
      <vt:lpstr>'Ecology Calculator'!AlbanyThickets</vt:lpstr>
      <vt:lpstr>'Ecology Calculator'!Bioregion</vt:lpstr>
      <vt:lpstr>'Ecology Calculator'!Bushmanland_and_West_Griqualand</vt:lpstr>
      <vt:lpstr>'Ecology Calculator'!Bushmanland_West_Griqualand</vt:lpstr>
      <vt:lpstr>'Ecology Calculator'!Central_Bushveld</vt:lpstr>
      <vt:lpstr>'Ecology Calculator'!Central_Succulent_Karoo</vt:lpstr>
      <vt:lpstr>'Rainfall data_old'!cities</vt:lpstr>
      <vt:lpstr>cities_rainfall</vt:lpstr>
      <vt:lpstr>'Ecology Calculator'!Coastal_Grassland</vt:lpstr>
      <vt:lpstr>'Ecology Calculator'!Desert_Alluvial_Vegetation</vt:lpstr>
      <vt:lpstr>'Ecology Calculator'!Drakensburg_Grassland</vt:lpstr>
      <vt:lpstr>'Ecology Calculator'!Eastern_Gariep</vt:lpstr>
      <vt:lpstr>'Ecology Calculator'!Estuarine_Salt_Marshes</vt:lpstr>
      <vt:lpstr>'Building Input'!Fields</vt:lpstr>
      <vt:lpstr>'Ecology Calculator'!Freshwater_Wetlands</vt:lpstr>
      <vt:lpstr>'Energy Calculator'!fuel</vt:lpstr>
      <vt:lpstr>'Energy Calculator'!fuels</vt:lpstr>
      <vt:lpstr>'Ecology Calculator'!Fynbos_Alluvial_Vegetation</vt:lpstr>
      <vt:lpstr>'Ecology Calculator'!Fynbos_Kamiesberg_Centre</vt:lpstr>
      <vt:lpstr>'Ecology Calculator'!Fynbos_Karoo_Mountain_Centre</vt:lpstr>
      <vt:lpstr>'Ecology Calculator'!Fynbos_Northwest_Centre</vt:lpstr>
      <vt:lpstr>'Ecology Calculator'!Fynbos_South_Coast_Centre</vt:lpstr>
      <vt:lpstr>'Ecology Calculator'!Fynbos_Southeast_Centre</vt:lpstr>
      <vt:lpstr>'Ecology Calculator'!Fynbos_Southwest_Centre</vt:lpstr>
      <vt:lpstr>'Ecology Calculator'!Fynbos_Strandveld</vt:lpstr>
      <vt:lpstr>'Ecology Calculator'!Grassland_Alluvial_Vegetation</vt:lpstr>
      <vt:lpstr>'Ecology Calculator'!Grassland_Biome_Shrublands</vt:lpstr>
      <vt:lpstr>'Transport Calculator'!Headings</vt:lpstr>
      <vt:lpstr>'Ecology Calculator'!HeadingsEC</vt:lpstr>
      <vt:lpstr>'Ecology Calculator'!Highveld_Grassland</vt:lpstr>
      <vt:lpstr>'Ecology Calculator'!Inland_Saline_Vegetation</vt:lpstr>
      <vt:lpstr>'Ecology Calculator'!Kalahari_Dry_Savanna</vt:lpstr>
      <vt:lpstr>'Building Input'!Labels</vt:lpstr>
      <vt:lpstr>'Ecology Calculator'!Lower_Karoo</vt:lpstr>
      <vt:lpstr>'Ecology Calculator'!Lowland_Forest</vt:lpstr>
      <vt:lpstr>'Ecology Calculator'!Lowveld</vt:lpstr>
      <vt:lpstr>'Ecology Calculator'!Macroalgal_Sea_Beds</vt:lpstr>
      <vt:lpstr>'Ecology Calculator'!Mountain_Bushveld</vt:lpstr>
      <vt:lpstr>'Ecology Calculator'!Nama_Karoo_Alluvial_Vegetation</vt:lpstr>
      <vt:lpstr>'Building Input'!Print_Area</vt:lpstr>
      <vt:lpstr>Calculation!Print_Area</vt:lpstr>
      <vt:lpstr>Calculation1!Print_Area</vt:lpstr>
      <vt:lpstr>'Credit Summary'!Print_Area</vt:lpstr>
      <vt:lpstr>'Ecology Calculator'!Print_Area</vt:lpstr>
      <vt:lpstr>Emissions!Print_Area</vt:lpstr>
      <vt:lpstr>Energy!Print_Area</vt:lpstr>
      <vt:lpstr>'Energy Calculator'!Print_Area</vt:lpstr>
      <vt:lpstr>'Graphical Summary'!Print_Area</vt:lpstr>
      <vt:lpstr>'Green Star SA'!Print_Area</vt:lpstr>
      <vt:lpstr>'How to use'!Print_Area</vt:lpstr>
      <vt:lpstr>IEQ!Print_Area</vt:lpstr>
      <vt:lpstr>Innovation!Print_Area</vt:lpstr>
      <vt:lpstr>'Land Use &amp; Ecology'!Print_Area</vt:lpstr>
      <vt:lpstr>'Lighting Energy Calculator'!Print_Area</vt:lpstr>
      <vt:lpstr>Management!Print_Area</vt:lpstr>
      <vt:lpstr>Materials!Print_Area</vt:lpstr>
      <vt:lpstr>'Sewage Calculator'!Print_Area</vt:lpstr>
      <vt:lpstr>Transport!Print_Area</vt:lpstr>
      <vt:lpstr>'Transport Calculator'!Print_Area</vt:lpstr>
      <vt:lpstr>Water!Print_Area</vt:lpstr>
      <vt:lpstr>'Credit Summary'!Print_Titles</vt:lpstr>
      <vt:lpstr>Emissions!Print_Titles</vt:lpstr>
      <vt:lpstr>Energy!Print_Titles</vt:lpstr>
      <vt:lpstr>IEQ!Print_Titles</vt:lpstr>
      <vt:lpstr>Innovation!Print_Titles</vt:lpstr>
      <vt:lpstr>'Land Use &amp; Ecology'!Print_Titles</vt:lpstr>
      <vt:lpstr>Management!Print_Titles</vt:lpstr>
      <vt:lpstr>Materials!Print_Titles</vt:lpstr>
      <vt:lpstr>Transport!Print_Titles</vt:lpstr>
      <vt:lpstr>Water!Print_Titles</vt:lpstr>
      <vt:lpstr>'Ecology Calculator'!Renosterveld_Eastern_Centre</vt:lpstr>
      <vt:lpstr>'Ecology Calculator'!Renosterveld_Karoo_Centre</vt:lpstr>
      <vt:lpstr>'Ecology Calculator'!Renosterveld_Mountain_Centre</vt:lpstr>
      <vt:lpstr>'Ecology Calculator'!Renosterveld_South_Coast_Centre</vt:lpstr>
      <vt:lpstr>'Ecology Calculator'!Renosterveld_West_Coast_Centre</vt:lpstr>
      <vt:lpstr>'Ecology Calculator'!Savanna_Alluvial_Vegetation</vt:lpstr>
      <vt:lpstr>'Ecology Calculator'!South_Strandveld</vt:lpstr>
      <vt:lpstr>'Ecology Calculator'!Southern_Karoo</vt:lpstr>
      <vt:lpstr>'Ecology Calculator'!Sub_Escarpment_Grassland</vt:lpstr>
      <vt:lpstr>'Ecology Calculator'!Sub_Escarpment_Savanna</vt:lpstr>
      <vt:lpstr>'Ecology Calculator'!Trans_Escarpment_Succulent_Karoo</vt:lpstr>
      <vt:lpstr>'Ecology Calculator'!Upland_Forest</vt:lpstr>
      <vt:lpstr>'Ecology Calculator'!Upper_Karoo</vt:lpstr>
      <vt:lpstr>'Ecology Calculator'!Urban_Area_and_Unallocated</vt:lpstr>
      <vt:lpstr>'Ecology Calculator'!West_Coast_Sandveld</vt:lpstr>
      <vt:lpstr>'Ecology Calculator'!West_Strandveld</vt:lpstr>
      <vt:lpstr>'Ecology Calculator'!Western_Gariep</vt:lpstr>
      <vt:lpstr>'Ecology Calculator'!Western_Lowland_Karoo</vt:lpstr>
      <vt:lpstr>'Ecology Calculator'!Western_Mountain_Shrubland</vt:lpstr>
      <vt:lpstr>'Ecology Calculator'!Western_Upland_Karoo</vt:lpstr>
      <vt:lpstr>'Ecology Calculator'!Wetland_Forest</vt:lpstr>
    </vt:vector>
  </TitlesOfParts>
  <Manager>Jason Buch</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Green Star SA - PEB</dc:title>
  <dc:creator>Green Building Council of South Africa</dc:creator>
  <cp:lastModifiedBy>Jo Anderson</cp:lastModifiedBy>
  <cp:lastPrinted>2011-06-27T07:28:11Z</cp:lastPrinted>
  <dcterms:created xsi:type="dcterms:W3CDTF">2007-01-12T06:17:17Z</dcterms:created>
  <dcterms:modified xsi:type="dcterms:W3CDTF">2017-05-15T09:57:07Z</dcterms:modified>
</cp:coreProperties>
</file>